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068290" sheetId="2" r:id="rId5"/>
    <sheet state="visible" name="002100" sheetId="3" r:id="rId6"/>
    <sheet state="visible" name="010955" sheetId="4" r:id="rId7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IFERROR(__xludf.DUMMYFUNCTION("GOOGLEFINANCE(""KRX:068290"", ""all"", DATE(2012,1,1), DATE(2023,12,31), ""DAILY"")"),"Date")</f>
        <v>Date</v>
      </c>
      <c r="B1" s="1" t="str">
        <f>IFERROR(__xludf.DUMMYFUNCTION("""COMPUTED_VALUE"""),"Open")</f>
        <v>Open</v>
      </c>
      <c r="C1" s="1" t="str">
        <f>IFERROR(__xludf.DUMMYFUNCTION("""COMPUTED_VALUE"""),"High")</f>
        <v>High</v>
      </c>
      <c r="D1" s="1" t="str">
        <f>IFERROR(__xludf.DUMMYFUNCTION("""COMPUTED_VALUE"""),"Low")</f>
        <v>Low</v>
      </c>
      <c r="E1" s="1" t="str">
        <f>IFERROR(__xludf.DUMMYFUNCTION("""COMPUTED_VALUE"""),"Close")</f>
        <v>Close</v>
      </c>
      <c r="F1" s="1" t="str">
        <f>IFERROR(__xludf.DUMMYFUNCTION("""COMPUTED_VALUE"""),"Volume")</f>
        <v>Volume</v>
      </c>
    </row>
    <row r="2">
      <c r="A2" s="2">
        <f>IFERROR(__xludf.DUMMYFUNCTION("""COMPUTED_VALUE"""),40910.645833333336)</f>
        <v>40910.64583</v>
      </c>
      <c r="B2" s="1">
        <f>IFERROR(__xludf.DUMMYFUNCTION("""COMPUTED_VALUE"""),6450.0)</f>
        <v>6450</v>
      </c>
      <c r="C2" s="1">
        <f>IFERROR(__xludf.DUMMYFUNCTION("""COMPUTED_VALUE"""),6750.0)</f>
        <v>6750</v>
      </c>
      <c r="D2" s="1">
        <f>IFERROR(__xludf.DUMMYFUNCTION("""COMPUTED_VALUE"""),6400.0)</f>
        <v>6400</v>
      </c>
      <c r="E2" s="1">
        <f>IFERROR(__xludf.DUMMYFUNCTION("""COMPUTED_VALUE"""),6680.0)</f>
        <v>6680</v>
      </c>
      <c r="F2" s="1">
        <f>IFERROR(__xludf.DUMMYFUNCTION("""COMPUTED_VALUE"""),417849.0)</f>
        <v>417849</v>
      </c>
    </row>
    <row r="3">
      <c r="A3" s="2">
        <f>IFERROR(__xludf.DUMMYFUNCTION("""COMPUTED_VALUE"""),40911.645833333336)</f>
        <v>40911.64583</v>
      </c>
      <c r="B3" s="1">
        <f>IFERROR(__xludf.DUMMYFUNCTION("""COMPUTED_VALUE"""),6850.0)</f>
        <v>6850</v>
      </c>
      <c r="C3" s="1">
        <f>IFERROR(__xludf.DUMMYFUNCTION("""COMPUTED_VALUE"""),6850.0)</f>
        <v>6850</v>
      </c>
      <c r="D3" s="1">
        <f>IFERROR(__xludf.DUMMYFUNCTION("""COMPUTED_VALUE"""),6510.0)</f>
        <v>6510</v>
      </c>
      <c r="E3" s="1">
        <f>IFERROR(__xludf.DUMMYFUNCTION("""COMPUTED_VALUE"""),6530.0)</f>
        <v>6530</v>
      </c>
      <c r="F3" s="1">
        <f>IFERROR(__xludf.DUMMYFUNCTION("""COMPUTED_VALUE"""),319925.0)</f>
        <v>319925</v>
      </c>
    </row>
    <row r="4">
      <c r="A4" s="2">
        <f>IFERROR(__xludf.DUMMYFUNCTION("""COMPUTED_VALUE"""),40912.645833333336)</f>
        <v>40912.64583</v>
      </c>
      <c r="B4" s="1">
        <f>IFERROR(__xludf.DUMMYFUNCTION("""COMPUTED_VALUE"""),6580.0)</f>
        <v>6580</v>
      </c>
      <c r="C4" s="1">
        <f>IFERROR(__xludf.DUMMYFUNCTION("""COMPUTED_VALUE"""),7180.0)</f>
        <v>7180</v>
      </c>
      <c r="D4" s="1">
        <f>IFERROR(__xludf.DUMMYFUNCTION("""COMPUTED_VALUE"""),6530.0)</f>
        <v>6530</v>
      </c>
      <c r="E4" s="1">
        <f>IFERROR(__xludf.DUMMYFUNCTION("""COMPUTED_VALUE"""),6780.0)</f>
        <v>6780</v>
      </c>
      <c r="F4" s="1">
        <f>IFERROR(__xludf.DUMMYFUNCTION("""COMPUTED_VALUE"""),987300.0)</f>
        <v>987300</v>
      </c>
    </row>
    <row r="5">
      <c r="A5" s="2">
        <f>IFERROR(__xludf.DUMMYFUNCTION("""COMPUTED_VALUE"""),40913.645833333336)</f>
        <v>40913.64583</v>
      </c>
      <c r="B5" s="1">
        <f>IFERROR(__xludf.DUMMYFUNCTION("""COMPUTED_VALUE"""),6800.0)</f>
        <v>6800</v>
      </c>
      <c r="C5" s="1">
        <f>IFERROR(__xludf.DUMMYFUNCTION("""COMPUTED_VALUE"""),6950.0)</f>
        <v>6950</v>
      </c>
      <c r="D5" s="1">
        <f>IFERROR(__xludf.DUMMYFUNCTION("""COMPUTED_VALUE"""),6620.0)</f>
        <v>6620</v>
      </c>
      <c r="E5" s="1">
        <f>IFERROR(__xludf.DUMMYFUNCTION("""COMPUTED_VALUE"""),6650.0)</f>
        <v>6650</v>
      </c>
      <c r="F5" s="1">
        <f>IFERROR(__xludf.DUMMYFUNCTION("""COMPUTED_VALUE"""),345639.0)</f>
        <v>345639</v>
      </c>
    </row>
    <row r="6">
      <c r="A6" s="2">
        <f>IFERROR(__xludf.DUMMYFUNCTION("""COMPUTED_VALUE"""),40914.645833333336)</f>
        <v>40914.64583</v>
      </c>
      <c r="B6" s="1">
        <f>IFERROR(__xludf.DUMMYFUNCTION("""COMPUTED_VALUE"""),6680.0)</f>
        <v>6680</v>
      </c>
      <c r="C6" s="1">
        <f>IFERROR(__xludf.DUMMYFUNCTION("""COMPUTED_VALUE"""),6750.0)</f>
        <v>6750</v>
      </c>
      <c r="D6" s="1">
        <f>IFERROR(__xludf.DUMMYFUNCTION("""COMPUTED_VALUE"""),6370.0)</f>
        <v>6370</v>
      </c>
      <c r="E6" s="1">
        <f>IFERROR(__xludf.DUMMYFUNCTION("""COMPUTED_VALUE"""),6480.0)</f>
        <v>6480</v>
      </c>
      <c r="F6" s="1">
        <f>IFERROR(__xludf.DUMMYFUNCTION("""COMPUTED_VALUE"""),375909.0)</f>
        <v>375909</v>
      </c>
    </row>
    <row r="7">
      <c r="A7" s="2">
        <f>IFERROR(__xludf.DUMMYFUNCTION("""COMPUTED_VALUE"""),40917.645833333336)</f>
        <v>40917.64583</v>
      </c>
      <c r="B7" s="1">
        <f>IFERROR(__xludf.DUMMYFUNCTION("""COMPUTED_VALUE"""),6280.0)</f>
        <v>6280</v>
      </c>
      <c r="C7" s="1">
        <f>IFERROR(__xludf.DUMMYFUNCTION("""COMPUTED_VALUE"""),6350.0)</f>
        <v>6350</v>
      </c>
      <c r="D7" s="1">
        <f>IFERROR(__xludf.DUMMYFUNCTION("""COMPUTED_VALUE"""),5800.0)</f>
        <v>5800</v>
      </c>
      <c r="E7" s="1">
        <f>IFERROR(__xludf.DUMMYFUNCTION("""COMPUTED_VALUE"""),6110.0)</f>
        <v>6110</v>
      </c>
      <c r="F7" s="1">
        <f>IFERROR(__xludf.DUMMYFUNCTION("""COMPUTED_VALUE"""),323695.0)</f>
        <v>323695</v>
      </c>
    </row>
    <row r="8">
      <c r="A8" s="2">
        <f>IFERROR(__xludf.DUMMYFUNCTION("""COMPUTED_VALUE"""),40918.645833333336)</f>
        <v>40918.64583</v>
      </c>
      <c r="B8" s="1">
        <f>IFERROR(__xludf.DUMMYFUNCTION("""COMPUTED_VALUE"""),6200.0)</f>
        <v>6200</v>
      </c>
      <c r="C8" s="1">
        <f>IFERROR(__xludf.DUMMYFUNCTION("""COMPUTED_VALUE"""),6500.0)</f>
        <v>6500</v>
      </c>
      <c r="D8" s="1">
        <f>IFERROR(__xludf.DUMMYFUNCTION("""COMPUTED_VALUE"""),6200.0)</f>
        <v>6200</v>
      </c>
      <c r="E8" s="1">
        <f>IFERROR(__xludf.DUMMYFUNCTION("""COMPUTED_VALUE"""),6230.0)</f>
        <v>6230</v>
      </c>
      <c r="F8" s="1">
        <f>IFERROR(__xludf.DUMMYFUNCTION("""COMPUTED_VALUE"""),245147.0)</f>
        <v>245147</v>
      </c>
    </row>
    <row r="9">
      <c r="A9" s="2">
        <f>IFERROR(__xludf.DUMMYFUNCTION("""COMPUTED_VALUE"""),40919.645833333336)</f>
        <v>40919.64583</v>
      </c>
      <c r="B9" s="1">
        <f>IFERROR(__xludf.DUMMYFUNCTION("""COMPUTED_VALUE"""),6110.0)</f>
        <v>6110</v>
      </c>
      <c r="C9" s="1">
        <f>IFERROR(__xludf.DUMMYFUNCTION("""COMPUTED_VALUE"""),6170.0)</f>
        <v>6170</v>
      </c>
      <c r="D9" s="1">
        <f>IFERROR(__xludf.DUMMYFUNCTION("""COMPUTED_VALUE"""),5790.0)</f>
        <v>5790</v>
      </c>
      <c r="E9" s="1">
        <f>IFERROR(__xludf.DUMMYFUNCTION("""COMPUTED_VALUE"""),5850.0)</f>
        <v>5850</v>
      </c>
      <c r="F9" s="1">
        <f>IFERROR(__xludf.DUMMYFUNCTION("""COMPUTED_VALUE"""),349395.0)</f>
        <v>349395</v>
      </c>
    </row>
    <row r="10">
      <c r="A10" s="2">
        <f>IFERROR(__xludf.DUMMYFUNCTION("""COMPUTED_VALUE"""),40920.645833333336)</f>
        <v>40920.64583</v>
      </c>
      <c r="B10" s="1">
        <f>IFERROR(__xludf.DUMMYFUNCTION("""COMPUTED_VALUE"""),5900.0)</f>
        <v>5900</v>
      </c>
      <c r="C10" s="1">
        <f>IFERROR(__xludf.DUMMYFUNCTION("""COMPUTED_VALUE"""),5940.0)</f>
        <v>5940</v>
      </c>
      <c r="D10" s="1">
        <f>IFERROR(__xludf.DUMMYFUNCTION("""COMPUTED_VALUE"""),5740.0)</f>
        <v>5740</v>
      </c>
      <c r="E10" s="1">
        <f>IFERROR(__xludf.DUMMYFUNCTION("""COMPUTED_VALUE"""),5850.0)</f>
        <v>5850</v>
      </c>
      <c r="F10" s="1">
        <f>IFERROR(__xludf.DUMMYFUNCTION("""COMPUTED_VALUE"""),152546.0)</f>
        <v>152546</v>
      </c>
    </row>
    <row r="11">
      <c r="A11" s="2">
        <f>IFERROR(__xludf.DUMMYFUNCTION("""COMPUTED_VALUE"""),40921.645833333336)</f>
        <v>40921.64583</v>
      </c>
      <c r="B11" s="1">
        <f>IFERROR(__xludf.DUMMYFUNCTION("""COMPUTED_VALUE"""),5810.0)</f>
        <v>5810</v>
      </c>
      <c r="C11" s="1">
        <f>IFERROR(__xludf.DUMMYFUNCTION("""COMPUTED_VALUE"""),5920.0)</f>
        <v>5920</v>
      </c>
      <c r="D11" s="1">
        <f>IFERROR(__xludf.DUMMYFUNCTION("""COMPUTED_VALUE"""),5760.0)</f>
        <v>5760</v>
      </c>
      <c r="E11" s="1">
        <f>IFERROR(__xludf.DUMMYFUNCTION("""COMPUTED_VALUE"""),5910.0)</f>
        <v>5910</v>
      </c>
      <c r="F11" s="1">
        <f>IFERROR(__xludf.DUMMYFUNCTION("""COMPUTED_VALUE"""),102430.0)</f>
        <v>102430</v>
      </c>
    </row>
    <row r="12">
      <c r="A12" s="2">
        <f>IFERROR(__xludf.DUMMYFUNCTION("""COMPUTED_VALUE"""),40924.645833333336)</f>
        <v>40924.64583</v>
      </c>
      <c r="B12" s="1">
        <f>IFERROR(__xludf.DUMMYFUNCTION("""COMPUTED_VALUE"""),5850.0)</f>
        <v>5850</v>
      </c>
      <c r="C12" s="1">
        <f>IFERROR(__xludf.DUMMYFUNCTION("""COMPUTED_VALUE"""),6190.0)</f>
        <v>6190</v>
      </c>
      <c r="D12" s="1">
        <f>IFERROR(__xludf.DUMMYFUNCTION("""COMPUTED_VALUE"""),5840.0)</f>
        <v>5840</v>
      </c>
      <c r="E12" s="1">
        <f>IFERROR(__xludf.DUMMYFUNCTION("""COMPUTED_VALUE"""),6070.0)</f>
        <v>6070</v>
      </c>
      <c r="F12" s="1">
        <f>IFERROR(__xludf.DUMMYFUNCTION("""COMPUTED_VALUE"""),302313.0)</f>
        <v>302313</v>
      </c>
    </row>
    <row r="13">
      <c r="A13" s="2">
        <f>IFERROR(__xludf.DUMMYFUNCTION("""COMPUTED_VALUE"""),40925.645833333336)</f>
        <v>40925.64583</v>
      </c>
      <c r="B13" s="1">
        <f>IFERROR(__xludf.DUMMYFUNCTION("""COMPUTED_VALUE"""),6110.0)</f>
        <v>6110</v>
      </c>
      <c r="C13" s="1">
        <f>IFERROR(__xludf.DUMMYFUNCTION("""COMPUTED_VALUE"""),6510.0)</f>
        <v>6510</v>
      </c>
      <c r="D13" s="1">
        <f>IFERROR(__xludf.DUMMYFUNCTION("""COMPUTED_VALUE"""),6110.0)</f>
        <v>6110</v>
      </c>
      <c r="E13" s="1">
        <f>IFERROR(__xludf.DUMMYFUNCTION("""COMPUTED_VALUE"""),6300.0)</f>
        <v>6300</v>
      </c>
      <c r="F13" s="1">
        <f>IFERROR(__xludf.DUMMYFUNCTION("""COMPUTED_VALUE"""),583085.0)</f>
        <v>583085</v>
      </c>
    </row>
    <row r="14">
      <c r="A14" s="2">
        <f>IFERROR(__xludf.DUMMYFUNCTION("""COMPUTED_VALUE"""),40926.645833333336)</f>
        <v>40926.64583</v>
      </c>
      <c r="B14" s="1">
        <f>IFERROR(__xludf.DUMMYFUNCTION("""COMPUTED_VALUE"""),6210.0)</f>
        <v>6210</v>
      </c>
      <c r="C14" s="1">
        <f>IFERROR(__xludf.DUMMYFUNCTION("""COMPUTED_VALUE"""),6510.0)</f>
        <v>6510</v>
      </c>
      <c r="D14" s="1">
        <f>IFERROR(__xludf.DUMMYFUNCTION("""COMPUTED_VALUE"""),6150.0)</f>
        <v>6150</v>
      </c>
      <c r="E14" s="1">
        <f>IFERROR(__xludf.DUMMYFUNCTION("""COMPUTED_VALUE"""),6190.0)</f>
        <v>6190</v>
      </c>
      <c r="F14" s="1">
        <f>IFERROR(__xludf.DUMMYFUNCTION("""COMPUTED_VALUE"""),404662.0)</f>
        <v>404662</v>
      </c>
    </row>
    <row r="15">
      <c r="A15" s="2">
        <f>IFERROR(__xludf.DUMMYFUNCTION("""COMPUTED_VALUE"""),40927.645833333336)</f>
        <v>40927.64583</v>
      </c>
      <c r="B15" s="1">
        <f>IFERROR(__xludf.DUMMYFUNCTION("""COMPUTED_VALUE"""),6300.0)</f>
        <v>6300</v>
      </c>
      <c r="C15" s="1">
        <f>IFERROR(__xludf.DUMMYFUNCTION("""COMPUTED_VALUE"""),6870.0)</f>
        <v>6870</v>
      </c>
      <c r="D15" s="1">
        <f>IFERROR(__xludf.DUMMYFUNCTION("""COMPUTED_VALUE"""),6280.0)</f>
        <v>6280</v>
      </c>
      <c r="E15" s="1">
        <f>IFERROR(__xludf.DUMMYFUNCTION("""COMPUTED_VALUE"""),6390.0)</f>
        <v>6390</v>
      </c>
      <c r="F15" s="1">
        <f>IFERROR(__xludf.DUMMYFUNCTION("""COMPUTED_VALUE"""),1025112.0)</f>
        <v>1025112</v>
      </c>
    </row>
    <row r="16">
      <c r="A16" s="2">
        <f>IFERROR(__xludf.DUMMYFUNCTION("""COMPUTED_VALUE"""),40928.645833333336)</f>
        <v>40928.64583</v>
      </c>
      <c r="B16" s="1">
        <f>IFERROR(__xludf.DUMMYFUNCTION("""COMPUTED_VALUE"""),6410.0)</f>
        <v>6410</v>
      </c>
      <c r="C16" s="1">
        <f>IFERROR(__xludf.DUMMYFUNCTION("""COMPUTED_VALUE"""),6490.0)</f>
        <v>6490</v>
      </c>
      <c r="D16" s="1">
        <f>IFERROR(__xludf.DUMMYFUNCTION("""COMPUTED_VALUE"""),5990.0)</f>
        <v>5990</v>
      </c>
      <c r="E16" s="1">
        <f>IFERROR(__xludf.DUMMYFUNCTION("""COMPUTED_VALUE"""),6000.0)</f>
        <v>6000</v>
      </c>
      <c r="F16" s="1">
        <f>IFERROR(__xludf.DUMMYFUNCTION("""COMPUTED_VALUE"""),424909.0)</f>
        <v>424909</v>
      </c>
    </row>
    <row r="17">
      <c r="A17" s="2">
        <f>IFERROR(__xludf.DUMMYFUNCTION("""COMPUTED_VALUE"""),40933.645833333336)</f>
        <v>40933.64583</v>
      </c>
      <c r="B17" s="1">
        <f>IFERROR(__xludf.DUMMYFUNCTION("""COMPUTED_VALUE"""),6000.0)</f>
        <v>6000</v>
      </c>
      <c r="C17" s="1">
        <f>IFERROR(__xludf.DUMMYFUNCTION("""COMPUTED_VALUE"""),6050.0)</f>
        <v>6050</v>
      </c>
      <c r="D17" s="1">
        <f>IFERROR(__xludf.DUMMYFUNCTION("""COMPUTED_VALUE"""),5900.0)</f>
        <v>5900</v>
      </c>
      <c r="E17" s="1">
        <f>IFERROR(__xludf.DUMMYFUNCTION("""COMPUTED_VALUE"""),5940.0)</f>
        <v>5940</v>
      </c>
      <c r="F17" s="1">
        <f>IFERROR(__xludf.DUMMYFUNCTION("""COMPUTED_VALUE"""),139790.0)</f>
        <v>139790</v>
      </c>
    </row>
    <row r="18">
      <c r="A18" s="2">
        <f>IFERROR(__xludf.DUMMYFUNCTION("""COMPUTED_VALUE"""),40934.645833333336)</f>
        <v>40934.64583</v>
      </c>
      <c r="B18" s="1">
        <f>IFERROR(__xludf.DUMMYFUNCTION("""COMPUTED_VALUE"""),5960.0)</f>
        <v>5960</v>
      </c>
      <c r="C18" s="1">
        <f>IFERROR(__xludf.DUMMYFUNCTION("""COMPUTED_VALUE"""),6080.0)</f>
        <v>6080</v>
      </c>
      <c r="D18" s="1">
        <f>IFERROR(__xludf.DUMMYFUNCTION("""COMPUTED_VALUE"""),5960.0)</f>
        <v>5960</v>
      </c>
      <c r="E18" s="1">
        <f>IFERROR(__xludf.DUMMYFUNCTION("""COMPUTED_VALUE"""),6020.0)</f>
        <v>6020</v>
      </c>
      <c r="F18" s="1">
        <f>IFERROR(__xludf.DUMMYFUNCTION("""COMPUTED_VALUE"""),113000.0)</f>
        <v>113000</v>
      </c>
    </row>
    <row r="19">
      <c r="A19" s="2">
        <f>IFERROR(__xludf.DUMMYFUNCTION("""COMPUTED_VALUE"""),40935.645833333336)</f>
        <v>40935.64583</v>
      </c>
      <c r="B19" s="1">
        <f>IFERROR(__xludf.DUMMYFUNCTION("""COMPUTED_VALUE"""),5990.0)</f>
        <v>5990</v>
      </c>
      <c r="C19" s="1">
        <f>IFERROR(__xludf.DUMMYFUNCTION("""COMPUTED_VALUE"""),6030.0)</f>
        <v>6030</v>
      </c>
      <c r="D19" s="1">
        <f>IFERROR(__xludf.DUMMYFUNCTION("""COMPUTED_VALUE"""),5900.0)</f>
        <v>5900</v>
      </c>
      <c r="E19" s="1">
        <f>IFERROR(__xludf.DUMMYFUNCTION("""COMPUTED_VALUE"""),5920.0)</f>
        <v>5920</v>
      </c>
      <c r="F19" s="1">
        <f>IFERROR(__xludf.DUMMYFUNCTION("""COMPUTED_VALUE"""),137929.0)</f>
        <v>137929</v>
      </c>
    </row>
    <row r="20">
      <c r="A20" s="2">
        <f>IFERROR(__xludf.DUMMYFUNCTION("""COMPUTED_VALUE"""),40938.645833333336)</f>
        <v>40938.64583</v>
      </c>
      <c r="B20" s="1">
        <f>IFERROR(__xludf.DUMMYFUNCTION("""COMPUTED_VALUE"""),5900.0)</f>
        <v>5900</v>
      </c>
      <c r="C20" s="1">
        <f>IFERROR(__xludf.DUMMYFUNCTION("""COMPUTED_VALUE"""),5900.0)</f>
        <v>5900</v>
      </c>
      <c r="D20" s="1">
        <f>IFERROR(__xludf.DUMMYFUNCTION("""COMPUTED_VALUE"""),5700.0)</f>
        <v>5700</v>
      </c>
      <c r="E20" s="1">
        <f>IFERROR(__xludf.DUMMYFUNCTION("""COMPUTED_VALUE"""),5720.0)</f>
        <v>5720</v>
      </c>
      <c r="F20" s="1">
        <f>IFERROR(__xludf.DUMMYFUNCTION("""COMPUTED_VALUE"""),209479.0)</f>
        <v>209479</v>
      </c>
    </row>
    <row r="21">
      <c r="A21" s="2">
        <f>IFERROR(__xludf.DUMMYFUNCTION("""COMPUTED_VALUE"""),40939.645833333336)</f>
        <v>40939.64583</v>
      </c>
      <c r="B21" s="1">
        <f>IFERROR(__xludf.DUMMYFUNCTION("""COMPUTED_VALUE"""),5720.0)</f>
        <v>5720</v>
      </c>
      <c r="C21" s="1">
        <f>IFERROR(__xludf.DUMMYFUNCTION("""COMPUTED_VALUE"""),5880.0)</f>
        <v>5880</v>
      </c>
      <c r="D21" s="1">
        <f>IFERROR(__xludf.DUMMYFUNCTION("""COMPUTED_VALUE"""),5700.0)</f>
        <v>5700</v>
      </c>
      <c r="E21" s="1">
        <f>IFERROR(__xludf.DUMMYFUNCTION("""COMPUTED_VALUE"""),5820.0)</f>
        <v>5820</v>
      </c>
      <c r="F21" s="1">
        <f>IFERROR(__xludf.DUMMYFUNCTION("""COMPUTED_VALUE"""),112550.0)</f>
        <v>112550</v>
      </c>
    </row>
    <row r="22">
      <c r="A22" s="2">
        <f>IFERROR(__xludf.DUMMYFUNCTION("""COMPUTED_VALUE"""),40940.645833333336)</f>
        <v>40940.64583</v>
      </c>
      <c r="B22" s="1">
        <f>IFERROR(__xludf.DUMMYFUNCTION("""COMPUTED_VALUE"""),5830.0)</f>
        <v>5830</v>
      </c>
      <c r="C22" s="1">
        <f>IFERROR(__xludf.DUMMYFUNCTION("""COMPUTED_VALUE"""),6040.0)</f>
        <v>6040</v>
      </c>
      <c r="D22" s="1">
        <f>IFERROR(__xludf.DUMMYFUNCTION("""COMPUTED_VALUE"""),5800.0)</f>
        <v>5800</v>
      </c>
      <c r="E22" s="1">
        <f>IFERROR(__xludf.DUMMYFUNCTION("""COMPUTED_VALUE"""),5990.0)</f>
        <v>5990</v>
      </c>
      <c r="F22" s="1">
        <f>IFERROR(__xludf.DUMMYFUNCTION("""COMPUTED_VALUE"""),213195.0)</f>
        <v>213195</v>
      </c>
    </row>
    <row r="23">
      <c r="A23" s="2">
        <f>IFERROR(__xludf.DUMMYFUNCTION("""COMPUTED_VALUE"""),40941.645833333336)</f>
        <v>40941.64583</v>
      </c>
      <c r="B23" s="1">
        <f>IFERROR(__xludf.DUMMYFUNCTION("""COMPUTED_VALUE"""),6090.0)</f>
        <v>6090</v>
      </c>
      <c r="C23" s="1">
        <f>IFERROR(__xludf.DUMMYFUNCTION("""COMPUTED_VALUE"""),6090.0)</f>
        <v>6090</v>
      </c>
      <c r="D23" s="1">
        <f>IFERROR(__xludf.DUMMYFUNCTION("""COMPUTED_VALUE"""),5900.0)</f>
        <v>5900</v>
      </c>
      <c r="E23" s="1">
        <f>IFERROR(__xludf.DUMMYFUNCTION("""COMPUTED_VALUE"""),5920.0)</f>
        <v>5920</v>
      </c>
      <c r="F23" s="1">
        <f>IFERROR(__xludf.DUMMYFUNCTION("""COMPUTED_VALUE"""),159916.0)</f>
        <v>159916</v>
      </c>
    </row>
    <row r="24">
      <c r="A24" s="2">
        <f>IFERROR(__xludf.DUMMYFUNCTION("""COMPUTED_VALUE"""),40942.645833333336)</f>
        <v>40942.64583</v>
      </c>
      <c r="B24" s="1">
        <f>IFERROR(__xludf.DUMMYFUNCTION("""COMPUTED_VALUE"""),5960.0)</f>
        <v>5960</v>
      </c>
      <c r="C24" s="1">
        <f>IFERROR(__xludf.DUMMYFUNCTION("""COMPUTED_VALUE"""),5970.0)</f>
        <v>5970</v>
      </c>
      <c r="D24" s="1">
        <f>IFERROR(__xludf.DUMMYFUNCTION("""COMPUTED_VALUE"""),5800.0)</f>
        <v>5800</v>
      </c>
      <c r="E24" s="1">
        <f>IFERROR(__xludf.DUMMYFUNCTION("""COMPUTED_VALUE"""),5890.0)</f>
        <v>5890</v>
      </c>
      <c r="F24" s="1">
        <f>IFERROR(__xludf.DUMMYFUNCTION("""COMPUTED_VALUE"""),118096.0)</f>
        <v>118096</v>
      </c>
    </row>
    <row r="25">
      <c r="A25" s="2">
        <f>IFERROR(__xludf.DUMMYFUNCTION("""COMPUTED_VALUE"""),40945.645833333336)</f>
        <v>40945.64583</v>
      </c>
      <c r="B25" s="1">
        <f>IFERROR(__xludf.DUMMYFUNCTION("""COMPUTED_VALUE"""),5950.0)</f>
        <v>5950</v>
      </c>
      <c r="C25" s="1">
        <f>IFERROR(__xludf.DUMMYFUNCTION("""COMPUTED_VALUE"""),6050.0)</f>
        <v>6050</v>
      </c>
      <c r="D25" s="1">
        <f>IFERROR(__xludf.DUMMYFUNCTION("""COMPUTED_VALUE"""),5850.0)</f>
        <v>5850</v>
      </c>
      <c r="E25" s="1">
        <f>IFERROR(__xludf.DUMMYFUNCTION("""COMPUTED_VALUE"""),6020.0)</f>
        <v>6020</v>
      </c>
      <c r="F25" s="1">
        <f>IFERROR(__xludf.DUMMYFUNCTION("""COMPUTED_VALUE"""),240270.0)</f>
        <v>240270</v>
      </c>
    </row>
    <row r="26">
      <c r="A26" s="2">
        <f>IFERROR(__xludf.DUMMYFUNCTION("""COMPUTED_VALUE"""),40946.645833333336)</f>
        <v>40946.64583</v>
      </c>
      <c r="B26" s="1">
        <f>IFERROR(__xludf.DUMMYFUNCTION("""COMPUTED_VALUE"""),6070.0)</f>
        <v>6070</v>
      </c>
      <c r="C26" s="1">
        <f>IFERROR(__xludf.DUMMYFUNCTION("""COMPUTED_VALUE"""),6150.0)</f>
        <v>6150</v>
      </c>
      <c r="D26" s="1">
        <f>IFERROR(__xludf.DUMMYFUNCTION("""COMPUTED_VALUE"""),5890.0)</f>
        <v>5890</v>
      </c>
      <c r="E26" s="1">
        <f>IFERROR(__xludf.DUMMYFUNCTION("""COMPUTED_VALUE"""),6150.0)</f>
        <v>6150</v>
      </c>
      <c r="F26" s="1">
        <f>IFERROR(__xludf.DUMMYFUNCTION("""COMPUTED_VALUE"""),257464.0)</f>
        <v>257464</v>
      </c>
    </row>
    <row r="27">
      <c r="A27" s="2">
        <f>IFERROR(__xludf.DUMMYFUNCTION("""COMPUTED_VALUE"""),40947.645833333336)</f>
        <v>40947.64583</v>
      </c>
      <c r="B27" s="1">
        <f>IFERROR(__xludf.DUMMYFUNCTION("""COMPUTED_VALUE"""),6190.0)</f>
        <v>6190</v>
      </c>
      <c r="C27" s="1">
        <f>IFERROR(__xludf.DUMMYFUNCTION("""COMPUTED_VALUE"""),6280.0)</f>
        <v>6280</v>
      </c>
      <c r="D27" s="1">
        <f>IFERROR(__xludf.DUMMYFUNCTION("""COMPUTED_VALUE"""),6030.0)</f>
        <v>6030</v>
      </c>
      <c r="E27" s="1">
        <f>IFERROR(__xludf.DUMMYFUNCTION("""COMPUTED_VALUE"""),6120.0)</f>
        <v>6120</v>
      </c>
      <c r="F27" s="1">
        <f>IFERROR(__xludf.DUMMYFUNCTION("""COMPUTED_VALUE"""),263122.0)</f>
        <v>263122</v>
      </c>
    </row>
    <row r="28">
      <c r="A28" s="2">
        <f>IFERROR(__xludf.DUMMYFUNCTION("""COMPUTED_VALUE"""),40948.645833333336)</f>
        <v>40948.64583</v>
      </c>
      <c r="B28" s="1">
        <f>IFERROR(__xludf.DUMMYFUNCTION("""COMPUTED_VALUE"""),6130.0)</f>
        <v>6130</v>
      </c>
      <c r="C28" s="1">
        <f>IFERROR(__xludf.DUMMYFUNCTION("""COMPUTED_VALUE"""),7030.0)</f>
        <v>7030</v>
      </c>
      <c r="D28" s="1">
        <f>IFERROR(__xludf.DUMMYFUNCTION("""COMPUTED_VALUE"""),6120.0)</f>
        <v>6120</v>
      </c>
      <c r="E28" s="1">
        <f>IFERROR(__xludf.DUMMYFUNCTION("""COMPUTED_VALUE"""),7030.0)</f>
        <v>7030</v>
      </c>
      <c r="F28" s="1">
        <f>IFERROR(__xludf.DUMMYFUNCTION("""COMPUTED_VALUE"""),1367311.0)</f>
        <v>1367311</v>
      </c>
    </row>
    <row r="29">
      <c r="A29" s="2">
        <f>IFERROR(__xludf.DUMMYFUNCTION("""COMPUTED_VALUE"""),40949.645833333336)</f>
        <v>40949.64583</v>
      </c>
      <c r="B29" s="1">
        <f>IFERROR(__xludf.DUMMYFUNCTION("""COMPUTED_VALUE"""),7440.0)</f>
        <v>7440</v>
      </c>
      <c r="C29" s="1">
        <f>IFERROR(__xludf.DUMMYFUNCTION("""COMPUTED_VALUE"""),7680.0)</f>
        <v>7680</v>
      </c>
      <c r="D29" s="1">
        <f>IFERROR(__xludf.DUMMYFUNCTION("""COMPUTED_VALUE"""),6200.0)</f>
        <v>6200</v>
      </c>
      <c r="E29" s="1">
        <f>IFERROR(__xludf.DUMMYFUNCTION("""COMPUTED_VALUE"""),6700.0)</f>
        <v>6700</v>
      </c>
      <c r="F29" s="1">
        <f>IFERROR(__xludf.DUMMYFUNCTION("""COMPUTED_VALUE"""),1125031.0)</f>
        <v>1125031</v>
      </c>
    </row>
    <row r="30">
      <c r="A30" s="2">
        <f>IFERROR(__xludf.DUMMYFUNCTION("""COMPUTED_VALUE"""),40952.645833333336)</f>
        <v>40952.64583</v>
      </c>
      <c r="B30" s="1">
        <f>IFERROR(__xludf.DUMMYFUNCTION("""COMPUTED_VALUE"""),7600.0)</f>
        <v>7600</v>
      </c>
      <c r="C30" s="1">
        <f>IFERROR(__xludf.DUMMYFUNCTION("""COMPUTED_VALUE"""),7700.0)</f>
        <v>7700</v>
      </c>
      <c r="D30" s="1">
        <f>IFERROR(__xludf.DUMMYFUNCTION("""COMPUTED_VALUE"""),7570.0)</f>
        <v>7570</v>
      </c>
      <c r="E30" s="1">
        <f>IFERROR(__xludf.DUMMYFUNCTION("""COMPUTED_VALUE"""),7700.0)</f>
        <v>7700</v>
      </c>
      <c r="F30" s="1">
        <f>IFERROR(__xludf.DUMMYFUNCTION("""COMPUTED_VALUE"""),281255.0)</f>
        <v>281255</v>
      </c>
    </row>
    <row r="31">
      <c r="A31" s="2">
        <f>IFERROR(__xludf.DUMMYFUNCTION("""COMPUTED_VALUE"""),40953.645833333336)</f>
        <v>40953.64583</v>
      </c>
      <c r="B31" s="1">
        <f>IFERROR(__xludf.DUMMYFUNCTION("""COMPUTED_VALUE"""),8440.0)</f>
        <v>8440</v>
      </c>
      <c r="C31" s="1">
        <f>IFERROR(__xludf.DUMMYFUNCTION("""COMPUTED_VALUE"""),8850.0)</f>
        <v>8850</v>
      </c>
      <c r="D31" s="1">
        <f>IFERROR(__xludf.DUMMYFUNCTION("""COMPUTED_VALUE"""),7840.0)</f>
        <v>7840</v>
      </c>
      <c r="E31" s="1">
        <f>IFERROR(__xludf.DUMMYFUNCTION("""COMPUTED_VALUE"""),8410.0)</f>
        <v>8410</v>
      </c>
      <c r="F31" s="1">
        <f>IFERROR(__xludf.DUMMYFUNCTION("""COMPUTED_VALUE"""),2130742.0)</f>
        <v>2130742</v>
      </c>
    </row>
    <row r="32">
      <c r="A32" s="2">
        <f>IFERROR(__xludf.DUMMYFUNCTION("""COMPUTED_VALUE"""),40954.645833333336)</f>
        <v>40954.64583</v>
      </c>
      <c r="B32" s="1">
        <f>IFERROR(__xludf.DUMMYFUNCTION("""COMPUTED_VALUE"""),8110.0)</f>
        <v>8110</v>
      </c>
      <c r="C32" s="1">
        <f>IFERROR(__xludf.DUMMYFUNCTION("""COMPUTED_VALUE"""),8300.0)</f>
        <v>8300</v>
      </c>
      <c r="D32" s="1">
        <f>IFERROR(__xludf.DUMMYFUNCTION("""COMPUTED_VALUE"""),7950.0)</f>
        <v>7950</v>
      </c>
      <c r="E32" s="1">
        <f>IFERROR(__xludf.DUMMYFUNCTION("""COMPUTED_VALUE"""),8300.0)</f>
        <v>8300</v>
      </c>
      <c r="F32" s="1">
        <f>IFERROR(__xludf.DUMMYFUNCTION("""COMPUTED_VALUE"""),765598.0)</f>
        <v>765598</v>
      </c>
    </row>
    <row r="33">
      <c r="A33" s="2">
        <f>IFERROR(__xludf.DUMMYFUNCTION("""COMPUTED_VALUE"""),40955.645833333336)</f>
        <v>40955.64583</v>
      </c>
      <c r="B33" s="1">
        <f>IFERROR(__xludf.DUMMYFUNCTION("""COMPUTED_VALUE"""),8300.0)</f>
        <v>8300</v>
      </c>
      <c r="C33" s="1">
        <f>IFERROR(__xludf.DUMMYFUNCTION("""COMPUTED_VALUE"""),8300.0)</f>
        <v>8300</v>
      </c>
      <c r="D33" s="1">
        <f>IFERROR(__xludf.DUMMYFUNCTION("""COMPUTED_VALUE"""),7920.0)</f>
        <v>7920</v>
      </c>
      <c r="E33" s="1">
        <f>IFERROR(__xludf.DUMMYFUNCTION("""COMPUTED_VALUE"""),8090.0)</f>
        <v>8090</v>
      </c>
      <c r="F33" s="1">
        <f>IFERROR(__xludf.DUMMYFUNCTION("""COMPUTED_VALUE"""),457428.0)</f>
        <v>457428</v>
      </c>
    </row>
    <row r="34">
      <c r="A34" s="2">
        <f>IFERROR(__xludf.DUMMYFUNCTION("""COMPUTED_VALUE"""),40956.645833333336)</f>
        <v>40956.64583</v>
      </c>
      <c r="B34" s="1">
        <f>IFERROR(__xludf.DUMMYFUNCTION("""COMPUTED_VALUE"""),8090.0)</f>
        <v>8090</v>
      </c>
      <c r="C34" s="1">
        <f>IFERROR(__xludf.DUMMYFUNCTION("""COMPUTED_VALUE"""),8250.0)</f>
        <v>8250</v>
      </c>
      <c r="D34" s="1">
        <f>IFERROR(__xludf.DUMMYFUNCTION("""COMPUTED_VALUE"""),7470.0)</f>
        <v>7470</v>
      </c>
      <c r="E34" s="1">
        <f>IFERROR(__xludf.DUMMYFUNCTION("""COMPUTED_VALUE"""),7550.0)</f>
        <v>7550</v>
      </c>
      <c r="F34" s="1">
        <f>IFERROR(__xludf.DUMMYFUNCTION("""COMPUTED_VALUE"""),803124.0)</f>
        <v>803124</v>
      </c>
    </row>
    <row r="35">
      <c r="A35" s="2">
        <f>IFERROR(__xludf.DUMMYFUNCTION("""COMPUTED_VALUE"""),40959.645833333336)</f>
        <v>40959.64583</v>
      </c>
      <c r="B35" s="1">
        <f>IFERROR(__xludf.DUMMYFUNCTION("""COMPUTED_VALUE"""),7700.0)</f>
        <v>7700</v>
      </c>
      <c r="C35" s="1">
        <f>IFERROR(__xludf.DUMMYFUNCTION("""COMPUTED_VALUE"""),7700.0)</f>
        <v>7700</v>
      </c>
      <c r="D35" s="1">
        <f>IFERROR(__xludf.DUMMYFUNCTION("""COMPUTED_VALUE"""),7310.0)</f>
        <v>7310</v>
      </c>
      <c r="E35" s="1">
        <f>IFERROR(__xludf.DUMMYFUNCTION("""COMPUTED_VALUE"""),7610.0)</f>
        <v>7610</v>
      </c>
      <c r="F35" s="1">
        <f>IFERROR(__xludf.DUMMYFUNCTION("""COMPUTED_VALUE"""),462549.0)</f>
        <v>462549</v>
      </c>
    </row>
    <row r="36">
      <c r="A36" s="2">
        <f>IFERROR(__xludf.DUMMYFUNCTION("""COMPUTED_VALUE"""),40960.645833333336)</f>
        <v>40960.64583</v>
      </c>
      <c r="B36" s="1">
        <f>IFERROR(__xludf.DUMMYFUNCTION("""COMPUTED_VALUE"""),7530.0)</f>
        <v>7530</v>
      </c>
      <c r="C36" s="1">
        <f>IFERROR(__xludf.DUMMYFUNCTION("""COMPUTED_VALUE"""),7650.0)</f>
        <v>7650</v>
      </c>
      <c r="D36" s="1">
        <f>IFERROR(__xludf.DUMMYFUNCTION("""COMPUTED_VALUE"""),7260.0)</f>
        <v>7260</v>
      </c>
      <c r="E36" s="1">
        <f>IFERROR(__xludf.DUMMYFUNCTION("""COMPUTED_VALUE"""),7450.0)</f>
        <v>7450</v>
      </c>
      <c r="F36" s="1">
        <f>IFERROR(__xludf.DUMMYFUNCTION("""COMPUTED_VALUE"""),325353.0)</f>
        <v>325353</v>
      </c>
    </row>
    <row r="37">
      <c r="A37" s="2">
        <f>IFERROR(__xludf.DUMMYFUNCTION("""COMPUTED_VALUE"""),40961.645833333336)</f>
        <v>40961.64583</v>
      </c>
      <c r="B37" s="1">
        <f>IFERROR(__xludf.DUMMYFUNCTION("""COMPUTED_VALUE"""),7500.0)</f>
        <v>7500</v>
      </c>
      <c r="C37" s="1">
        <f>IFERROR(__xludf.DUMMYFUNCTION("""COMPUTED_VALUE"""),7780.0)</f>
        <v>7780</v>
      </c>
      <c r="D37" s="1">
        <f>IFERROR(__xludf.DUMMYFUNCTION("""COMPUTED_VALUE"""),7370.0)</f>
        <v>7370</v>
      </c>
      <c r="E37" s="1">
        <f>IFERROR(__xludf.DUMMYFUNCTION("""COMPUTED_VALUE"""),7600.0)</f>
        <v>7600</v>
      </c>
      <c r="F37" s="1">
        <f>IFERROR(__xludf.DUMMYFUNCTION("""COMPUTED_VALUE"""),316173.0)</f>
        <v>316173</v>
      </c>
    </row>
    <row r="38">
      <c r="A38" s="2">
        <f>IFERROR(__xludf.DUMMYFUNCTION("""COMPUTED_VALUE"""),40962.645833333336)</f>
        <v>40962.64583</v>
      </c>
      <c r="B38" s="1">
        <f>IFERROR(__xludf.DUMMYFUNCTION("""COMPUTED_VALUE"""),7600.0)</f>
        <v>7600</v>
      </c>
      <c r="C38" s="1">
        <f>IFERROR(__xludf.DUMMYFUNCTION("""COMPUTED_VALUE"""),7600.0)</f>
        <v>7600</v>
      </c>
      <c r="D38" s="1">
        <f>IFERROR(__xludf.DUMMYFUNCTION("""COMPUTED_VALUE"""),7170.0)</f>
        <v>7170</v>
      </c>
      <c r="E38" s="1">
        <f>IFERROR(__xludf.DUMMYFUNCTION("""COMPUTED_VALUE"""),7200.0)</f>
        <v>7200</v>
      </c>
      <c r="F38" s="1">
        <f>IFERROR(__xludf.DUMMYFUNCTION("""COMPUTED_VALUE"""),247951.0)</f>
        <v>247951</v>
      </c>
    </row>
    <row r="39">
      <c r="A39" s="2">
        <f>IFERROR(__xludf.DUMMYFUNCTION("""COMPUTED_VALUE"""),40963.645833333336)</f>
        <v>40963.64583</v>
      </c>
      <c r="B39" s="1">
        <f>IFERROR(__xludf.DUMMYFUNCTION("""COMPUTED_VALUE"""),7200.0)</f>
        <v>7200</v>
      </c>
      <c r="C39" s="1">
        <f>IFERROR(__xludf.DUMMYFUNCTION("""COMPUTED_VALUE"""),7320.0)</f>
        <v>7320</v>
      </c>
      <c r="D39" s="1">
        <f>IFERROR(__xludf.DUMMYFUNCTION("""COMPUTED_VALUE"""),6970.0)</f>
        <v>6970</v>
      </c>
      <c r="E39" s="1">
        <f>IFERROR(__xludf.DUMMYFUNCTION("""COMPUTED_VALUE"""),7160.0)</f>
        <v>7160</v>
      </c>
      <c r="F39" s="1">
        <f>IFERROR(__xludf.DUMMYFUNCTION("""COMPUTED_VALUE"""),194671.0)</f>
        <v>194671</v>
      </c>
    </row>
    <row r="40">
      <c r="A40" s="2">
        <f>IFERROR(__xludf.DUMMYFUNCTION("""COMPUTED_VALUE"""),40966.645833333336)</f>
        <v>40966.64583</v>
      </c>
      <c r="B40" s="1">
        <f>IFERROR(__xludf.DUMMYFUNCTION("""COMPUTED_VALUE"""),7240.0)</f>
        <v>7240</v>
      </c>
      <c r="C40" s="1">
        <f>IFERROR(__xludf.DUMMYFUNCTION("""COMPUTED_VALUE"""),7360.0)</f>
        <v>7360</v>
      </c>
      <c r="D40" s="1">
        <f>IFERROR(__xludf.DUMMYFUNCTION("""COMPUTED_VALUE"""),7020.0)</f>
        <v>7020</v>
      </c>
      <c r="E40" s="1">
        <f>IFERROR(__xludf.DUMMYFUNCTION("""COMPUTED_VALUE"""),7320.0)</f>
        <v>7320</v>
      </c>
      <c r="F40" s="1">
        <f>IFERROR(__xludf.DUMMYFUNCTION("""COMPUTED_VALUE"""),188984.0)</f>
        <v>188984</v>
      </c>
    </row>
    <row r="41">
      <c r="A41" s="2">
        <f>IFERROR(__xludf.DUMMYFUNCTION("""COMPUTED_VALUE"""),40967.645833333336)</f>
        <v>40967.64583</v>
      </c>
      <c r="B41" s="1">
        <f>IFERROR(__xludf.DUMMYFUNCTION("""COMPUTED_VALUE"""),7310.0)</f>
        <v>7310</v>
      </c>
      <c r="C41" s="1">
        <f>IFERROR(__xludf.DUMMYFUNCTION("""COMPUTED_VALUE"""),7400.0)</f>
        <v>7400</v>
      </c>
      <c r="D41" s="1">
        <f>IFERROR(__xludf.DUMMYFUNCTION("""COMPUTED_VALUE"""),6300.0)</f>
        <v>6300</v>
      </c>
      <c r="E41" s="1">
        <f>IFERROR(__xludf.DUMMYFUNCTION("""COMPUTED_VALUE"""),6560.0)</f>
        <v>6560</v>
      </c>
      <c r="F41" s="1">
        <f>IFERROR(__xludf.DUMMYFUNCTION("""COMPUTED_VALUE"""),551566.0)</f>
        <v>551566</v>
      </c>
    </row>
    <row r="42">
      <c r="A42" s="2">
        <f>IFERROR(__xludf.DUMMYFUNCTION("""COMPUTED_VALUE"""),40968.645833333336)</f>
        <v>40968.64583</v>
      </c>
      <c r="B42" s="1">
        <f>IFERROR(__xludf.DUMMYFUNCTION("""COMPUTED_VALUE"""),6560.0)</f>
        <v>6560</v>
      </c>
      <c r="C42" s="1">
        <f>IFERROR(__xludf.DUMMYFUNCTION("""COMPUTED_VALUE"""),6650.0)</f>
        <v>6650</v>
      </c>
      <c r="D42" s="1">
        <f>IFERROR(__xludf.DUMMYFUNCTION("""COMPUTED_VALUE"""),6400.0)</f>
        <v>6400</v>
      </c>
      <c r="E42" s="1">
        <f>IFERROR(__xludf.DUMMYFUNCTION("""COMPUTED_VALUE"""),6520.0)</f>
        <v>6520</v>
      </c>
      <c r="F42" s="1">
        <f>IFERROR(__xludf.DUMMYFUNCTION("""COMPUTED_VALUE"""),281334.0)</f>
        <v>281334</v>
      </c>
    </row>
    <row r="43">
      <c r="A43" s="2">
        <f>IFERROR(__xludf.DUMMYFUNCTION("""COMPUTED_VALUE"""),40970.645833333336)</f>
        <v>40970.64583</v>
      </c>
      <c r="B43" s="1">
        <f>IFERROR(__xludf.DUMMYFUNCTION("""COMPUTED_VALUE"""),6520.0)</f>
        <v>6520</v>
      </c>
      <c r="C43" s="1">
        <f>IFERROR(__xludf.DUMMYFUNCTION("""COMPUTED_VALUE"""),6680.0)</f>
        <v>6680</v>
      </c>
      <c r="D43" s="1">
        <f>IFERROR(__xludf.DUMMYFUNCTION("""COMPUTED_VALUE"""),6400.0)</f>
        <v>6400</v>
      </c>
      <c r="E43" s="1">
        <f>IFERROR(__xludf.DUMMYFUNCTION("""COMPUTED_VALUE"""),6680.0)</f>
        <v>6680</v>
      </c>
      <c r="F43" s="1">
        <f>IFERROR(__xludf.DUMMYFUNCTION("""COMPUTED_VALUE"""),186439.0)</f>
        <v>186439</v>
      </c>
    </row>
    <row r="44">
      <c r="A44" s="2">
        <f>IFERROR(__xludf.DUMMYFUNCTION("""COMPUTED_VALUE"""),40973.645833333336)</f>
        <v>40973.64583</v>
      </c>
      <c r="B44" s="1">
        <f>IFERROR(__xludf.DUMMYFUNCTION("""COMPUTED_VALUE"""),6600.0)</f>
        <v>6600</v>
      </c>
      <c r="C44" s="1">
        <f>IFERROR(__xludf.DUMMYFUNCTION("""COMPUTED_VALUE"""),6690.0)</f>
        <v>6690</v>
      </c>
      <c r="D44" s="1">
        <f>IFERROR(__xludf.DUMMYFUNCTION("""COMPUTED_VALUE"""),6500.0)</f>
        <v>6500</v>
      </c>
      <c r="E44" s="1">
        <f>IFERROR(__xludf.DUMMYFUNCTION("""COMPUTED_VALUE"""),6560.0)</f>
        <v>6560</v>
      </c>
      <c r="F44" s="1">
        <f>IFERROR(__xludf.DUMMYFUNCTION("""COMPUTED_VALUE"""),164530.0)</f>
        <v>164530</v>
      </c>
    </row>
    <row r="45">
      <c r="A45" s="2">
        <f>IFERROR(__xludf.DUMMYFUNCTION("""COMPUTED_VALUE"""),40974.645833333336)</f>
        <v>40974.64583</v>
      </c>
      <c r="B45" s="1">
        <f>IFERROR(__xludf.DUMMYFUNCTION("""COMPUTED_VALUE"""),6570.0)</f>
        <v>6570</v>
      </c>
      <c r="C45" s="1">
        <f>IFERROR(__xludf.DUMMYFUNCTION("""COMPUTED_VALUE"""),6740.0)</f>
        <v>6740</v>
      </c>
      <c r="D45" s="1">
        <f>IFERROR(__xludf.DUMMYFUNCTION("""COMPUTED_VALUE"""),6060.0)</f>
        <v>6060</v>
      </c>
      <c r="E45" s="1">
        <f>IFERROR(__xludf.DUMMYFUNCTION("""COMPUTED_VALUE"""),6460.0)</f>
        <v>6460</v>
      </c>
      <c r="F45" s="1">
        <f>IFERROR(__xludf.DUMMYFUNCTION("""COMPUTED_VALUE"""),295254.0)</f>
        <v>295254</v>
      </c>
    </row>
    <row r="46">
      <c r="A46" s="2">
        <f>IFERROR(__xludf.DUMMYFUNCTION("""COMPUTED_VALUE"""),40975.645833333336)</f>
        <v>40975.64583</v>
      </c>
      <c r="B46" s="1">
        <f>IFERROR(__xludf.DUMMYFUNCTION("""COMPUTED_VALUE"""),6200.0)</f>
        <v>6200</v>
      </c>
      <c r="C46" s="1">
        <f>IFERROR(__xludf.DUMMYFUNCTION("""COMPUTED_VALUE"""),6530.0)</f>
        <v>6530</v>
      </c>
      <c r="D46" s="1">
        <f>IFERROR(__xludf.DUMMYFUNCTION("""COMPUTED_VALUE"""),6110.0)</f>
        <v>6110</v>
      </c>
      <c r="E46" s="1">
        <f>IFERROR(__xludf.DUMMYFUNCTION("""COMPUTED_VALUE"""),6360.0)</f>
        <v>6360</v>
      </c>
      <c r="F46" s="1">
        <f>IFERROR(__xludf.DUMMYFUNCTION("""COMPUTED_VALUE"""),118910.0)</f>
        <v>118910</v>
      </c>
    </row>
    <row r="47">
      <c r="A47" s="2">
        <f>IFERROR(__xludf.DUMMYFUNCTION("""COMPUTED_VALUE"""),40976.645833333336)</f>
        <v>40976.64583</v>
      </c>
      <c r="B47" s="1">
        <f>IFERROR(__xludf.DUMMYFUNCTION("""COMPUTED_VALUE"""),6380.0)</f>
        <v>6380</v>
      </c>
      <c r="C47" s="1">
        <f>IFERROR(__xludf.DUMMYFUNCTION("""COMPUTED_VALUE"""),6670.0)</f>
        <v>6670</v>
      </c>
      <c r="D47" s="1">
        <f>IFERROR(__xludf.DUMMYFUNCTION("""COMPUTED_VALUE"""),6290.0)</f>
        <v>6290</v>
      </c>
      <c r="E47" s="1">
        <f>IFERROR(__xludf.DUMMYFUNCTION("""COMPUTED_VALUE"""),6300.0)</f>
        <v>6300</v>
      </c>
      <c r="F47" s="1">
        <f>IFERROR(__xludf.DUMMYFUNCTION("""COMPUTED_VALUE"""),211701.0)</f>
        <v>211701</v>
      </c>
    </row>
    <row r="48">
      <c r="A48" s="2">
        <f>IFERROR(__xludf.DUMMYFUNCTION("""COMPUTED_VALUE"""),40977.645833333336)</f>
        <v>40977.64583</v>
      </c>
      <c r="B48" s="1">
        <f>IFERROR(__xludf.DUMMYFUNCTION("""COMPUTED_VALUE"""),6260.0)</f>
        <v>6260</v>
      </c>
      <c r="C48" s="1">
        <f>IFERROR(__xludf.DUMMYFUNCTION("""COMPUTED_VALUE"""),6390.0)</f>
        <v>6390</v>
      </c>
      <c r="D48" s="1">
        <f>IFERROR(__xludf.DUMMYFUNCTION("""COMPUTED_VALUE"""),6230.0)</f>
        <v>6230</v>
      </c>
      <c r="E48" s="1">
        <f>IFERROR(__xludf.DUMMYFUNCTION("""COMPUTED_VALUE"""),6260.0)</f>
        <v>6260</v>
      </c>
      <c r="F48" s="1">
        <f>IFERROR(__xludf.DUMMYFUNCTION("""COMPUTED_VALUE"""),113360.0)</f>
        <v>113360</v>
      </c>
    </row>
    <row r="49">
      <c r="A49" s="2">
        <f>IFERROR(__xludf.DUMMYFUNCTION("""COMPUTED_VALUE"""),40980.645833333336)</f>
        <v>40980.64583</v>
      </c>
      <c r="B49" s="1">
        <f>IFERROR(__xludf.DUMMYFUNCTION("""COMPUTED_VALUE"""),6280.0)</f>
        <v>6280</v>
      </c>
      <c r="C49" s="1">
        <f>IFERROR(__xludf.DUMMYFUNCTION("""COMPUTED_VALUE"""),6330.0)</f>
        <v>6330</v>
      </c>
      <c r="D49" s="1">
        <f>IFERROR(__xludf.DUMMYFUNCTION("""COMPUTED_VALUE"""),6070.0)</f>
        <v>6070</v>
      </c>
      <c r="E49" s="1">
        <f>IFERROR(__xludf.DUMMYFUNCTION("""COMPUTED_VALUE"""),6100.0)</f>
        <v>6100</v>
      </c>
      <c r="F49" s="1">
        <f>IFERROR(__xludf.DUMMYFUNCTION("""COMPUTED_VALUE"""),132090.0)</f>
        <v>132090</v>
      </c>
    </row>
    <row r="50">
      <c r="A50" s="2">
        <f>IFERROR(__xludf.DUMMYFUNCTION("""COMPUTED_VALUE"""),40981.645833333336)</f>
        <v>40981.64583</v>
      </c>
      <c r="B50" s="1">
        <f>IFERROR(__xludf.DUMMYFUNCTION("""COMPUTED_VALUE"""),6100.0)</f>
        <v>6100</v>
      </c>
      <c r="C50" s="1">
        <f>IFERROR(__xludf.DUMMYFUNCTION("""COMPUTED_VALUE"""),6320.0)</f>
        <v>6320</v>
      </c>
      <c r="D50" s="1">
        <f>IFERROR(__xludf.DUMMYFUNCTION("""COMPUTED_VALUE"""),6100.0)</f>
        <v>6100</v>
      </c>
      <c r="E50" s="1">
        <f>IFERROR(__xludf.DUMMYFUNCTION("""COMPUTED_VALUE"""),6250.0)</f>
        <v>6250</v>
      </c>
      <c r="F50" s="1">
        <f>IFERROR(__xludf.DUMMYFUNCTION("""COMPUTED_VALUE"""),104254.0)</f>
        <v>104254</v>
      </c>
    </row>
    <row r="51">
      <c r="A51" s="2">
        <f>IFERROR(__xludf.DUMMYFUNCTION("""COMPUTED_VALUE"""),40982.645833333336)</f>
        <v>40982.64583</v>
      </c>
      <c r="B51" s="1">
        <f>IFERROR(__xludf.DUMMYFUNCTION("""COMPUTED_VALUE"""),6230.0)</f>
        <v>6230</v>
      </c>
      <c r="C51" s="1">
        <f>IFERROR(__xludf.DUMMYFUNCTION("""COMPUTED_VALUE"""),6400.0)</f>
        <v>6400</v>
      </c>
      <c r="D51" s="1">
        <f>IFERROR(__xludf.DUMMYFUNCTION("""COMPUTED_VALUE"""),6230.0)</f>
        <v>6230</v>
      </c>
      <c r="E51" s="1">
        <f>IFERROR(__xludf.DUMMYFUNCTION("""COMPUTED_VALUE"""),6290.0)</f>
        <v>6290</v>
      </c>
      <c r="F51" s="1">
        <f>IFERROR(__xludf.DUMMYFUNCTION("""COMPUTED_VALUE"""),137541.0)</f>
        <v>137541</v>
      </c>
    </row>
    <row r="52">
      <c r="A52" s="2">
        <f>IFERROR(__xludf.DUMMYFUNCTION("""COMPUTED_VALUE"""),40983.645833333336)</f>
        <v>40983.64583</v>
      </c>
      <c r="B52" s="1">
        <f>IFERROR(__xludf.DUMMYFUNCTION("""COMPUTED_VALUE"""),6350.0)</f>
        <v>6350</v>
      </c>
      <c r="C52" s="1">
        <f>IFERROR(__xludf.DUMMYFUNCTION("""COMPUTED_VALUE"""),6370.0)</f>
        <v>6370</v>
      </c>
      <c r="D52" s="1">
        <f>IFERROR(__xludf.DUMMYFUNCTION("""COMPUTED_VALUE"""),6210.0)</f>
        <v>6210</v>
      </c>
      <c r="E52" s="1">
        <f>IFERROR(__xludf.DUMMYFUNCTION("""COMPUTED_VALUE"""),6270.0)</f>
        <v>6270</v>
      </c>
      <c r="F52" s="1">
        <f>IFERROR(__xludf.DUMMYFUNCTION("""COMPUTED_VALUE"""),91370.0)</f>
        <v>91370</v>
      </c>
    </row>
    <row r="53">
      <c r="A53" s="2">
        <f>IFERROR(__xludf.DUMMYFUNCTION("""COMPUTED_VALUE"""),40984.645833333336)</f>
        <v>40984.64583</v>
      </c>
      <c r="B53" s="1">
        <f>IFERROR(__xludf.DUMMYFUNCTION("""COMPUTED_VALUE"""),6270.0)</f>
        <v>6270</v>
      </c>
      <c r="C53" s="1">
        <f>IFERROR(__xludf.DUMMYFUNCTION("""COMPUTED_VALUE"""),6670.0)</f>
        <v>6670</v>
      </c>
      <c r="D53" s="1">
        <f>IFERROR(__xludf.DUMMYFUNCTION("""COMPUTED_VALUE"""),6210.0)</f>
        <v>6210</v>
      </c>
      <c r="E53" s="1">
        <f>IFERROR(__xludf.DUMMYFUNCTION("""COMPUTED_VALUE"""),6380.0)</f>
        <v>6380</v>
      </c>
      <c r="F53" s="1">
        <f>IFERROR(__xludf.DUMMYFUNCTION("""COMPUTED_VALUE"""),467310.0)</f>
        <v>467310</v>
      </c>
    </row>
    <row r="54">
      <c r="A54" s="2">
        <f>IFERROR(__xludf.DUMMYFUNCTION("""COMPUTED_VALUE"""),40987.645833333336)</f>
        <v>40987.64583</v>
      </c>
      <c r="B54" s="1">
        <f>IFERROR(__xludf.DUMMYFUNCTION("""COMPUTED_VALUE"""),6460.0)</f>
        <v>6460</v>
      </c>
      <c r="C54" s="1">
        <f>IFERROR(__xludf.DUMMYFUNCTION("""COMPUTED_VALUE"""),6560.0)</f>
        <v>6560</v>
      </c>
      <c r="D54" s="1">
        <f>IFERROR(__xludf.DUMMYFUNCTION("""COMPUTED_VALUE"""),6350.0)</f>
        <v>6350</v>
      </c>
      <c r="E54" s="1">
        <f>IFERROR(__xludf.DUMMYFUNCTION("""COMPUTED_VALUE"""),6400.0)</f>
        <v>6400</v>
      </c>
      <c r="F54" s="1">
        <f>IFERROR(__xludf.DUMMYFUNCTION("""COMPUTED_VALUE"""),111849.0)</f>
        <v>111849</v>
      </c>
    </row>
    <row r="55">
      <c r="A55" s="2">
        <f>IFERROR(__xludf.DUMMYFUNCTION("""COMPUTED_VALUE"""),40988.645833333336)</f>
        <v>40988.64583</v>
      </c>
      <c r="B55" s="1">
        <f>IFERROR(__xludf.DUMMYFUNCTION("""COMPUTED_VALUE"""),6400.0)</f>
        <v>6400</v>
      </c>
      <c r="C55" s="1">
        <f>IFERROR(__xludf.DUMMYFUNCTION("""COMPUTED_VALUE"""),6430.0)</f>
        <v>6430</v>
      </c>
      <c r="D55" s="1">
        <f>IFERROR(__xludf.DUMMYFUNCTION("""COMPUTED_VALUE"""),6220.0)</f>
        <v>6220</v>
      </c>
      <c r="E55" s="1">
        <f>IFERROR(__xludf.DUMMYFUNCTION("""COMPUTED_VALUE"""),6310.0)</f>
        <v>6310</v>
      </c>
      <c r="F55" s="1">
        <f>IFERROR(__xludf.DUMMYFUNCTION("""COMPUTED_VALUE"""),96620.0)</f>
        <v>96620</v>
      </c>
    </row>
    <row r="56">
      <c r="A56" s="2">
        <f>IFERROR(__xludf.DUMMYFUNCTION("""COMPUTED_VALUE"""),40989.645833333336)</f>
        <v>40989.64583</v>
      </c>
      <c r="B56" s="1">
        <f>IFERROR(__xludf.DUMMYFUNCTION("""COMPUTED_VALUE"""),6310.0)</f>
        <v>6310</v>
      </c>
      <c r="C56" s="1">
        <f>IFERROR(__xludf.DUMMYFUNCTION("""COMPUTED_VALUE"""),6550.0)</f>
        <v>6550</v>
      </c>
      <c r="D56" s="1">
        <f>IFERROR(__xludf.DUMMYFUNCTION("""COMPUTED_VALUE"""),6310.0)</f>
        <v>6310</v>
      </c>
      <c r="E56" s="1">
        <f>IFERROR(__xludf.DUMMYFUNCTION("""COMPUTED_VALUE"""),6490.0)</f>
        <v>6490</v>
      </c>
      <c r="F56" s="1">
        <f>IFERROR(__xludf.DUMMYFUNCTION("""COMPUTED_VALUE"""),173031.0)</f>
        <v>173031</v>
      </c>
    </row>
    <row r="57">
      <c r="A57" s="2">
        <f>IFERROR(__xludf.DUMMYFUNCTION("""COMPUTED_VALUE"""),40990.645833333336)</f>
        <v>40990.64583</v>
      </c>
      <c r="B57" s="1">
        <f>IFERROR(__xludf.DUMMYFUNCTION("""COMPUTED_VALUE"""),6540.0)</f>
        <v>6540</v>
      </c>
      <c r="C57" s="1">
        <f>IFERROR(__xludf.DUMMYFUNCTION("""COMPUTED_VALUE"""),6580.0)</f>
        <v>6580</v>
      </c>
      <c r="D57" s="1">
        <f>IFERROR(__xludf.DUMMYFUNCTION("""COMPUTED_VALUE"""),6300.0)</f>
        <v>6300</v>
      </c>
      <c r="E57" s="1">
        <f>IFERROR(__xludf.DUMMYFUNCTION("""COMPUTED_VALUE"""),6300.0)</f>
        <v>6300</v>
      </c>
      <c r="F57" s="1">
        <f>IFERROR(__xludf.DUMMYFUNCTION("""COMPUTED_VALUE"""),148545.0)</f>
        <v>148545</v>
      </c>
    </row>
    <row r="58">
      <c r="A58" s="2">
        <f>IFERROR(__xludf.DUMMYFUNCTION("""COMPUTED_VALUE"""),40991.645833333336)</f>
        <v>40991.64583</v>
      </c>
      <c r="B58" s="1">
        <f>IFERROR(__xludf.DUMMYFUNCTION("""COMPUTED_VALUE"""),6230.0)</f>
        <v>6230</v>
      </c>
      <c r="C58" s="1">
        <f>IFERROR(__xludf.DUMMYFUNCTION("""COMPUTED_VALUE"""),6270.0)</f>
        <v>6270</v>
      </c>
      <c r="D58" s="1">
        <f>IFERROR(__xludf.DUMMYFUNCTION("""COMPUTED_VALUE"""),6140.0)</f>
        <v>6140</v>
      </c>
      <c r="E58" s="1">
        <f>IFERROR(__xludf.DUMMYFUNCTION("""COMPUTED_VALUE"""),6230.0)</f>
        <v>6230</v>
      </c>
      <c r="F58" s="1">
        <f>IFERROR(__xludf.DUMMYFUNCTION("""COMPUTED_VALUE"""),137313.0)</f>
        <v>137313</v>
      </c>
    </row>
    <row r="59">
      <c r="A59" s="2">
        <f>IFERROR(__xludf.DUMMYFUNCTION("""COMPUTED_VALUE"""),40994.645833333336)</f>
        <v>40994.64583</v>
      </c>
      <c r="B59" s="1">
        <f>IFERROR(__xludf.DUMMYFUNCTION("""COMPUTED_VALUE"""),6230.0)</f>
        <v>6230</v>
      </c>
      <c r="C59" s="1">
        <f>IFERROR(__xludf.DUMMYFUNCTION("""COMPUTED_VALUE"""),6310.0)</f>
        <v>6310</v>
      </c>
      <c r="D59" s="1">
        <f>IFERROR(__xludf.DUMMYFUNCTION("""COMPUTED_VALUE"""),6150.0)</f>
        <v>6150</v>
      </c>
      <c r="E59" s="1">
        <f>IFERROR(__xludf.DUMMYFUNCTION("""COMPUTED_VALUE"""),6160.0)</f>
        <v>6160</v>
      </c>
      <c r="F59" s="1">
        <f>IFERROR(__xludf.DUMMYFUNCTION("""COMPUTED_VALUE"""),71388.0)</f>
        <v>71388</v>
      </c>
    </row>
    <row r="60">
      <c r="A60" s="2">
        <f>IFERROR(__xludf.DUMMYFUNCTION("""COMPUTED_VALUE"""),40995.645833333336)</f>
        <v>40995.64583</v>
      </c>
      <c r="B60" s="1">
        <f>IFERROR(__xludf.DUMMYFUNCTION("""COMPUTED_VALUE"""),6160.0)</f>
        <v>6160</v>
      </c>
      <c r="C60" s="1">
        <f>IFERROR(__xludf.DUMMYFUNCTION("""COMPUTED_VALUE"""),6210.0)</f>
        <v>6210</v>
      </c>
      <c r="D60" s="1">
        <f>IFERROR(__xludf.DUMMYFUNCTION("""COMPUTED_VALUE"""),6100.0)</f>
        <v>6100</v>
      </c>
      <c r="E60" s="1">
        <f>IFERROR(__xludf.DUMMYFUNCTION("""COMPUTED_VALUE"""),6110.0)</f>
        <v>6110</v>
      </c>
      <c r="F60" s="1">
        <f>IFERROR(__xludf.DUMMYFUNCTION("""COMPUTED_VALUE"""),69460.0)</f>
        <v>69460</v>
      </c>
    </row>
    <row r="61">
      <c r="A61" s="2">
        <f>IFERROR(__xludf.DUMMYFUNCTION("""COMPUTED_VALUE"""),40996.645833333336)</f>
        <v>40996.64583</v>
      </c>
      <c r="B61" s="1">
        <f>IFERROR(__xludf.DUMMYFUNCTION("""COMPUTED_VALUE"""),6010.0)</f>
        <v>6010</v>
      </c>
      <c r="C61" s="1">
        <f>IFERROR(__xludf.DUMMYFUNCTION("""COMPUTED_VALUE"""),6300.0)</f>
        <v>6300</v>
      </c>
      <c r="D61" s="1">
        <f>IFERROR(__xludf.DUMMYFUNCTION("""COMPUTED_VALUE"""),6010.0)</f>
        <v>6010</v>
      </c>
      <c r="E61" s="1">
        <f>IFERROR(__xludf.DUMMYFUNCTION("""COMPUTED_VALUE"""),6210.0)</f>
        <v>6210</v>
      </c>
      <c r="F61" s="1">
        <f>IFERROR(__xludf.DUMMYFUNCTION("""COMPUTED_VALUE"""),121470.0)</f>
        <v>121470</v>
      </c>
    </row>
    <row r="62">
      <c r="A62" s="2">
        <f>IFERROR(__xludf.DUMMYFUNCTION("""COMPUTED_VALUE"""),40997.645833333336)</f>
        <v>40997.64583</v>
      </c>
      <c r="B62" s="1">
        <f>IFERROR(__xludf.DUMMYFUNCTION("""COMPUTED_VALUE"""),6260.0)</f>
        <v>6260</v>
      </c>
      <c r="C62" s="1">
        <f>IFERROR(__xludf.DUMMYFUNCTION("""COMPUTED_VALUE"""),6260.0)</f>
        <v>6260</v>
      </c>
      <c r="D62" s="1">
        <f>IFERROR(__xludf.DUMMYFUNCTION("""COMPUTED_VALUE"""),6050.0)</f>
        <v>6050</v>
      </c>
      <c r="E62" s="1">
        <f>IFERROR(__xludf.DUMMYFUNCTION("""COMPUTED_VALUE"""),6070.0)</f>
        <v>6070</v>
      </c>
      <c r="F62" s="1">
        <f>IFERROR(__xludf.DUMMYFUNCTION("""COMPUTED_VALUE"""),96153.0)</f>
        <v>96153</v>
      </c>
    </row>
    <row r="63">
      <c r="A63" s="2">
        <f>IFERROR(__xludf.DUMMYFUNCTION("""COMPUTED_VALUE"""),40998.645833333336)</f>
        <v>40998.64583</v>
      </c>
      <c r="B63" s="1">
        <f>IFERROR(__xludf.DUMMYFUNCTION("""COMPUTED_VALUE"""),6070.0)</f>
        <v>6070</v>
      </c>
      <c r="C63" s="1">
        <f>IFERROR(__xludf.DUMMYFUNCTION("""COMPUTED_VALUE"""),6140.0)</f>
        <v>6140</v>
      </c>
      <c r="D63" s="1">
        <f>IFERROR(__xludf.DUMMYFUNCTION("""COMPUTED_VALUE"""),6050.0)</f>
        <v>6050</v>
      </c>
      <c r="E63" s="1">
        <f>IFERROR(__xludf.DUMMYFUNCTION("""COMPUTED_VALUE"""),6120.0)</f>
        <v>6120</v>
      </c>
      <c r="F63" s="1">
        <f>IFERROR(__xludf.DUMMYFUNCTION("""COMPUTED_VALUE"""),48129.0)</f>
        <v>48129</v>
      </c>
    </row>
    <row r="64">
      <c r="A64" s="2">
        <f>IFERROR(__xludf.DUMMYFUNCTION("""COMPUTED_VALUE"""),41001.645833333336)</f>
        <v>41001.64583</v>
      </c>
      <c r="B64" s="1">
        <f>IFERROR(__xludf.DUMMYFUNCTION("""COMPUTED_VALUE"""),6180.0)</f>
        <v>6180</v>
      </c>
      <c r="C64" s="1">
        <f>IFERROR(__xludf.DUMMYFUNCTION("""COMPUTED_VALUE"""),6180.0)</f>
        <v>6180</v>
      </c>
      <c r="D64" s="1">
        <f>IFERROR(__xludf.DUMMYFUNCTION("""COMPUTED_VALUE"""),6050.0)</f>
        <v>6050</v>
      </c>
      <c r="E64" s="1">
        <f>IFERROR(__xludf.DUMMYFUNCTION("""COMPUTED_VALUE"""),6060.0)</f>
        <v>6060</v>
      </c>
      <c r="F64" s="1">
        <f>IFERROR(__xludf.DUMMYFUNCTION("""COMPUTED_VALUE"""),53476.0)</f>
        <v>53476</v>
      </c>
    </row>
    <row r="65">
      <c r="A65" s="2">
        <f>IFERROR(__xludf.DUMMYFUNCTION("""COMPUTED_VALUE"""),41002.645833333336)</f>
        <v>41002.64583</v>
      </c>
      <c r="B65" s="1">
        <f>IFERROR(__xludf.DUMMYFUNCTION("""COMPUTED_VALUE"""),6160.0)</f>
        <v>6160</v>
      </c>
      <c r="C65" s="1">
        <f>IFERROR(__xludf.DUMMYFUNCTION("""COMPUTED_VALUE"""),6230.0)</f>
        <v>6230</v>
      </c>
      <c r="D65" s="1">
        <f>IFERROR(__xludf.DUMMYFUNCTION("""COMPUTED_VALUE"""),5750.0)</f>
        <v>5750</v>
      </c>
      <c r="E65" s="1">
        <f>IFERROR(__xludf.DUMMYFUNCTION("""COMPUTED_VALUE"""),5810.0)</f>
        <v>5810</v>
      </c>
      <c r="F65" s="1">
        <f>IFERROR(__xludf.DUMMYFUNCTION("""COMPUTED_VALUE"""),144787.0)</f>
        <v>144787</v>
      </c>
    </row>
    <row r="66">
      <c r="A66" s="2">
        <f>IFERROR(__xludf.DUMMYFUNCTION("""COMPUTED_VALUE"""),41003.645833333336)</f>
        <v>41003.64583</v>
      </c>
      <c r="B66" s="1">
        <f>IFERROR(__xludf.DUMMYFUNCTION("""COMPUTED_VALUE"""),5800.0)</f>
        <v>5800</v>
      </c>
      <c r="C66" s="1">
        <f>IFERROR(__xludf.DUMMYFUNCTION("""COMPUTED_VALUE"""),5850.0)</f>
        <v>5850</v>
      </c>
      <c r="D66" s="1">
        <f>IFERROR(__xludf.DUMMYFUNCTION("""COMPUTED_VALUE"""),5350.0)</f>
        <v>5350</v>
      </c>
      <c r="E66" s="1">
        <f>IFERROR(__xludf.DUMMYFUNCTION("""COMPUTED_VALUE"""),5510.0)</f>
        <v>5510</v>
      </c>
      <c r="F66" s="1">
        <f>IFERROR(__xludf.DUMMYFUNCTION("""COMPUTED_VALUE"""),201231.0)</f>
        <v>201231</v>
      </c>
    </row>
    <row r="67">
      <c r="A67" s="2">
        <f>IFERROR(__xludf.DUMMYFUNCTION("""COMPUTED_VALUE"""),41004.645833333336)</f>
        <v>41004.64583</v>
      </c>
      <c r="B67" s="1">
        <f>IFERROR(__xludf.DUMMYFUNCTION("""COMPUTED_VALUE"""),5340.0)</f>
        <v>5340</v>
      </c>
      <c r="C67" s="1">
        <f>IFERROR(__xludf.DUMMYFUNCTION("""COMPUTED_VALUE"""),5500.0)</f>
        <v>5500</v>
      </c>
      <c r="D67" s="1">
        <f>IFERROR(__xludf.DUMMYFUNCTION("""COMPUTED_VALUE"""),5200.0)</f>
        <v>5200</v>
      </c>
      <c r="E67" s="1">
        <f>IFERROR(__xludf.DUMMYFUNCTION("""COMPUTED_VALUE"""),5430.0)</f>
        <v>5430</v>
      </c>
      <c r="F67" s="1">
        <f>IFERROR(__xludf.DUMMYFUNCTION("""COMPUTED_VALUE"""),91633.0)</f>
        <v>91633</v>
      </c>
    </row>
    <row r="68">
      <c r="A68" s="2">
        <f>IFERROR(__xludf.DUMMYFUNCTION("""COMPUTED_VALUE"""),41005.645833333336)</f>
        <v>41005.64583</v>
      </c>
      <c r="B68" s="1">
        <f>IFERROR(__xludf.DUMMYFUNCTION("""COMPUTED_VALUE"""),5450.0)</f>
        <v>5450</v>
      </c>
      <c r="C68" s="1">
        <f>IFERROR(__xludf.DUMMYFUNCTION("""COMPUTED_VALUE"""),5570.0)</f>
        <v>5570</v>
      </c>
      <c r="D68" s="1">
        <f>IFERROR(__xludf.DUMMYFUNCTION("""COMPUTED_VALUE"""),5350.0)</f>
        <v>5350</v>
      </c>
      <c r="E68" s="1">
        <f>IFERROR(__xludf.DUMMYFUNCTION("""COMPUTED_VALUE"""),5350.0)</f>
        <v>5350</v>
      </c>
      <c r="F68" s="1">
        <f>IFERROR(__xludf.DUMMYFUNCTION("""COMPUTED_VALUE"""),94206.0)</f>
        <v>94206</v>
      </c>
    </row>
    <row r="69">
      <c r="A69" s="2">
        <f>IFERROR(__xludf.DUMMYFUNCTION("""COMPUTED_VALUE"""),41008.645833333336)</f>
        <v>41008.64583</v>
      </c>
      <c r="B69" s="1">
        <f>IFERROR(__xludf.DUMMYFUNCTION("""COMPUTED_VALUE"""),5250.0)</f>
        <v>5250</v>
      </c>
      <c r="C69" s="1">
        <f>IFERROR(__xludf.DUMMYFUNCTION("""COMPUTED_VALUE"""),5350.0)</f>
        <v>5350</v>
      </c>
      <c r="D69" s="1">
        <f>IFERROR(__xludf.DUMMYFUNCTION("""COMPUTED_VALUE"""),4950.0)</f>
        <v>4950</v>
      </c>
      <c r="E69" s="1">
        <f>IFERROR(__xludf.DUMMYFUNCTION("""COMPUTED_VALUE"""),4950.0)</f>
        <v>4950</v>
      </c>
      <c r="F69" s="1">
        <f>IFERROR(__xludf.DUMMYFUNCTION("""COMPUTED_VALUE"""),139730.0)</f>
        <v>139730</v>
      </c>
    </row>
    <row r="70">
      <c r="A70" s="2">
        <f>IFERROR(__xludf.DUMMYFUNCTION("""COMPUTED_VALUE"""),41009.645833333336)</f>
        <v>41009.64583</v>
      </c>
      <c r="B70" s="1">
        <f>IFERROR(__xludf.DUMMYFUNCTION("""COMPUTED_VALUE"""),4785.0)</f>
        <v>4785</v>
      </c>
      <c r="C70" s="1">
        <f>IFERROR(__xludf.DUMMYFUNCTION("""COMPUTED_VALUE"""),5060.0)</f>
        <v>5060</v>
      </c>
      <c r="D70" s="1">
        <f>IFERROR(__xludf.DUMMYFUNCTION("""COMPUTED_VALUE"""),4785.0)</f>
        <v>4785</v>
      </c>
      <c r="E70" s="1">
        <f>IFERROR(__xludf.DUMMYFUNCTION("""COMPUTED_VALUE"""),4875.0)</f>
        <v>4875</v>
      </c>
      <c r="F70" s="1">
        <f>IFERROR(__xludf.DUMMYFUNCTION("""COMPUTED_VALUE"""),93731.0)</f>
        <v>93731</v>
      </c>
    </row>
    <row r="71">
      <c r="A71" s="2">
        <f>IFERROR(__xludf.DUMMYFUNCTION("""COMPUTED_VALUE"""),41011.645833333336)</f>
        <v>41011.64583</v>
      </c>
      <c r="B71" s="1">
        <f>IFERROR(__xludf.DUMMYFUNCTION("""COMPUTED_VALUE"""),5190.0)</f>
        <v>5190</v>
      </c>
      <c r="C71" s="1">
        <f>IFERROR(__xludf.DUMMYFUNCTION("""COMPUTED_VALUE"""),5500.0)</f>
        <v>5500</v>
      </c>
      <c r="D71" s="1">
        <f>IFERROR(__xludf.DUMMYFUNCTION("""COMPUTED_VALUE"""),5140.0)</f>
        <v>5140</v>
      </c>
      <c r="E71" s="1">
        <f>IFERROR(__xludf.DUMMYFUNCTION("""COMPUTED_VALUE"""),5260.0)</f>
        <v>5260</v>
      </c>
      <c r="F71" s="1">
        <f>IFERROR(__xludf.DUMMYFUNCTION("""COMPUTED_VALUE"""),184146.0)</f>
        <v>184146</v>
      </c>
    </row>
    <row r="72">
      <c r="A72" s="2">
        <f>IFERROR(__xludf.DUMMYFUNCTION("""COMPUTED_VALUE"""),41012.645833333336)</f>
        <v>41012.64583</v>
      </c>
      <c r="B72" s="1">
        <f>IFERROR(__xludf.DUMMYFUNCTION("""COMPUTED_VALUE"""),5360.0)</f>
        <v>5360</v>
      </c>
      <c r="C72" s="1">
        <f>IFERROR(__xludf.DUMMYFUNCTION("""COMPUTED_VALUE"""),5450.0)</f>
        <v>5450</v>
      </c>
      <c r="D72" s="1">
        <f>IFERROR(__xludf.DUMMYFUNCTION("""COMPUTED_VALUE"""),5070.0)</f>
        <v>5070</v>
      </c>
      <c r="E72" s="1">
        <f>IFERROR(__xludf.DUMMYFUNCTION("""COMPUTED_VALUE"""),5300.0)</f>
        <v>5300</v>
      </c>
      <c r="F72" s="1">
        <f>IFERROR(__xludf.DUMMYFUNCTION("""COMPUTED_VALUE"""),116400.0)</f>
        <v>116400</v>
      </c>
    </row>
    <row r="73">
      <c r="A73" s="2">
        <f>IFERROR(__xludf.DUMMYFUNCTION("""COMPUTED_VALUE"""),41015.645833333336)</f>
        <v>41015.64583</v>
      </c>
      <c r="B73" s="1">
        <f>IFERROR(__xludf.DUMMYFUNCTION("""COMPUTED_VALUE"""),5200.0)</f>
        <v>5200</v>
      </c>
      <c r="C73" s="1">
        <f>IFERROR(__xludf.DUMMYFUNCTION("""COMPUTED_VALUE"""),5440.0)</f>
        <v>5440</v>
      </c>
      <c r="D73" s="1">
        <f>IFERROR(__xludf.DUMMYFUNCTION("""COMPUTED_VALUE"""),5140.0)</f>
        <v>5140</v>
      </c>
      <c r="E73" s="1">
        <f>IFERROR(__xludf.DUMMYFUNCTION("""COMPUTED_VALUE"""),5280.0)</f>
        <v>5280</v>
      </c>
      <c r="F73" s="1">
        <f>IFERROR(__xludf.DUMMYFUNCTION("""COMPUTED_VALUE"""),87200.0)</f>
        <v>87200</v>
      </c>
    </row>
    <row r="74">
      <c r="A74" s="2">
        <f>IFERROR(__xludf.DUMMYFUNCTION("""COMPUTED_VALUE"""),41016.645833333336)</f>
        <v>41016.64583</v>
      </c>
      <c r="B74" s="1">
        <f>IFERROR(__xludf.DUMMYFUNCTION("""COMPUTED_VALUE"""),5250.0)</f>
        <v>5250</v>
      </c>
      <c r="C74" s="1">
        <f>IFERROR(__xludf.DUMMYFUNCTION("""COMPUTED_VALUE"""),5480.0)</f>
        <v>5480</v>
      </c>
      <c r="D74" s="1">
        <f>IFERROR(__xludf.DUMMYFUNCTION("""COMPUTED_VALUE"""),5210.0)</f>
        <v>5210</v>
      </c>
      <c r="E74" s="1">
        <f>IFERROR(__xludf.DUMMYFUNCTION("""COMPUTED_VALUE"""),5350.0)</f>
        <v>5350</v>
      </c>
      <c r="F74" s="1">
        <f>IFERROR(__xludf.DUMMYFUNCTION("""COMPUTED_VALUE"""),100641.0)</f>
        <v>100641</v>
      </c>
    </row>
    <row r="75">
      <c r="A75" s="2">
        <f>IFERROR(__xludf.DUMMYFUNCTION("""COMPUTED_VALUE"""),41017.645833333336)</f>
        <v>41017.64583</v>
      </c>
      <c r="B75" s="1">
        <f>IFERROR(__xludf.DUMMYFUNCTION("""COMPUTED_VALUE"""),5370.0)</f>
        <v>5370</v>
      </c>
      <c r="C75" s="1">
        <f>IFERROR(__xludf.DUMMYFUNCTION("""COMPUTED_VALUE"""),5470.0)</f>
        <v>5470</v>
      </c>
      <c r="D75" s="1">
        <f>IFERROR(__xludf.DUMMYFUNCTION("""COMPUTED_VALUE"""),5350.0)</f>
        <v>5350</v>
      </c>
      <c r="E75" s="1">
        <f>IFERROR(__xludf.DUMMYFUNCTION("""COMPUTED_VALUE"""),5350.0)</f>
        <v>5350</v>
      </c>
      <c r="F75" s="1">
        <f>IFERROR(__xludf.DUMMYFUNCTION("""COMPUTED_VALUE"""),58752.0)</f>
        <v>58752</v>
      </c>
    </row>
    <row r="76">
      <c r="A76" s="2">
        <f>IFERROR(__xludf.DUMMYFUNCTION("""COMPUTED_VALUE"""),41018.645833333336)</f>
        <v>41018.64583</v>
      </c>
      <c r="B76" s="1">
        <f>IFERROR(__xludf.DUMMYFUNCTION("""COMPUTED_VALUE"""),5340.0)</f>
        <v>5340</v>
      </c>
      <c r="C76" s="1">
        <f>IFERROR(__xludf.DUMMYFUNCTION("""COMPUTED_VALUE"""),5530.0)</f>
        <v>5530</v>
      </c>
      <c r="D76" s="1">
        <f>IFERROR(__xludf.DUMMYFUNCTION("""COMPUTED_VALUE"""),5300.0)</f>
        <v>5300</v>
      </c>
      <c r="E76" s="1">
        <f>IFERROR(__xludf.DUMMYFUNCTION("""COMPUTED_VALUE"""),5360.0)</f>
        <v>5360</v>
      </c>
      <c r="F76" s="1">
        <f>IFERROR(__xludf.DUMMYFUNCTION("""COMPUTED_VALUE"""),41500.0)</f>
        <v>41500</v>
      </c>
    </row>
    <row r="77">
      <c r="A77" s="2">
        <f>IFERROR(__xludf.DUMMYFUNCTION("""COMPUTED_VALUE"""),41019.645833333336)</f>
        <v>41019.64583</v>
      </c>
      <c r="B77" s="1">
        <f>IFERROR(__xludf.DUMMYFUNCTION("""COMPUTED_VALUE"""),5260.0)</f>
        <v>5260</v>
      </c>
      <c r="C77" s="1">
        <f>IFERROR(__xludf.DUMMYFUNCTION("""COMPUTED_VALUE"""),5490.0)</f>
        <v>5490</v>
      </c>
      <c r="D77" s="1">
        <f>IFERROR(__xludf.DUMMYFUNCTION("""COMPUTED_VALUE"""),5180.0)</f>
        <v>5180</v>
      </c>
      <c r="E77" s="1">
        <f>IFERROR(__xludf.DUMMYFUNCTION("""COMPUTED_VALUE"""),5190.0)</f>
        <v>5190</v>
      </c>
      <c r="F77" s="1">
        <f>IFERROR(__xludf.DUMMYFUNCTION("""COMPUTED_VALUE"""),49350.0)</f>
        <v>49350</v>
      </c>
    </row>
    <row r="78">
      <c r="A78" s="2">
        <f>IFERROR(__xludf.DUMMYFUNCTION("""COMPUTED_VALUE"""),41022.645833333336)</f>
        <v>41022.64583</v>
      </c>
      <c r="B78" s="1">
        <f>IFERROR(__xludf.DUMMYFUNCTION("""COMPUTED_VALUE"""),5300.0)</f>
        <v>5300</v>
      </c>
      <c r="C78" s="1">
        <f>IFERROR(__xludf.DUMMYFUNCTION("""COMPUTED_VALUE"""),5300.0)</f>
        <v>5300</v>
      </c>
      <c r="D78" s="1">
        <f>IFERROR(__xludf.DUMMYFUNCTION("""COMPUTED_VALUE"""),5120.0)</f>
        <v>5120</v>
      </c>
      <c r="E78" s="1">
        <f>IFERROR(__xludf.DUMMYFUNCTION("""COMPUTED_VALUE"""),5160.0)</f>
        <v>5160</v>
      </c>
      <c r="F78" s="1">
        <f>IFERROR(__xludf.DUMMYFUNCTION("""COMPUTED_VALUE"""),54518.0)</f>
        <v>54518</v>
      </c>
    </row>
    <row r="79">
      <c r="A79" s="2">
        <f>IFERROR(__xludf.DUMMYFUNCTION("""COMPUTED_VALUE"""),41023.645833333336)</f>
        <v>41023.64583</v>
      </c>
      <c r="B79" s="1">
        <f>IFERROR(__xludf.DUMMYFUNCTION("""COMPUTED_VALUE"""),5130.0)</f>
        <v>5130</v>
      </c>
      <c r="C79" s="1">
        <f>IFERROR(__xludf.DUMMYFUNCTION("""COMPUTED_VALUE"""),5160.0)</f>
        <v>5160</v>
      </c>
      <c r="D79" s="1">
        <f>IFERROR(__xludf.DUMMYFUNCTION("""COMPUTED_VALUE"""),5000.0)</f>
        <v>5000</v>
      </c>
      <c r="E79" s="1">
        <f>IFERROR(__xludf.DUMMYFUNCTION("""COMPUTED_VALUE"""),5140.0)</f>
        <v>5140</v>
      </c>
      <c r="F79" s="1">
        <f>IFERROR(__xludf.DUMMYFUNCTION("""COMPUTED_VALUE"""),69906.0)</f>
        <v>69906</v>
      </c>
    </row>
    <row r="80">
      <c r="A80" s="2">
        <f>IFERROR(__xludf.DUMMYFUNCTION("""COMPUTED_VALUE"""),41024.645833333336)</f>
        <v>41024.64583</v>
      </c>
      <c r="B80" s="1">
        <f>IFERROR(__xludf.DUMMYFUNCTION("""COMPUTED_VALUE"""),5200.0)</f>
        <v>5200</v>
      </c>
      <c r="C80" s="1">
        <f>IFERROR(__xludf.DUMMYFUNCTION("""COMPUTED_VALUE"""),5240.0)</f>
        <v>5240</v>
      </c>
      <c r="D80" s="1">
        <f>IFERROR(__xludf.DUMMYFUNCTION("""COMPUTED_VALUE"""),5030.0)</f>
        <v>5030</v>
      </c>
      <c r="E80" s="1">
        <f>IFERROR(__xludf.DUMMYFUNCTION("""COMPUTED_VALUE"""),5070.0)</f>
        <v>5070</v>
      </c>
      <c r="F80" s="1">
        <f>IFERROR(__xludf.DUMMYFUNCTION("""COMPUTED_VALUE"""),34652.0)</f>
        <v>34652</v>
      </c>
    </row>
    <row r="81">
      <c r="A81" s="2">
        <f>IFERROR(__xludf.DUMMYFUNCTION("""COMPUTED_VALUE"""),41025.645833333336)</f>
        <v>41025.64583</v>
      </c>
      <c r="B81" s="1">
        <f>IFERROR(__xludf.DUMMYFUNCTION("""COMPUTED_VALUE"""),5030.0)</f>
        <v>5030</v>
      </c>
      <c r="C81" s="1">
        <f>IFERROR(__xludf.DUMMYFUNCTION("""COMPUTED_VALUE"""),5140.0)</f>
        <v>5140</v>
      </c>
      <c r="D81" s="1">
        <f>IFERROR(__xludf.DUMMYFUNCTION("""COMPUTED_VALUE"""),4940.0)</f>
        <v>4940</v>
      </c>
      <c r="E81" s="1">
        <f>IFERROR(__xludf.DUMMYFUNCTION("""COMPUTED_VALUE"""),4970.0)</f>
        <v>4970</v>
      </c>
      <c r="F81" s="1">
        <f>IFERROR(__xludf.DUMMYFUNCTION("""COMPUTED_VALUE"""),70710.0)</f>
        <v>70710</v>
      </c>
    </row>
    <row r="82">
      <c r="A82" s="2">
        <f>IFERROR(__xludf.DUMMYFUNCTION("""COMPUTED_VALUE"""),41026.645833333336)</f>
        <v>41026.64583</v>
      </c>
      <c r="B82" s="1">
        <f>IFERROR(__xludf.DUMMYFUNCTION("""COMPUTED_VALUE"""),5240.0)</f>
        <v>5240</v>
      </c>
      <c r="C82" s="1">
        <f>IFERROR(__xludf.DUMMYFUNCTION("""COMPUTED_VALUE"""),5240.0)</f>
        <v>5240</v>
      </c>
      <c r="D82" s="1">
        <f>IFERROR(__xludf.DUMMYFUNCTION("""COMPUTED_VALUE"""),4970.0)</f>
        <v>4970</v>
      </c>
      <c r="E82" s="1">
        <f>IFERROR(__xludf.DUMMYFUNCTION("""COMPUTED_VALUE"""),4975.0)</f>
        <v>4975</v>
      </c>
      <c r="F82" s="1">
        <f>IFERROR(__xludf.DUMMYFUNCTION("""COMPUTED_VALUE"""),32780.0)</f>
        <v>32780</v>
      </c>
    </row>
    <row r="83">
      <c r="A83" s="2">
        <f>IFERROR(__xludf.DUMMYFUNCTION("""COMPUTED_VALUE"""),41029.645833333336)</f>
        <v>41029.64583</v>
      </c>
      <c r="B83" s="1">
        <f>IFERROR(__xludf.DUMMYFUNCTION("""COMPUTED_VALUE"""),4970.0)</f>
        <v>4970</v>
      </c>
      <c r="C83" s="1">
        <f>IFERROR(__xludf.DUMMYFUNCTION("""COMPUTED_VALUE"""),5060.0)</f>
        <v>5060</v>
      </c>
      <c r="D83" s="1">
        <f>IFERROR(__xludf.DUMMYFUNCTION("""COMPUTED_VALUE"""),4870.0)</f>
        <v>4870</v>
      </c>
      <c r="E83" s="1">
        <f>IFERROR(__xludf.DUMMYFUNCTION("""COMPUTED_VALUE"""),4950.0)</f>
        <v>4950</v>
      </c>
      <c r="F83" s="1">
        <f>IFERROR(__xludf.DUMMYFUNCTION("""COMPUTED_VALUE"""),30545.0)</f>
        <v>30545</v>
      </c>
    </row>
    <row r="84">
      <c r="A84" s="2">
        <f>IFERROR(__xludf.DUMMYFUNCTION("""COMPUTED_VALUE"""),41031.645833333336)</f>
        <v>41031.64583</v>
      </c>
      <c r="B84" s="1">
        <f>IFERROR(__xludf.DUMMYFUNCTION("""COMPUTED_VALUE"""),4900.0)</f>
        <v>4900</v>
      </c>
      <c r="C84" s="1">
        <f>IFERROR(__xludf.DUMMYFUNCTION("""COMPUTED_VALUE"""),5040.0)</f>
        <v>5040</v>
      </c>
      <c r="D84" s="1">
        <f>IFERROR(__xludf.DUMMYFUNCTION("""COMPUTED_VALUE"""),4900.0)</f>
        <v>4900</v>
      </c>
      <c r="E84" s="1">
        <f>IFERROR(__xludf.DUMMYFUNCTION("""COMPUTED_VALUE"""),4995.0)</f>
        <v>4995</v>
      </c>
      <c r="F84" s="1">
        <f>IFERROR(__xludf.DUMMYFUNCTION("""COMPUTED_VALUE"""),36490.0)</f>
        <v>36490</v>
      </c>
    </row>
    <row r="85">
      <c r="A85" s="2">
        <f>IFERROR(__xludf.DUMMYFUNCTION("""COMPUTED_VALUE"""),41032.645833333336)</f>
        <v>41032.64583</v>
      </c>
      <c r="B85" s="1">
        <f>IFERROR(__xludf.DUMMYFUNCTION("""COMPUTED_VALUE"""),5040.0)</f>
        <v>5040</v>
      </c>
      <c r="C85" s="1">
        <f>IFERROR(__xludf.DUMMYFUNCTION("""COMPUTED_VALUE"""),5130.0)</f>
        <v>5130</v>
      </c>
      <c r="D85" s="1">
        <f>IFERROR(__xludf.DUMMYFUNCTION("""COMPUTED_VALUE"""),5000.0)</f>
        <v>5000</v>
      </c>
      <c r="E85" s="1">
        <f>IFERROR(__xludf.DUMMYFUNCTION("""COMPUTED_VALUE"""),5040.0)</f>
        <v>5040</v>
      </c>
      <c r="F85" s="1">
        <f>IFERROR(__xludf.DUMMYFUNCTION("""COMPUTED_VALUE"""),39700.0)</f>
        <v>39700</v>
      </c>
    </row>
    <row r="86">
      <c r="A86" s="2">
        <f>IFERROR(__xludf.DUMMYFUNCTION("""COMPUTED_VALUE"""),41033.645833333336)</f>
        <v>41033.64583</v>
      </c>
      <c r="B86" s="1">
        <f>IFERROR(__xludf.DUMMYFUNCTION("""COMPUTED_VALUE"""),4980.0)</f>
        <v>4980</v>
      </c>
      <c r="C86" s="1">
        <f>IFERROR(__xludf.DUMMYFUNCTION("""COMPUTED_VALUE"""),5080.0)</f>
        <v>5080</v>
      </c>
      <c r="D86" s="1">
        <f>IFERROR(__xludf.DUMMYFUNCTION("""COMPUTED_VALUE"""),4980.0)</f>
        <v>4980</v>
      </c>
      <c r="E86" s="1">
        <f>IFERROR(__xludf.DUMMYFUNCTION("""COMPUTED_VALUE"""),5050.0)</f>
        <v>5050</v>
      </c>
      <c r="F86" s="1">
        <f>IFERROR(__xludf.DUMMYFUNCTION("""COMPUTED_VALUE"""),30220.0)</f>
        <v>30220</v>
      </c>
    </row>
    <row r="87">
      <c r="A87" s="2">
        <f>IFERROR(__xludf.DUMMYFUNCTION("""COMPUTED_VALUE"""),41036.645833333336)</f>
        <v>41036.64583</v>
      </c>
      <c r="B87" s="1">
        <f>IFERROR(__xludf.DUMMYFUNCTION("""COMPUTED_VALUE"""),5050.0)</f>
        <v>5050</v>
      </c>
      <c r="C87" s="1">
        <f>IFERROR(__xludf.DUMMYFUNCTION("""COMPUTED_VALUE"""),5060.0)</f>
        <v>5060</v>
      </c>
      <c r="D87" s="1">
        <f>IFERROR(__xludf.DUMMYFUNCTION("""COMPUTED_VALUE"""),4955.0)</f>
        <v>4955</v>
      </c>
      <c r="E87" s="1">
        <f>IFERROR(__xludf.DUMMYFUNCTION("""COMPUTED_VALUE"""),5000.0)</f>
        <v>5000</v>
      </c>
      <c r="F87" s="1">
        <f>IFERROR(__xludf.DUMMYFUNCTION("""COMPUTED_VALUE"""),29390.0)</f>
        <v>29390</v>
      </c>
    </row>
    <row r="88">
      <c r="A88" s="2">
        <f>IFERROR(__xludf.DUMMYFUNCTION("""COMPUTED_VALUE"""),41037.645833333336)</f>
        <v>41037.64583</v>
      </c>
      <c r="B88" s="1">
        <f>IFERROR(__xludf.DUMMYFUNCTION("""COMPUTED_VALUE"""),5000.0)</f>
        <v>5000</v>
      </c>
      <c r="C88" s="1">
        <f>IFERROR(__xludf.DUMMYFUNCTION("""COMPUTED_VALUE"""),5110.0)</f>
        <v>5110</v>
      </c>
      <c r="D88" s="1">
        <f>IFERROR(__xludf.DUMMYFUNCTION("""COMPUTED_VALUE"""),4985.0)</f>
        <v>4985</v>
      </c>
      <c r="E88" s="1">
        <f>IFERROR(__xludf.DUMMYFUNCTION("""COMPUTED_VALUE"""),5090.0)</f>
        <v>5090</v>
      </c>
      <c r="F88" s="1">
        <f>IFERROR(__xludf.DUMMYFUNCTION("""COMPUTED_VALUE"""),48104.0)</f>
        <v>48104</v>
      </c>
    </row>
    <row r="89">
      <c r="A89" s="2">
        <f>IFERROR(__xludf.DUMMYFUNCTION("""COMPUTED_VALUE"""),41038.645833333336)</f>
        <v>41038.64583</v>
      </c>
      <c r="B89" s="1">
        <f>IFERROR(__xludf.DUMMYFUNCTION("""COMPUTED_VALUE"""),5090.0)</f>
        <v>5090</v>
      </c>
      <c r="C89" s="1">
        <f>IFERROR(__xludf.DUMMYFUNCTION("""COMPUTED_VALUE"""),5090.0)</f>
        <v>5090</v>
      </c>
      <c r="D89" s="1">
        <f>IFERROR(__xludf.DUMMYFUNCTION("""COMPUTED_VALUE"""),5000.0)</f>
        <v>5000</v>
      </c>
      <c r="E89" s="1">
        <f>IFERROR(__xludf.DUMMYFUNCTION("""COMPUTED_VALUE"""),5060.0)</f>
        <v>5060</v>
      </c>
      <c r="F89" s="1">
        <f>IFERROR(__xludf.DUMMYFUNCTION("""COMPUTED_VALUE"""),26270.0)</f>
        <v>26270</v>
      </c>
    </row>
    <row r="90">
      <c r="A90" s="2">
        <f>IFERROR(__xludf.DUMMYFUNCTION("""COMPUTED_VALUE"""),41039.645833333336)</f>
        <v>41039.64583</v>
      </c>
      <c r="B90" s="1">
        <f>IFERROR(__xludf.DUMMYFUNCTION("""COMPUTED_VALUE"""),5060.0)</f>
        <v>5060</v>
      </c>
      <c r="C90" s="1">
        <f>IFERROR(__xludf.DUMMYFUNCTION("""COMPUTED_VALUE"""),5110.0)</f>
        <v>5110</v>
      </c>
      <c r="D90" s="1">
        <f>IFERROR(__xludf.DUMMYFUNCTION("""COMPUTED_VALUE"""),4990.0)</f>
        <v>4990</v>
      </c>
      <c r="E90" s="1">
        <f>IFERROR(__xludf.DUMMYFUNCTION("""COMPUTED_VALUE"""),5070.0)</f>
        <v>5070</v>
      </c>
      <c r="F90" s="1">
        <f>IFERROR(__xludf.DUMMYFUNCTION("""COMPUTED_VALUE"""),50710.0)</f>
        <v>50710</v>
      </c>
    </row>
    <row r="91">
      <c r="A91" s="2">
        <f>IFERROR(__xludf.DUMMYFUNCTION("""COMPUTED_VALUE"""),41040.645833333336)</f>
        <v>41040.64583</v>
      </c>
      <c r="B91" s="1">
        <f>IFERROR(__xludf.DUMMYFUNCTION("""COMPUTED_VALUE"""),5040.0)</f>
        <v>5040</v>
      </c>
      <c r="C91" s="1">
        <f>IFERROR(__xludf.DUMMYFUNCTION("""COMPUTED_VALUE"""),5070.0)</f>
        <v>5070</v>
      </c>
      <c r="D91" s="1">
        <f>IFERROR(__xludf.DUMMYFUNCTION("""COMPUTED_VALUE"""),4950.0)</f>
        <v>4950</v>
      </c>
      <c r="E91" s="1">
        <f>IFERROR(__xludf.DUMMYFUNCTION("""COMPUTED_VALUE"""),4965.0)</f>
        <v>4965</v>
      </c>
      <c r="F91" s="1">
        <f>IFERROR(__xludf.DUMMYFUNCTION("""COMPUTED_VALUE"""),46310.0)</f>
        <v>46310</v>
      </c>
    </row>
    <row r="92">
      <c r="A92" s="2">
        <f>IFERROR(__xludf.DUMMYFUNCTION("""COMPUTED_VALUE"""),41043.645833333336)</f>
        <v>41043.64583</v>
      </c>
      <c r="B92" s="1">
        <f>IFERROR(__xludf.DUMMYFUNCTION("""COMPUTED_VALUE"""),4920.0)</f>
        <v>4920</v>
      </c>
      <c r="C92" s="1">
        <f>IFERROR(__xludf.DUMMYFUNCTION("""COMPUTED_VALUE"""),4970.0)</f>
        <v>4970</v>
      </c>
      <c r="D92" s="1">
        <f>IFERROR(__xludf.DUMMYFUNCTION("""COMPUTED_VALUE"""),4725.0)</f>
        <v>4725</v>
      </c>
      <c r="E92" s="1">
        <f>IFERROR(__xludf.DUMMYFUNCTION("""COMPUTED_VALUE"""),4725.0)</f>
        <v>4725</v>
      </c>
      <c r="F92" s="1">
        <f>IFERROR(__xludf.DUMMYFUNCTION("""COMPUTED_VALUE"""),73518.0)</f>
        <v>73518</v>
      </c>
    </row>
    <row r="93">
      <c r="A93" s="2">
        <f>IFERROR(__xludf.DUMMYFUNCTION("""COMPUTED_VALUE"""),41044.645833333336)</f>
        <v>41044.64583</v>
      </c>
      <c r="B93" s="1">
        <f>IFERROR(__xludf.DUMMYFUNCTION("""COMPUTED_VALUE"""),4550.0)</f>
        <v>4550</v>
      </c>
      <c r="C93" s="1">
        <f>IFERROR(__xludf.DUMMYFUNCTION("""COMPUTED_VALUE"""),4685.0)</f>
        <v>4685</v>
      </c>
      <c r="D93" s="1">
        <f>IFERROR(__xludf.DUMMYFUNCTION("""COMPUTED_VALUE"""),4180.0)</f>
        <v>4180</v>
      </c>
      <c r="E93" s="1">
        <f>IFERROR(__xludf.DUMMYFUNCTION("""COMPUTED_VALUE"""),4415.0)</f>
        <v>4415</v>
      </c>
      <c r="F93" s="1">
        <f>IFERROR(__xludf.DUMMYFUNCTION("""COMPUTED_VALUE"""),81620.0)</f>
        <v>81620</v>
      </c>
    </row>
    <row r="94">
      <c r="A94" s="2">
        <f>IFERROR(__xludf.DUMMYFUNCTION("""COMPUTED_VALUE"""),41045.645833333336)</f>
        <v>41045.64583</v>
      </c>
      <c r="B94" s="1">
        <f>IFERROR(__xludf.DUMMYFUNCTION("""COMPUTED_VALUE"""),4350.0)</f>
        <v>4350</v>
      </c>
      <c r="C94" s="1">
        <f>IFERROR(__xludf.DUMMYFUNCTION("""COMPUTED_VALUE"""),4480.0)</f>
        <v>4480</v>
      </c>
      <c r="D94" s="1">
        <f>IFERROR(__xludf.DUMMYFUNCTION("""COMPUTED_VALUE"""),4220.0)</f>
        <v>4220</v>
      </c>
      <c r="E94" s="1">
        <f>IFERROR(__xludf.DUMMYFUNCTION("""COMPUTED_VALUE"""),4225.0)</f>
        <v>4225</v>
      </c>
      <c r="F94" s="1">
        <f>IFERROR(__xludf.DUMMYFUNCTION("""COMPUTED_VALUE"""),41289.0)</f>
        <v>41289</v>
      </c>
    </row>
    <row r="95">
      <c r="A95" s="2">
        <f>IFERROR(__xludf.DUMMYFUNCTION("""COMPUTED_VALUE"""),41046.645833333336)</f>
        <v>41046.64583</v>
      </c>
      <c r="B95" s="1">
        <f>IFERROR(__xludf.DUMMYFUNCTION("""COMPUTED_VALUE"""),4120.0)</f>
        <v>4120</v>
      </c>
      <c r="C95" s="1">
        <f>IFERROR(__xludf.DUMMYFUNCTION("""COMPUTED_VALUE"""),4320.0)</f>
        <v>4320</v>
      </c>
      <c r="D95" s="1">
        <f>IFERROR(__xludf.DUMMYFUNCTION("""COMPUTED_VALUE"""),4120.0)</f>
        <v>4120</v>
      </c>
      <c r="E95" s="1">
        <f>IFERROR(__xludf.DUMMYFUNCTION("""COMPUTED_VALUE"""),4220.0)</f>
        <v>4220</v>
      </c>
      <c r="F95" s="1">
        <f>IFERROR(__xludf.DUMMYFUNCTION("""COMPUTED_VALUE"""),45460.0)</f>
        <v>45460</v>
      </c>
    </row>
    <row r="96">
      <c r="A96" s="2">
        <f>IFERROR(__xludf.DUMMYFUNCTION("""COMPUTED_VALUE"""),41047.645833333336)</f>
        <v>41047.64583</v>
      </c>
      <c r="B96" s="1">
        <f>IFERROR(__xludf.DUMMYFUNCTION("""COMPUTED_VALUE"""),4175.0)</f>
        <v>4175</v>
      </c>
      <c r="C96" s="1">
        <f>IFERROR(__xludf.DUMMYFUNCTION("""COMPUTED_VALUE"""),4180.0)</f>
        <v>4180</v>
      </c>
      <c r="D96" s="1">
        <f>IFERROR(__xludf.DUMMYFUNCTION("""COMPUTED_VALUE"""),3900.0)</f>
        <v>3900</v>
      </c>
      <c r="E96" s="1">
        <f>IFERROR(__xludf.DUMMYFUNCTION("""COMPUTED_VALUE"""),3955.0)</f>
        <v>3955</v>
      </c>
      <c r="F96" s="1">
        <f>IFERROR(__xludf.DUMMYFUNCTION("""COMPUTED_VALUE"""),61280.0)</f>
        <v>61280</v>
      </c>
    </row>
    <row r="97">
      <c r="A97" s="2">
        <f>IFERROR(__xludf.DUMMYFUNCTION("""COMPUTED_VALUE"""),41050.645833333336)</f>
        <v>41050.64583</v>
      </c>
      <c r="B97" s="1">
        <f>IFERROR(__xludf.DUMMYFUNCTION("""COMPUTED_VALUE"""),3920.0)</f>
        <v>3920</v>
      </c>
      <c r="C97" s="1">
        <f>IFERROR(__xludf.DUMMYFUNCTION("""COMPUTED_VALUE"""),4040.0)</f>
        <v>4040</v>
      </c>
      <c r="D97" s="1">
        <f>IFERROR(__xludf.DUMMYFUNCTION("""COMPUTED_VALUE"""),3920.0)</f>
        <v>3920</v>
      </c>
      <c r="E97" s="1">
        <f>IFERROR(__xludf.DUMMYFUNCTION("""COMPUTED_VALUE"""),3950.0)</f>
        <v>3950</v>
      </c>
      <c r="F97" s="1">
        <f>IFERROR(__xludf.DUMMYFUNCTION("""COMPUTED_VALUE"""),54867.0)</f>
        <v>54867</v>
      </c>
    </row>
    <row r="98">
      <c r="A98" s="2">
        <f>IFERROR(__xludf.DUMMYFUNCTION("""COMPUTED_VALUE"""),41051.645833333336)</f>
        <v>41051.64583</v>
      </c>
      <c r="B98" s="1">
        <f>IFERROR(__xludf.DUMMYFUNCTION("""COMPUTED_VALUE"""),4150.0)</f>
        <v>4150</v>
      </c>
      <c r="C98" s="1">
        <f>IFERROR(__xludf.DUMMYFUNCTION("""COMPUTED_VALUE"""),4150.0)</f>
        <v>4150</v>
      </c>
      <c r="D98" s="1">
        <f>IFERROR(__xludf.DUMMYFUNCTION("""COMPUTED_VALUE"""),4010.0)</f>
        <v>4010</v>
      </c>
      <c r="E98" s="1">
        <f>IFERROR(__xludf.DUMMYFUNCTION("""COMPUTED_VALUE"""),4025.0)</f>
        <v>4025</v>
      </c>
      <c r="F98" s="1">
        <f>IFERROR(__xludf.DUMMYFUNCTION("""COMPUTED_VALUE"""),29143.0)</f>
        <v>29143</v>
      </c>
    </row>
    <row r="99">
      <c r="A99" s="2">
        <f>IFERROR(__xludf.DUMMYFUNCTION("""COMPUTED_VALUE"""),41052.645833333336)</f>
        <v>41052.64583</v>
      </c>
      <c r="B99" s="1">
        <f>IFERROR(__xludf.DUMMYFUNCTION("""COMPUTED_VALUE"""),4015.0)</f>
        <v>4015</v>
      </c>
      <c r="C99" s="1">
        <f>IFERROR(__xludf.DUMMYFUNCTION("""COMPUTED_VALUE"""),4110.0)</f>
        <v>4110</v>
      </c>
      <c r="D99" s="1">
        <f>IFERROR(__xludf.DUMMYFUNCTION("""COMPUTED_VALUE"""),4015.0)</f>
        <v>4015</v>
      </c>
      <c r="E99" s="1">
        <f>IFERROR(__xludf.DUMMYFUNCTION("""COMPUTED_VALUE"""),4025.0)</f>
        <v>4025</v>
      </c>
      <c r="F99" s="1">
        <f>IFERROR(__xludf.DUMMYFUNCTION("""COMPUTED_VALUE"""),34106.0)</f>
        <v>34106</v>
      </c>
    </row>
    <row r="100">
      <c r="A100" s="2">
        <f>IFERROR(__xludf.DUMMYFUNCTION("""COMPUTED_VALUE"""),41053.645833333336)</f>
        <v>41053.64583</v>
      </c>
      <c r="B100" s="1">
        <f>IFERROR(__xludf.DUMMYFUNCTION("""COMPUTED_VALUE"""),4020.0)</f>
        <v>4020</v>
      </c>
      <c r="C100" s="1">
        <f>IFERROR(__xludf.DUMMYFUNCTION("""COMPUTED_VALUE"""),4100.0)</f>
        <v>4100</v>
      </c>
      <c r="D100" s="1">
        <f>IFERROR(__xludf.DUMMYFUNCTION("""COMPUTED_VALUE"""),3905.0)</f>
        <v>3905</v>
      </c>
      <c r="E100" s="1">
        <f>IFERROR(__xludf.DUMMYFUNCTION("""COMPUTED_VALUE"""),3965.0)</f>
        <v>3965</v>
      </c>
      <c r="F100" s="1">
        <f>IFERROR(__xludf.DUMMYFUNCTION("""COMPUTED_VALUE"""),36282.0)</f>
        <v>36282</v>
      </c>
    </row>
    <row r="101">
      <c r="A101" s="2">
        <f>IFERROR(__xludf.DUMMYFUNCTION("""COMPUTED_VALUE"""),41054.645833333336)</f>
        <v>41054.64583</v>
      </c>
      <c r="B101" s="1">
        <f>IFERROR(__xludf.DUMMYFUNCTION("""COMPUTED_VALUE"""),3975.0)</f>
        <v>3975</v>
      </c>
      <c r="C101" s="1">
        <f>IFERROR(__xludf.DUMMYFUNCTION("""COMPUTED_VALUE"""),4425.0)</f>
        <v>4425</v>
      </c>
      <c r="D101" s="1">
        <f>IFERROR(__xludf.DUMMYFUNCTION("""COMPUTED_VALUE"""),3975.0)</f>
        <v>3975</v>
      </c>
      <c r="E101" s="1">
        <f>IFERROR(__xludf.DUMMYFUNCTION("""COMPUTED_VALUE"""),4235.0)</f>
        <v>4235</v>
      </c>
      <c r="F101" s="1">
        <f>IFERROR(__xludf.DUMMYFUNCTION("""COMPUTED_VALUE"""),103448.0)</f>
        <v>103448</v>
      </c>
    </row>
    <row r="102">
      <c r="A102" s="2">
        <f>IFERROR(__xludf.DUMMYFUNCTION("""COMPUTED_VALUE"""),41058.645833333336)</f>
        <v>41058.64583</v>
      </c>
      <c r="B102" s="1">
        <f>IFERROR(__xludf.DUMMYFUNCTION("""COMPUTED_VALUE"""),4270.0)</f>
        <v>4270</v>
      </c>
      <c r="C102" s="1">
        <f>IFERROR(__xludf.DUMMYFUNCTION("""COMPUTED_VALUE"""),4330.0)</f>
        <v>4330</v>
      </c>
      <c r="D102" s="1">
        <f>IFERROR(__xludf.DUMMYFUNCTION("""COMPUTED_VALUE"""),4220.0)</f>
        <v>4220</v>
      </c>
      <c r="E102" s="1">
        <f>IFERROR(__xludf.DUMMYFUNCTION("""COMPUTED_VALUE"""),4235.0)</f>
        <v>4235</v>
      </c>
      <c r="F102" s="1">
        <f>IFERROR(__xludf.DUMMYFUNCTION("""COMPUTED_VALUE"""),26979.0)</f>
        <v>26979</v>
      </c>
    </row>
    <row r="103">
      <c r="A103" s="2">
        <f>IFERROR(__xludf.DUMMYFUNCTION("""COMPUTED_VALUE"""),41059.645833333336)</f>
        <v>41059.64583</v>
      </c>
      <c r="B103" s="1">
        <f>IFERROR(__xludf.DUMMYFUNCTION("""COMPUTED_VALUE"""),4240.0)</f>
        <v>4240</v>
      </c>
      <c r="C103" s="1">
        <f>IFERROR(__xludf.DUMMYFUNCTION("""COMPUTED_VALUE"""),4340.0)</f>
        <v>4340</v>
      </c>
      <c r="D103" s="1">
        <f>IFERROR(__xludf.DUMMYFUNCTION("""COMPUTED_VALUE"""),4240.0)</f>
        <v>4240</v>
      </c>
      <c r="E103" s="1">
        <f>IFERROR(__xludf.DUMMYFUNCTION("""COMPUTED_VALUE"""),4270.0)</f>
        <v>4270</v>
      </c>
      <c r="F103" s="1">
        <f>IFERROR(__xludf.DUMMYFUNCTION("""COMPUTED_VALUE"""),24812.0)</f>
        <v>24812</v>
      </c>
    </row>
    <row r="104">
      <c r="A104" s="2">
        <f>IFERROR(__xludf.DUMMYFUNCTION("""COMPUTED_VALUE"""),41060.645833333336)</f>
        <v>41060.64583</v>
      </c>
      <c r="B104" s="1">
        <f>IFERROR(__xludf.DUMMYFUNCTION("""COMPUTED_VALUE"""),4200.0)</f>
        <v>4200</v>
      </c>
      <c r="C104" s="1">
        <f>IFERROR(__xludf.DUMMYFUNCTION("""COMPUTED_VALUE"""),4345.0)</f>
        <v>4345</v>
      </c>
      <c r="D104" s="1">
        <f>IFERROR(__xludf.DUMMYFUNCTION("""COMPUTED_VALUE"""),4120.0)</f>
        <v>4120</v>
      </c>
      <c r="E104" s="1">
        <f>IFERROR(__xludf.DUMMYFUNCTION("""COMPUTED_VALUE"""),4230.0)</f>
        <v>4230</v>
      </c>
      <c r="F104" s="1">
        <f>IFERROR(__xludf.DUMMYFUNCTION("""COMPUTED_VALUE"""),54706.0)</f>
        <v>54706</v>
      </c>
    </row>
    <row r="105">
      <c r="A105" s="2">
        <f>IFERROR(__xludf.DUMMYFUNCTION("""COMPUTED_VALUE"""),41061.645833333336)</f>
        <v>41061.64583</v>
      </c>
      <c r="B105" s="1">
        <f>IFERROR(__xludf.DUMMYFUNCTION("""COMPUTED_VALUE"""),4250.0)</f>
        <v>4250</v>
      </c>
      <c r="C105" s="1">
        <f>IFERROR(__xludf.DUMMYFUNCTION("""COMPUTED_VALUE"""),4310.0)</f>
        <v>4310</v>
      </c>
      <c r="D105" s="1">
        <f>IFERROR(__xludf.DUMMYFUNCTION("""COMPUTED_VALUE"""),4150.0)</f>
        <v>4150</v>
      </c>
      <c r="E105" s="1">
        <f>IFERROR(__xludf.DUMMYFUNCTION("""COMPUTED_VALUE"""),4150.0)</f>
        <v>4150</v>
      </c>
      <c r="F105" s="1">
        <f>IFERROR(__xludf.DUMMYFUNCTION("""COMPUTED_VALUE"""),41873.0)</f>
        <v>41873</v>
      </c>
    </row>
    <row r="106">
      <c r="A106" s="2">
        <f>IFERROR(__xludf.DUMMYFUNCTION("""COMPUTED_VALUE"""),41064.645833333336)</f>
        <v>41064.64583</v>
      </c>
      <c r="B106" s="1">
        <f>IFERROR(__xludf.DUMMYFUNCTION("""COMPUTED_VALUE"""),3930.0)</f>
        <v>3930</v>
      </c>
      <c r="C106" s="1">
        <f>IFERROR(__xludf.DUMMYFUNCTION("""COMPUTED_VALUE"""),4100.0)</f>
        <v>4100</v>
      </c>
      <c r="D106" s="1">
        <f>IFERROR(__xludf.DUMMYFUNCTION("""COMPUTED_VALUE"""),3815.0)</f>
        <v>3815</v>
      </c>
      <c r="E106" s="1">
        <f>IFERROR(__xludf.DUMMYFUNCTION("""COMPUTED_VALUE"""),3860.0)</f>
        <v>3860</v>
      </c>
      <c r="F106" s="1">
        <f>IFERROR(__xludf.DUMMYFUNCTION("""COMPUTED_VALUE"""),96770.0)</f>
        <v>96770</v>
      </c>
    </row>
    <row r="107">
      <c r="A107" s="2">
        <f>IFERROR(__xludf.DUMMYFUNCTION("""COMPUTED_VALUE"""),41065.645833333336)</f>
        <v>41065.64583</v>
      </c>
      <c r="B107" s="1">
        <f>IFERROR(__xludf.DUMMYFUNCTION("""COMPUTED_VALUE"""),4010.0)</f>
        <v>4010</v>
      </c>
      <c r="C107" s="1">
        <f>IFERROR(__xludf.DUMMYFUNCTION("""COMPUTED_VALUE"""),4010.0)</f>
        <v>4010</v>
      </c>
      <c r="D107" s="1">
        <f>IFERROR(__xludf.DUMMYFUNCTION("""COMPUTED_VALUE"""),3875.0)</f>
        <v>3875</v>
      </c>
      <c r="E107" s="1">
        <f>IFERROR(__xludf.DUMMYFUNCTION("""COMPUTED_VALUE"""),3950.0)</f>
        <v>3950</v>
      </c>
      <c r="F107" s="1">
        <f>IFERROR(__xludf.DUMMYFUNCTION("""COMPUTED_VALUE"""),25980.0)</f>
        <v>25980</v>
      </c>
    </row>
    <row r="108">
      <c r="A108" s="2">
        <f>IFERROR(__xludf.DUMMYFUNCTION("""COMPUTED_VALUE"""),41067.645833333336)</f>
        <v>41067.64583</v>
      </c>
      <c r="B108" s="1">
        <f>IFERROR(__xludf.DUMMYFUNCTION("""COMPUTED_VALUE"""),4090.0)</f>
        <v>4090</v>
      </c>
      <c r="C108" s="1">
        <f>IFERROR(__xludf.DUMMYFUNCTION("""COMPUTED_VALUE"""),4100.0)</f>
        <v>4100</v>
      </c>
      <c r="D108" s="1">
        <f>IFERROR(__xludf.DUMMYFUNCTION("""COMPUTED_VALUE"""),4030.0)</f>
        <v>4030</v>
      </c>
      <c r="E108" s="1">
        <f>IFERROR(__xludf.DUMMYFUNCTION("""COMPUTED_VALUE"""),4045.0)</f>
        <v>4045</v>
      </c>
      <c r="F108" s="1">
        <f>IFERROR(__xludf.DUMMYFUNCTION("""COMPUTED_VALUE"""),26700.0)</f>
        <v>26700</v>
      </c>
    </row>
    <row r="109">
      <c r="A109" s="2">
        <f>IFERROR(__xludf.DUMMYFUNCTION("""COMPUTED_VALUE"""),41068.645833333336)</f>
        <v>41068.64583</v>
      </c>
      <c r="B109" s="1">
        <f>IFERROR(__xludf.DUMMYFUNCTION("""COMPUTED_VALUE"""),4105.0)</f>
        <v>4105</v>
      </c>
      <c r="C109" s="1">
        <f>IFERROR(__xludf.DUMMYFUNCTION("""COMPUTED_VALUE"""),4105.0)</f>
        <v>4105</v>
      </c>
      <c r="D109" s="1">
        <f>IFERROR(__xludf.DUMMYFUNCTION("""COMPUTED_VALUE"""),4010.0)</f>
        <v>4010</v>
      </c>
      <c r="E109" s="1">
        <f>IFERROR(__xludf.DUMMYFUNCTION("""COMPUTED_VALUE"""),4045.0)</f>
        <v>4045</v>
      </c>
      <c r="F109" s="1">
        <f>IFERROR(__xludf.DUMMYFUNCTION("""COMPUTED_VALUE"""),38342.0)</f>
        <v>38342</v>
      </c>
    </row>
    <row r="110">
      <c r="A110" s="2">
        <f>IFERROR(__xludf.DUMMYFUNCTION("""COMPUTED_VALUE"""),41071.645833333336)</f>
        <v>41071.64583</v>
      </c>
      <c r="B110" s="1">
        <f>IFERROR(__xludf.DUMMYFUNCTION("""COMPUTED_VALUE"""),4090.0)</f>
        <v>4090</v>
      </c>
      <c r="C110" s="1">
        <f>IFERROR(__xludf.DUMMYFUNCTION("""COMPUTED_VALUE"""),4120.0)</f>
        <v>4120</v>
      </c>
      <c r="D110" s="1">
        <f>IFERROR(__xludf.DUMMYFUNCTION("""COMPUTED_VALUE"""),4025.0)</f>
        <v>4025</v>
      </c>
      <c r="E110" s="1">
        <f>IFERROR(__xludf.DUMMYFUNCTION("""COMPUTED_VALUE"""),4080.0)</f>
        <v>4080</v>
      </c>
      <c r="F110" s="1">
        <f>IFERROR(__xludf.DUMMYFUNCTION("""COMPUTED_VALUE"""),39520.0)</f>
        <v>39520</v>
      </c>
    </row>
    <row r="111">
      <c r="A111" s="2">
        <f>IFERROR(__xludf.DUMMYFUNCTION("""COMPUTED_VALUE"""),41072.645833333336)</f>
        <v>41072.64583</v>
      </c>
      <c r="B111" s="1">
        <f>IFERROR(__xludf.DUMMYFUNCTION("""COMPUTED_VALUE"""),3960.0)</f>
        <v>3960</v>
      </c>
      <c r="C111" s="1">
        <f>IFERROR(__xludf.DUMMYFUNCTION("""COMPUTED_VALUE"""),4085.0)</f>
        <v>4085</v>
      </c>
      <c r="D111" s="1">
        <f>IFERROR(__xludf.DUMMYFUNCTION("""COMPUTED_VALUE"""),3960.0)</f>
        <v>3960</v>
      </c>
      <c r="E111" s="1">
        <f>IFERROR(__xludf.DUMMYFUNCTION("""COMPUTED_VALUE"""),4075.0)</f>
        <v>4075</v>
      </c>
      <c r="F111" s="1">
        <f>IFERROR(__xludf.DUMMYFUNCTION("""COMPUTED_VALUE"""),31750.0)</f>
        <v>31750</v>
      </c>
    </row>
    <row r="112">
      <c r="A112" s="2">
        <f>IFERROR(__xludf.DUMMYFUNCTION("""COMPUTED_VALUE"""),41073.645833333336)</f>
        <v>41073.64583</v>
      </c>
      <c r="B112" s="1">
        <f>IFERROR(__xludf.DUMMYFUNCTION("""COMPUTED_VALUE"""),4080.0)</f>
        <v>4080</v>
      </c>
      <c r="C112" s="1">
        <f>IFERROR(__xludf.DUMMYFUNCTION("""COMPUTED_VALUE"""),4190.0)</f>
        <v>4190</v>
      </c>
      <c r="D112" s="1">
        <f>IFERROR(__xludf.DUMMYFUNCTION("""COMPUTED_VALUE"""),4040.0)</f>
        <v>4040</v>
      </c>
      <c r="E112" s="1">
        <f>IFERROR(__xludf.DUMMYFUNCTION("""COMPUTED_VALUE"""),4040.0)</f>
        <v>4040</v>
      </c>
      <c r="F112" s="1">
        <f>IFERROR(__xludf.DUMMYFUNCTION("""COMPUTED_VALUE"""),49120.0)</f>
        <v>49120</v>
      </c>
    </row>
    <row r="113">
      <c r="A113" s="2">
        <f>IFERROR(__xludf.DUMMYFUNCTION("""COMPUTED_VALUE"""),41074.645833333336)</f>
        <v>41074.64583</v>
      </c>
      <c r="B113" s="1">
        <f>IFERROR(__xludf.DUMMYFUNCTION("""COMPUTED_VALUE"""),4040.0)</f>
        <v>4040</v>
      </c>
      <c r="C113" s="1">
        <f>IFERROR(__xludf.DUMMYFUNCTION("""COMPUTED_VALUE"""),4100.0)</f>
        <v>4100</v>
      </c>
      <c r="D113" s="1">
        <f>IFERROR(__xludf.DUMMYFUNCTION("""COMPUTED_VALUE"""),4020.0)</f>
        <v>4020</v>
      </c>
      <c r="E113" s="1">
        <f>IFERROR(__xludf.DUMMYFUNCTION("""COMPUTED_VALUE"""),4095.0)</f>
        <v>4095</v>
      </c>
      <c r="F113" s="1">
        <f>IFERROR(__xludf.DUMMYFUNCTION("""COMPUTED_VALUE"""),25010.0)</f>
        <v>25010</v>
      </c>
    </row>
    <row r="114">
      <c r="A114" s="2">
        <f>IFERROR(__xludf.DUMMYFUNCTION("""COMPUTED_VALUE"""),41075.645833333336)</f>
        <v>41075.64583</v>
      </c>
      <c r="B114" s="1">
        <f>IFERROR(__xludf.DUMMYFUNCTION("""COMPUTED_VALUE"""),4115.0)</f>
        <v>4115</v>
      </c>
      <c r="C114" s="1">
        <f>IFERROR(__xludf.DUMMYFUNCTION("""COMPUTED_VALUE"""),4120.0)</f>
        <v>4120</v>
      </c>
      <c r="D114" s="1">
        <f>IFERROR(__xludf.DUMMYFUNCTION("""COMPUTED_VALUE"""),4015.0)</f>
        <v>4015</v>
      </c>
      <c r="E114" s="1">
        <f>IFERROR(__xludf.DUMMYFUNCTION("""COMPUTED_VALUE"""),4065.0)</f>
        <v>4065</v>
      </c>
      <c r="F114" s="1">
        <f>IFERROR(__xludf.DUMMYFUNCTION("""COMPUTED_VALUE"""),34060.0)</f>
        <v>34060</v>
      </c>
    </row>
    <row r="115">
      <c r="A115" s="2">
        <f>IFERROR(__xludf.DUMMYFUNCTION("""COMPUTED_VALUE"""),41078.645833333336)</f>
        <v>41078.64583</v>
      </c>
      <c r="B115" s="1">
        <f>IFERROR(__xludf.DUMMYFUNCTION("""COMPUTED_VALUE"""),4120.0)</f>
        <v>4120</v>
      </c>
      <c r="C115" s="1">
        <f>IFERROR(__xludf.DUMMYFUNCTION("""COMPUTED_VALUE"""),4670.0)</f>
        <v>4670</v>
      </c>
      <c r="D115" s="1">
        <f>IFERROR(__xludf.DUMMYFUNCTION("""COMPUTED_VALUE"""),4105.0)</f>
        <v>4105</v>
      </c>
      <c r="E115" s="1">
        <f>IFERROR(__xludf.DUMMYFUNCTION("""COMPUTED_VALUE"""),4670.0)</f>
        <v>4670</v>
      </c>
      <c r="F115" s="1">
        <f>IFERROR(__xludf.DUMMYFUNCTION("""COMPUTED_VALUE"""),243820.0)</f>
        <v>243820</v>
      </c>
    </row>
    <row r="116">
      <c r="A116" s="2">
        <f>IFERROR(__xludf.DUMMYFUNCTION("""COMPUTED_VALUE"""),41079.645833333336)</f>
        <v>41079.64583</v>
      </c>
      <c r="B116" s="1">
        <f>IFERROR(__xludf.DUMMYFUNCTION("""COMPUTED_VALUE"""),4770.0)</f>
        <v>4770</v>
      </c>
      <c r="C116" s="1">
        <f>IFERROR(__xludf.DUMMYFUNCTION("""COMPUTED_VALUE"""),4950.0)</f>
        <v>4950</v>
      </c>
      <c r="D116" s="1">
        <f>IFERROR(__xludf.DUMMYFUNCTION("""COMPUTED_VALUE"""),4600.0)</f>
        <v>4600</v>
      </c>
      <c r="E116" s="1">
        <f>IFERROR(__xludf.DUMMYFUNCTION("""COMPUTED_VALUE"""),4730.0)</f>
        <v>4730</v>
      </c>
      <c r="F116" s="1">
        <f>IFERROR(__xludf.DUMMYFUNCTION("""COMPUTED_VALUE"""),554686.0)</f>
        <v>554686</v>
      </c>
    </row>
    <row r="117">
      <c r="A117" s="2">
        <f>IFERROR(__xludf.DUMMYFUNCTION("""COMPUTED_VALUE"""),41080.645833333336)</f>
        <v>41080.64583</v>
      </c>
      <c r="B117" s="1">
        <f>IFERROR(__xludf.DUMMYFUNCTION("""COMPUTED_VALUE"""),4800.0)</f>
        <v>4800</v>
      </c>
      <c r="C117" s="1">
        <f>IFERROR(__xludf.DUMMYFUNCTION("""COMPUTED_VALUE"""),4840.0)</f>
        <v>4840</v>
      </c>
      <c r="D117" s="1">
        <f>IFERROR(__xludf.DUMMYFUNCTION("""COMPUTED_VALUE"""),4640.0)</f>
        <v>4640</v>
      </c>
      <c r="E117" s="1">
        <f>IFERROR(__xludf.DUMMYFUNCTION("""COMPUTED_VALUE"""),4840.0)</f>
        <v>4840</v>
      </c>
      <c r="F117" s="1">
        <f>IFERROR(__xludf.DUMMYFUNCTION("""COMPUTED_VALUE"""),104555.0)</f>
        <v>104555</v>
      </c>
    </row>
    <row r="118">
      <c r="A118" s="2">
        <f>IFERROR(__xludf.DUMMYFUNCTION("""COMPUTED_VALUE"""),41081.645833333336)</f>
        <v>41081.64583</v>
      </c>
      <c r="B118" s="1">
        <f>IFERROR(__xludf.DUMMYFUNCTION("""COMPUTED_VALUE"""),4820.0)</f>
        <v>4820</v>
      </c>
      <c r="C118" s="1">
        <f>IFERROR(__xludf.DUMMYFUNCTION("""COMPUTED_VALUE"""),5000.0)</f>
        <v>5000</v>
      </c>
      <c r="D118" s="1">
        <f>IFERROR(__xludf.DUMMYFUNCTION("""COMPUTED_VALUE"""),4710.0)</f>
        <v>4710</v>
      </c>
      <c r="E118" s="1">
        <f>IFERROR(__xludf.DUMMYFUNCTION("""COMPUTED_VALUE"""),4840.0)</f>
        <v>4840</v>
      </c>
      <c r="F118" s="1">
        <f>IFERROR(__xludf.DUMMYFUNCTION("""COMPUTED_VALUE"""),107920.0)</f>
        <v>107920</v>
      </c>
    </row>
    <row r="119">
      <c r="A119" s="2">
        <f>IFERROR(__xludf.DUMMYFUNCTION("""COMPUTED_VALUE"""),41082.645833333336)</f>
        <v>41082.64583</v>
      </c>
      <c r="B119" s="1">
        <f>IFERROR(__xludf.DUMMYFUNCTION("""COMPUTED_VALUE"""),4725.0)</f>
        <v>4725</v>
      </c>
      <c r="C119" s="1">
        <f>IFERROR(__xludf.DUMMYFUNCTION("""COMPUTED_VALUE"""),4855.0)</f>
        <v>4855</v>
      </c>
      <c r="D119" s="1">
        <f>IFERROR(__xludf.DUMMYFUNCTION("""COMPUTED_VALUE"""),4680.0)</f>
        <v>4680</v>
      </c>
      <c r="E119" s="1">
        <f>IFERROR(__xludf.DUMMYFUNCTION("""COMPUTED_VALUE"""),4745.0)</f>
        <v>4745</v>
      </c>
      <c r="F119" s="1">
        <f>IFERROR(__xludf.DUMMYFUNCTION("""COMPUTED_VALUE"""),64640.0)</f>
        <v>64640</v>
      </c>
    </row>
    <row r="120">
      <c r="A120" s="2">
        <f>IFERROR(__xludf.DUMMYFUNCTION("""COMPUTED_VALUE"""),41085.645833333336)</f>
        <v>41085.64583</v>
      </c>
      <c r="B120" s="1">
        <f>IFERROR(__xludf.DUMMYFUNCTION("""COMPUTED_VALUE"""),4830.0)</f>
        <v>4830</v>
      </c>
      <c r="C120" s="1">
        <f>IFERROR(__xludf.DUMMYFUNCTION("""COMPUTED_VALUE"""),4830.0)</f>
        <v>4830</v>
      </c>
      <c r="D120" s="1">
        <f>IFERROR(__xludf.DUMMYFUNCTION("""COMPUTED_VALUE"""),4615.0)</f>
        <v>4615</v>
      </c>
      <c r="E120" s="1">
        <f>IFERROR(__xludf.DUMMYFUNCTION("""COMPUTED_VALUE"""),4620.0)</f>
        <v>4620</v>
      </c>
      <c r="F120" s="1">
        <f>IFERROR(__xludf.DUMMYFUNCTION("""COMPUTED_VALUE"""),49750.0)</f>
        <v>49750</v>
      </c>
    </row>
    <row r="121">
      <c r="A121" s="2">
        <f>IFERROR(__xludf.DUMMYFUNCTION("""COMPUTED_VALUE"""),41086.645833333336)</f>
        <v>41086.64583</v>
      </c>
      <c r="B121" s="1">
        <f>IFERROR(__xludf.DUMMYFUNCTION("""COMPUTED_VALUE"""),4620.0)</f>
        <v>4620</v>
      </c>
      <c r="C121" s="1">
        <f>IFERROR(__xludf.DUMMYFUNCTION("""COMPUTED_VALUE"""),5240.0)</f>
        <v>5240</v>
      </c>
      <c r="D121" s="1">
        <f>IFERROR(__xludf.DUMMYFUNCTION("""COMPUTED_VALUE"""),4620.0)</f>
        <v>4620</v>
      </c>
      <c r="E121" s="1">
        <f>IFERROR(__xludf.DUMMYFUNCTION("""COMPUTED_VALUE"""),4850.0)</f>
        <v>4850</v>
      </c>
      <c r="F121" s="1">
        <f>IFERROR(__xludf.DUMMYFUNCTION("""COMPUTED_VALUE"""),448482.0)</f>
        <v>448482</v>
      </c>
    </row>
    <row r="122">
      <c r="A122" s="2">
        <f>IFERROR(__xludf.DUMMYFUNCTION("""COMPUTED_VALUE"""),41087.645833333336)</f>
        <v>41087.64583</v>
      </c>
      <c r="B122" s="1">
        <f>IFERROR(__xludf.DUMMYFUNCTION("""COMPUTED_VALUE"""),4850.0)</f>
        <v>4850</v>
      </c>
      <c r="C122" s="1">
        <f>IFERROR(__xludf.DUMMYFUNCTION("""COMPUTED_VALUE"""),4865.0)</f>
        <v>4865</v>
      </c>
      <c r="D122" s="1">
        <f>IFERROR(__xludf.DUMMYFUNCTION("""COMPUTED_VALUE"""),4680.0)</f>
        <v>4680</v>
      </c>
      <c r="E122" s="1">
        <f>IFERROR(__xludf.DUMMYFUNCTION("""COMPUTED_VALUE"""),4770.0)</f>
        <v>4770</v>
      </c>
      <c r="F122" s="1">
        <f>IFERROR(__xludf.DUMMYFUNCTION("""COMPUTED_VALUE"""),130400.0)</f>
        <v>130400</v>
      </c>
    </row>
    <row r="123">
      <c r="A123" s="2">
        <f>IFERROR(__xludf.DUMMYFUNCTION("""COMPUTED_VALUE"""),41088.645833333336)</f>
        <v>41088.64583</v>
      </c>
      <c r="B123" s="1">
        <f>IFERROR(__xludf.DUMMYFUNCTION("""COMPUTED_VALUE"""),4785.0)</f>
        <v>4785</v>
      </c>
      <c r="C123" s="1">
        <f>IFERROR(__xludf.DUMMYFUNCTION("""COMPUTED_VALUE"""),4870.0)</f>
        <v>4870</v>
      </c>
      <c r="D123" s="1">
        <f>IFERROR(__xludf.DUMMYFUNCTION("""COMPUTED_VALUE"""),4710.0)</f>
        <v>4710</v>
      </c>
      <c r="E123" s="1">
        <f>IFERROR(__xludf.DUMMYFUNCTION("""COMPUTED_VALUE"""),4750.0)</f>
        <v>4750</v>
      </c>
      <c r="F123" s="1">
        <f>IFERROR(__xludf.DUMMYFUNCTION("""COMPUTED_VALUE"""),52867.0)</f>
        <v>52867</v>
      </c>
    </row>
    <row r="124">
      <c r="A124" s="2">
        <f>IFERROR(__xludf.DUMMYFUNCTION("""COMPUTED_VALUE"""),41089.645833333336)</f>
        <v>41089.64583</v>
      </c>
      <c r="B124" s="1">
        <f>IFERROR(__xludf.DUMMYFUNCTION("""COMPUTED_VALUE"""),4745.0)</f>
        <v>4745</v>
      </c>
      <c r="C124" s="1">
        <f>IFERROR(__xludf.DUMMYFUNCTION("""COMPUTED_VALUE"""),4760.0)</f>
        <v>4760</v>
      </c>
      <c r="D124" s="1">
        <f>IFERROR(__xludf.DUMMYFUNCTION("""COMPUTED_VALUE"""),4625.0)</f>
        <v>4625</v>
      </c>
      <c r="E124" s="1">
        <f>IFERROR(__xludf.DUMMYFUNCTION("""COMPUTED_VALUE"""),4730.0)</f>
        <v>4730</v>
      </c>
      <c r="F124" s="1">
        <f>IFERROR(__xludf.DUMMYFUNCTION("""COMPUTED_VALUE"""),67598.0)</f>
        <v>67598</v>
      </c>
    </row>
    <row r="125">
      <c r="A125" s="2">
        <f>IFERROR(__xludf.DUMMYFUNCTION("""COMPUTED_VALUE"""),41092.645833333336)</f>
        <v>41092.64583</v>
      </c>
      <c r="B125" s="1">
        <f>IFERROR(__xludf.DUMMYFUNCTION("""COMPUTED_VALUE"""),4760.0)</f>
        <v>4760</v>
      </c>
      <c r="C125" s="1">
        <f>IFERROR(__xludf.DUMMYFUNCTION("""COMPUTED_VALUE"""),4970.0)</f>
        <v>4970</v>
      </c>
      <c r="D125" s="1">
        <f>IFERROR(__xludf.DUMMYFUNCTION("""COMPUTED_VALUE"""),4730.0)</f>
        <v>4730</v>
      </c>
      <c r="E125" s="1">
        <f>IFERROR(__xludf.DUMMYFUNCTION("""COMPUTED_VALUE"""),4950.0)</f>
        <v>4950</v>
      </c>
      <c r="F125" s="1">
        <f>IFERROR(__xludf.DUMMYFUNCTION("""COMPUTED_VALUE"""),109581.0)</f>
        <v>109581</v>
      </c>
    </row>
    <row r="126">
      <c r="A126" s="2">
        <f>IFERROR(__xludf.DUMMYFUNCTION("""COMPUTED_VALUE"""),41093.645833333336)</f>
        <v>41093.64583</v>
      </c>
      <c r="B126" s="1">
        <f>IFERROR(__xludf.DUMMYFUNCTION("""COMPUTED_VALUE"""),4970.0)</f>
        <v>4970</v>
      </c>
      <c r="C126" s="1">
        <f>IFERROR(__xludf.DUMMYFUNCTION("""COMPUTED_VALUE"""),5000.0)</f>
        <v>5000</v>
      </c>
      <c r="D126" s="1">
        <f>IFERROR(__xludf.DUMMYFUNCTION("""COMPUTED_VALUE"""),4875.0)</f>
        <v>4875</v>
      </c>
      <c r="E126" s="1">
        <f>IFERROR(__xludf.DUMMYFUNCTION("""COMPUTED_VALUE"""),4905.0)</f>
        <v>4905</v>
      </c>
      <c r="F126" s="1">
        <f>IFERROR(__xludf.DUMMYFUNCTION("""COMPUTED_VALUE"""),60037.0)</f>
        <v>60037</v>
      </c>
    </row>
    <row r="127">
      <c r="A127" s="2">
        <f>IFERROR(__xludf.DUMMYFUNCTION("""COMPUTED_VALUE"""),41094.645833333336)</f>
        <v>41094.64583</v>
      </c>
      <c r="B127" s="1">
        <f>IFERROR(__xludf.DUMMYFUNCTION("""COMPUTED_VALUE"""),5000.0)</f>
        <v>5000</v>
      </c>
      <c r="C127" s="1">
        <f>IFERROR(__xludf.DUMMYFUNCTION("""COMPUTED_VALUE"""),5000.0)</f>
        <v>5000</v>
      </c>
      <c r="D127" s="1">
        <f>IFERROR(__xludf.DUMMYFUNCTION("""COMPUTED_VALUE"""),4850.0)</f>
        <v>4850</v>
      </c>
      <c r="E127" s="1">
        <f>IFERROR(__xludf.DUMMYFUNCTION("""COMPUTED_VALUE"""),4960.0)</f>
        <v>4960</v>
      </c>
      <c r="F127" s="1">
        <f>IFERROR(__xludf.DUMMYFUNCTION("""COMPUTED_VALUE"""),70570.0)</f>
        <v>70570</v>
      </c>
    </row>
    <row r="128">
      <c r="A128" s="2">
        <f>IFERROR(__xludf.DUMMYFUNCTION("""COMPUTED_VALUE"""),41095.645833333336)</f>
        <v>41095.64583</v>
      </c>
      <c r="B128" s="1">
        <f>IFERROR(__xludf.DUMMYFUNCTION("""COMPUTED_VALUE"""),4950.0)</f>
        <v>4950</v>
      </c>
      <c r="C128" s="1">
        <f>IFERROR(__xludf.DUMMYFUNCTION("""COMPUTED_VALUE"""),4980.0)</f>
        <v>4980</v>
      </c>
      <c r="D128" s="1">
        <f>IFERROR(__xludf.DUMMYFUNCTION("""COMPUTED_VALUE"""),4710.0)</f>
        <v>4710</v>
      </c>
      <c r="E128" s="1">
        <f>IFERROR(__xludf.DUMMYFUNCTION("""COMPUTED_VALUE"""),4880.0)</f>
        <v>4880</v>
      </c>
      <c r="F128" s="1">
        <f>IFERROR(__xludf.DUMMYFUNCTION("""COMPUTED_VALUE"""),76917.0)</f>
        <v>76917</v>
      </c>
    </row>
    <row r="129">
      <c r="A129" s="2">
        <f>IFERROR(__xludf.DUMMYFUNCTION("""COMPUTED_VALUE"""),41096.645833333336)</f>
        <v>41096.64583</v>
      </c>
      <c r="B129" s="1">
        <f>IFERROR(__xludf.DUMMYFUNCTION("""COMPUTED_VALUE"""),4920.0)</f>
        <v>4920</v>
      </c>
      <c r="C129" s="1">
        <f>IFERROR(__xludf.DUMMYFUNCTION("""COMPUTED_VALUE"""),5190.0)</f>
        <v>5190</v>
      </c>
      <c r="D129" s="1">
        <f>IFERROR(__xludf.DUMMYFUNCTION("""COMPUTED_VALUE"""),4770.0)</f>
        <v>4770</v>
      </c>
      <c r="E129" s="1">
        <f>IFERROR(__xludf.DUMMYFUNCTION("""COMPUTED_VALUE"""),4980.0)</f>
        <v>4980</v>
      </c>
      <c r="F129" s="1">
        <f>IFERROR(__xludf.DUMMYFUNCTION("""COMPUTED_VALUE"""),194592.0)</f>
        <v>194592</v>
      </c>
    </row>
    <row r="130">
      <c r="A130" s="2">
        <f>IFERROR(__xludf.DUMMYFUNCTION("""COMPUTED_VALUE"""),41099.645833333336)</f>
        <v>41099.64583</v>
      </c>
      <c r="B130" s="1">
        <f>IFERROR(__xludf.DUMMYFUNCTION("""COMPUTED_VALUE"""),5070.0)</f>
        <v>5070</v>
      </c>
      <c r="C130" s="1">
        <f>IFERROR(__xludf.DUMMYFUNCTION("""COMPUTED_VALUE"""),5070.0)</f>
        <v>5070</v>
      </c>
      <c r="D130" s="1">
        <f>IFERROR(__xludf.DUMMYFUNCTION("""COMPUTED_VALUE"""),4855.0)</f>
        <v>4855</v>
      </c>
      <c r="E130" s="1">
        <f>IFERROR(__xludf.DUMMYFUNCTION("""COMPUTED_VALUE"""),4900.0)</f>
        <v>4900</v>
      </c>
      <c r="F130" s="1">
        <f>IFERROR(__xludf.DUMMYFUNCTION("""COMPUTED_VALUE"""),88154.0)</f>
        <v>88154</v>
      </c>
    </row>
    <row r="131">
      <c r="A131" s="2">
        <f>IFERROR(__xludf.DUMMYFUNCTION("""COMPUTED_VALUE"""),41100.645833333336)</f>
        <v>41100.64583</v>
      </c>
      <c r="B131" s="1">
        <f>IFERROR(__xludf.DUMMYFUNCTION("""COMPUTED_VALUE"""),4900.0)</f>
        <v>4900</v>
      </c>
      <c r="C131" s="1">
        <f>IFERROR(__xludf.DUMMYFUNCTION("""COMPUTED_VALUE"""),4945.0)</f>
        <v>4945</v>
      </c>
      <c r="D131" s="1">
        <f>IFERROR(__xludf.DUMMYFUNCTION("""COMPUTED_VALUE"""),4700.0)</f>
        <v>4700</v>
      </c>
      <c r="E131" s="1">
        <f>IFERROR(__xludf.DUMMYFUNCTION("""COMPUTED_VALUE"""),4720.0)</f>
        <v>4720</v>
      </c>
      <c r="F131" s="1">
        <f>IFERROR(__xludf.DUMMYFUNCTION("""COMPUTED_VALUE"""),92492.0)</f>
        <v>92492</v>
      </c>
    </row>
    <row r="132">
      <c r="A132" s="2">
        <f>IFERROR(__xludf.DUMMYFUNCTION("""COMPUTED_VALUE"""),41101.645833333336)</f>
        <v>41101.64583</v>
      </c>
      <c r="B132" s="1">
        <f>IFERROR(__xludf.DUMMYFUNCTION("""COMPUTED_VALUE"""),4650.0)</f>
        <v>4650</v>
      </c>
      <c r="C132" s="1">
        <f>IFERROR(__xludf.DUMMYFUNCTION("""COMPUTED_VALUE"""),4740.0)</f>
        <v>4740</v>
      </c>
      <c r="D132" s="1">
        <f>IFERROR(__xludf.DUMMYFUNCTION("""COMPUTED_VALUE"""),4620.0)</f>
        <v>4620</v>
      </c>
      <c r="E132" s="1">
        <f>IFERROR(__xludf.DUMMYFUNCTION("""COMPUTED_VALUE"""),4710.0)</f>
        <v>4710</v>
      </c>
      <c r="F132" s="1">
        <f>IFERROR(__xludf.DUMMYFUNCTION("""COMPUTED_VALUE"""),45615.0)</f>
        <v>45615</v>
      </c>
    </row>
    <row r="133">
      <c r="A133" s="2">
        <f>IFERROR(__xludf.DUMMYFUNCTION("""COMPUTED_VALUE"""),41102.645833333336)</f>
        <v>41102.64583</v>
      </c>
      <c r="B133" s="1">
        <f>IFERROR(__xludf.DUMMYFUNCTION("""COMPUTED_VALUE"""),4740.0)</f>
        <v>4740</v>
      </c>
      <c r="C133" s="1">
        <f>IFERROR(__xludf.DUMMYFUNCTION("""COMPUTED_VALUE"""),5080.0)</f>
        <v>5080</v>
      </c>
      <c r="D133" s="1">
        <f>IFERROR(__xludf.DUMMYFUNCTION("""COMPUTED_VALUE"""),4725.0)</f>
        <v>4725</v>
      </c>
      <c r="E133" s="1">
        <f>IFERROR(__xludf.DUMMYFUNCTION("""COMPUTED_VALUE"""),4830.0)</f>
        <v>4830</v>
      </c>
      <c r="F133" s="1">
        <f>IFERROR(__xludf.DUMMYFUNCTION("""COMPUTED_VALUE"""),143971.0)</f>
        <v>143971</v>
      </c>
    </row>
    <row r="134">
      <c r="A134" s="2">
        <f>IFERROR(__xludf.DUMMYFUNCTION("""COMPUTED_VALUE"""),41103.645833333336)</f>
        <v>41103.64583</v>
      </c>
      <c r="B134" s="1">
        <f>IFERROR(__xludf.DUMMYFUNCTION("""COMPUTED_VALUE"""),4800.0)</f>
        <v>4800</v>
      </c>
      <c r="C134" s="1">
        <f>IFERROR(__xludf.DUMMYFUNCTION("""COMPUTED_VALUE"""),4850.0)</f>
        <v>4850</v>
      </c>
      <c r="D134" s="1">
        <f>IFERROR(__xludf.DUMMYFUNCTION("""COMPUTED_VALUE"""),4220.0)</f>
        <v>4220</v>
      </c>
      <c r="E134" s="1">
        <f>IFERROR(__xludf.DUMMYFUNCTION("""COMPUTED_VALUE"""),4680.0)</f>
        <v>4680</v>
      </c>
      <c r="F134" s="1">
        <f>IFERROR(__xludf.DUMMYFUNCTION("""COMPUTED_VALUE"""),62907.0)</f>
        <v>62907</v>
      </c>
    </row>
    <row r="135">
      <c r="A135" s="2">
        <f>IFERROR(__xludf.DUMMYFUNCTION("""COMPUTED_VALUE"""),41106.645833333336)</f>
        <v>41106.64583</v>
      </c>
      <c r="B135" s="1">
        <f>IFERROR(__xludf.DUMMYFUNCTION("""COMPUTED_VALUE"""),4680.0)</f>
        <v>4680</v>
      </c>
      <c r="C135" s="1">
        <f>IFERROR(__xludf.DUMMYFUNCTION("""COMPUTED_VALUE"""),4850.0)</f>
        <v>4850</v>
      </c>
      <c r="D135" s="1">
        <f>IFERROR(__xludf.DUMMYFUNCTION("""COMPUTED_VALUE"""),4680.0)</f>
        <v>4680</v>
      </c>
      <c r="E135" s="1">
        <f>IFERROR(__xludf.DUMMYFUNCTION("""COMPUTED_VALUE"""),4850.0)</f>
        <v>4850</v>
      </c>
      <c r="F135" s="1">
        <f>IFERROR(__xludf.DUMMYFUNCTION("""COMPUTED_VALUE"""),40817.0)</f>
        <v>40817</v>
      </c>
    </row>
    <row r="136">
      <c r="A136" s="2">
        <f>IFERROR(__xludf.DUMMYFUNCTION("""COMPUTED_VALUE"""),41107.645833333336)</f>
        <v>41107.64583</v>
      </c>
      <c r="B136" s="1">
        <f>IFERROR(__xludf.DUMMYFUNCTION("""COMPUTED_VALUE"""),4800.0)</f>
        <v>4800</v>
      </c>
      <c r="C136" s="1">
        <f>IFERROR(__xludf.DUMMYFUNCTION("""COMPUTED_VALUE"""),4850.0)</f>
        <v>4850</v>
      </c>
      <c r="D136" s="1">
        <f>IFERROR(__xludf.DUMMYFUNCTION("""COMPUTED_VALUE"""),4700.0)</f>
        <v>4700</v>
      </c>
      <c r="E136" s="1">
        <f>IFERROR(__xludf.DUMMYFUNCTION("""COMPUTED_VALUE"""),4755.0)</f>
        <v>4755</v>
      </c>
      <c r="F136" s="1">
        <f>IFERROR(__xludf.DUMMYFUNCTION("""COMPUTED_VALUE"""),38040.0)</f>
        <v>38040</v>
      </c>
    </row>
    <row r="137">
      <c r="A137" s="2">
        <f>IFERROR(__xludf.DUMMYFUNCTION("""COMPUTED_VALUE"""),41108.645833333336)</f>
        <v>41108.64583</v>
      </c>
      <c r="B137" s="1">
        <f>IFERROR(__xludf.DUMMYFUNCTION("""COMPUTED_VALUE"""),4700.0)</f>
        <v>4700</v>
      </c>
      <c r="C137" s="1">
        <f>IFERROR(__xludf.DUMMYFUNCTION("""COMPUTED_VALUE"""),4785.0)</f>
        <v>4785</v>
      </c>
      <c r="D137" s="1">
        <f>IFERROR(__xludf.DUMMYFUNCTION("""COMPUTED_VALUE"""),4460.0)</f>
        <v>4460</v>
      </c>
      <c r="E137" s="1">
        <f>IFERROR(__xludf.DUMMYFUNCTION("""COMPUTED_VALUE"""),4520.0)</f>
        <v>4520</v>
      </c>
      <c r="F137" s="1">
        <f>IFERROR(__xludf.DUMMYFUNCTION("""COMPUTED_VALUE"""),61750.0)</f>
        <v>61750</v>
      </c>
    </row>
    <row r="138">
      <c r="A138" s="2">
        <f>IFERROR(__xludf.DUMMYFUNCTION("""COMPUTED_VALUE"""),41109.645833333336)</f>
        <v>41109.64583</v>
      </c>
      <c r="B138" s="1">
        <f>IFERROR(__xludf.DUMMYFUNCTION("""COMPUTED_VALUE"""),4620.0)</f>
        <v>4620</v>
      </c>
      <c r="C138" s="1">
        <f>IFERROR(__xludf.DUMMYFUNCTION("""COMPUTED_VALUE"""),4620.0)</f>
        <v>4620</v>
      </c>
      <c r="D138" s="1">
        <f>IFERROR(__xludf.DUMMYFUNCTION("""COMPUTED_VALUE"""),4500.0)</f>
        <v>4500</v>
      </c>
      <c r="E138" s="1">
        <f>IFERROR(__xludf.DUMMYFUNCTION("""COMPUTED_VALUE"""),4510.0)</f>
        <v>4510</v>
      </c>
      <c r="F138" s="1">
        <f>IFERROR(__xludf.DUMMYFUNCTION("""COMPUTED_VALUE"""),41830.0)</f>
        <v>41830</v>
      </c>
    </row>
    <row r="139">
      <c r="A139" s="2">
        <f>IFERROR(__xludf.DUMMYFUNCTION("""COMPUTED_VALUE"""),41110.645833333336)</f>
        <v>41110.64583</v>
      </c>
      <c r="B139" s="1">
        <f>IFERROR(__xludf.DUMMYFUNCTION("""COMPUTED_VALUE"""),4510.0)</f>
        <v>4510</v>
      </c>
      <c r="C139" s="1">
        <f>IFERROR(__xludf.DUMMYFUNCTION("""COMPUTED_VALUE"""),4555.0)</f>
        <v>4555</v>
      </c>
      <c r="D139" s="1">
        <f>IFERROR(__xludf.DUMMYFUNCTION("""COMPUTED_VALUE"""),4405.0)</f>
        <v>4405</v>
      </c>
      <c r="E139" s="1">
        <f>IFERROR(__xludf.DUMMYFUNCTION("""COMPUTED_VALUE"""),4440.0)</f>
        <v>4440</v>
      </c>
      <c r="F139" s="1">
        <f>IFERROR(__xludf.DUMMYFUNCTION("""COMPUTED_VALUE"""),51080.0)</f>
        <v>51080</v>
      </c>
    </row>
    <row r="140">
      <c r="A140" s="2">
        <f>IFERROR(__xludf.DUMMYFUNCTION("""COMPUTED_VALUE"""),41113.645833333336)</f>
        <v>41113.64583</v>
      </c>
      <c r="B140" s="1">
        <f>IFERROR(__xludf.DUMMYFUNCTION("""COMPUTED_VALUE"""),4440.0)</f>
        <v>4440</v>
      </c>
      <c r="C140" s="1">
        <f>IFERROR(__xludf.DUMMYFUNCTION("""COMPUTED_VALUE"""),4485.0)</f>
        <v>4485</v>
      </c>
      <c r="D140" s="1">
        <f>IFERROR(__xludf.DUMMYFUNCTION("""COMPUTED_VALUE"""),4235.0)</f>
        <v>4235</v>
      </c>
      <c r="E140" s="1">
        <f>IFERROR(__xludf.DUMMYFUNCTION("""COMPUTED_VALUE"""),4250.0)</f>
        <v>4250</v>
      </c>
      <c r="F140" s="1">
        <f>IFERROR(__xludf.DUMMYFUNCTION("""COMPUTED_VALUE"""),58833.0)</f>
        <v>58833</v>
      </c>
    </row>
    <row r="141">
      <c r="A141" s="2">
        <f>IFERROR(__xludf.DUMMYFUNCTION("""COMPUTED_VALUE"""),41114.645833333336)</f>
        <v>41114.64583</v>
      </c>
      <c r="B141" s="1">
        <f>IFERROR(__xludf.DUMMYFUNCTION("""COMPUTED_VALUE"""),4155.0)</f>
        <v>4155</v>
      </c>
      <c r="C141" s="1">
        <f>IFERROR(__xludf.DUMMYFUNCTION("""COMPUTED_VALUE"""),4345.0)</f>
        <v>4345</v>
      </c>
      <c r="D141" s="1">
        <f>IFERROR(__xludf.DUMMYFUNCTION("""COMPUTED_VALUE"""),4150.0)</f>
        <v>4150</v>
      </c>
      <c r="E141" s="1">
        <f>IFERROR(__xludf.DUMMYFUNCTION("""COMPUTED_VALUE"""),4230.0)</f>
        <v>4230</v>
      </c>
      <c r="F141" s="1">
        <f>IFERROR(__xludf.DUMMYFUNCTION("""COMPUTED_VALUE"""),40310.0)</f>
        <v>40310</v>
      </c>
    </row>
    <row r="142">
      <c r="A142" s="2">
        <f>IFERROR(__xludf.DUMMYFUNCTION("""COMPUTED_VALUE"""),41115.645833333336)</f>
        <v>41115.64583</v>
      </c>
      <c r="B142" s="1">
        <f>IFERROR(__xludf.DUMMYFUNCTION("""COMPUTED_VALUE"""),4230.0)</f>
        <v>4230</v>
      </c>
      <c r="C142" s="1">
        <f>IFERROR(__xludf.DUMMYFUNCTION("""COMPUTED_VALUE"""),4290.0)</f>
        <v>4290</v>
      </c>
      <c r="D142" s="1">
        <f>IFERROR(__xludf.DUMMYFUNCTION("""COMPUTED_VALUE"""),4140.0)</f>
        <v>4140</v>
      </c>
      <c r="E142" s="1">
        <f>IFERROR(__xludf.DUMMYFUNCTION("""COMPUTED_VALUE"""),4235.0)</f>
        <v>4235</v>
      </c>
      <c r="F142" s="1">
        <f>IFERROR(__xludf.DUMMYFUNCTION("""COMPUTED_VALUE"""),26060.0)</f>
        <v>26060</v>
      </c>
    </row>
    <row r="143">
      <c r="A143" s="2">
        <f>IFERROR(__xludf.DUMMYFUNCTION("""COMPUTED_VALUE"""),41116.645833333336)</f>
        <v>41116.64583</v>
      </c>
      <c r="B143" s="1">
        <f>IFERROR(__xludf.DUMMYFUNCTION("""COMPUTED_VALUE"""),4200.0)</f>
        <v>4200</v>
      </c>
      <c r="C143" s="1">
        <f>IFERROR(__xludf.DUMMYFUNCTION("""COMPUTED_VALUE"""),4350.0)</f>
        <v>4350</v>
      </c>
      <c r="D143" s="1">
        <f>IFERROR(__xludf.DUMMYFUNCTION("""COMPUTED_VALUE"""),4200.0)</f>
        <v>4200</v>
      </c>
      <c r="E143" s="1">
        <f>IFERROR(__xludf.DUMMYFUNCTION("""COMPUTED_VALUE"""),4280.0)</f>
        <v>4280</v>
      </c>
      <c r="F143" s="1">
        <f>IFERROR(__xludf.DUMMYFUNCTION("""COMPUTED_VALUE"""),31255.0)</f>
        <v>31255</v>
      </c>
    </row>
    <row r="144">
      <c r="A144" s="2">
        <f>IFERROR(__xludf.DUMMYFUNCTION("""COMPUTED_VALUE"""),41117.645833333336)</f>
        <v>41117.64583</v>
      </c>
      <c r="B144" s="1">
        <f>IFERROR(__xludf.DUMMYFUNCTION("""COMPUTED_VALUE"""),4300.0)</f>
        <v>4300</v>
      </c>
      <c r="C144" s="1">
        <f>IFERROR(__xludf.DUMMYFUNCTION("""COMPUTED_VALUE"""),4490.0)</f>
        <v>4490</v>
      </c>
      <c r="D144" s="1">
        <f>IFERROR(__xludf.DUMMYFUNCTION("""COMPUTED_VALUE"""),4280.0)</f>
        <v>4280</v>
      </c>
      <c r="E144" s="1">
        <f>IFERROR(__xludf.DUMMYFUNCTION("""COMPUTED_VALUE"""),4280.0)</f>
        <v>4280</v>
      </c>
      <c r="F144" s="1">
        <f>IFERROR(__xludf.DUMMYFUNCTION("""COMPUTED_VALUE"""),29160.0)</f>
        <v>29160</v>
      </c>
    </row>
    <row r="145">
      <c r="A145" s="2">
        <f>IFERROR(__xludf.DUMMYFUNCTION("""COMPUTED_VALUE"""),41120.645833333336)</f>
        <v>41120.64583</v>
      </c>
      <c r="B145" s="1">
        <f>IFERROR(__xludf.DUMMYFUNCTION("""COMPUTED_VALUE"""),4315.0)</f>
        <v>4315</v>
      </c>
      <c r="C145" s="1">
        <f>IFERROR(__xludf.DUMMYFUNCTION("""COMPUTED_VALUE"""),4380.0)</f>
        <v>4380</v>
      </c>
      <c r="D145" s="1">
        <f>IFERROR(__xludf.DUMMYFUNCTION("""COMPUTED_VALUE"""),4290.0)</f>
        <v>4290</v>
      </c>
      <c r="E145" s="1">
        <f>IFERROR(__xludf.DUMMYFUNCTION("""COMPUTED_VALUE"""),4290.0)</f>
        <v>4290</v>
      </c>
      <c r="F145" s="1">
        <f>IFERROR(__xludf.DUMMYFUNCTION("""COMPUTED_VALUE"""),14170.0)</f>
        <v>14170</v>
      </c>
    </row>
    <row r="146">
      <c r="A146" s="2">
        <f>IFERROR(__xludf.DUMMYFUNCTION("""COMPUTED_VALUE"""),41121.645833333336)</f>
        <v>41121.64583</v>
      </c>
      <c r="B146" s="1">
        <f>IFERROR(__xludf.DUMMYFUNCTION("""COMPUTED_VALUE"""),4310.0)</f>
        <v>4310</v>
      </c>
      <c r="C146" s="1">
        <f>IFERROR(__xludf.DUMMYFUNCTION("""COMPUTED_VALUE"""),4390.0)</f>
        <v>4390</v>
      </c>
      <c r="D146" s="1">
        <f>IFERROR(__xludf.DUMMYFUNCTION("""COMPUTED_VALUE"""),4295.0)</f>
        <v>4295</v>
      </c>
      <c r="E146" s="1">
        <f>IFERROR(__xludf.DUMMYFUNCTION("""COMPUTED_VALUE"""),4340.0)</f>
        <v>4340</v>
      </c>
      <c r="F146" s="1">
        <f>IFERROR(__xludf.DUMMYFUNCTION("""COMPUTED_VALUE"""),22623.0)</f>
        <v>22623</v>
      </c>
    </row>
    <row r="147">
      <c r="A147" s="2">
        <f>IFERROR(__xludf.DUMMYFUNCTION("""COMPUTED_VALUE"""),41122.645833333336)</f>
        <v>41122.64583</v>
      </c>
      <c r="B147" s="1">
        <f>IFERROR(__xludf.DUMMYFUNCTION("""COMPUTED_VALUE"""),4340.0)</f>
        <v>4340</v>
      </c>
      <c r="C147" s="1">
        <f>IFERROR(__xludf.DUMMYFUNCTION("""COMPUTED_VALUE"""),4405.0)</f>
        <v>4405</v>
      </c>
      <c r="D147" s="1">
        <f>IFERROR(__xludf.DUMMYFUNCTION("""COMPUTED_VALUE"""),4340.0)</f>
        <v>4340</v>
      </c>
      <c r="E147" s="1">
        <f>IFERROR(__xludf.DUMMYFUNCTION("""COMPUTED_VALUE"""),4355.0)</f>
        <v>4355</v>
      </c>
      <c r="F147" s="1">
        <f>IFERROR(__xludf.DUMMYFUNCTION("""COMPUTED_VALUE"""),17333.0)</f>
        <v>17333</v>
      </c>
    </row>
    <row r="148">
      <c r="A148" s="2">
        <f>IFERROR(__xludf.DUMMYFUNCTION("""COMPUTED_VALUE"""),41123.645833333336)</f>
        <v>41123.64583</v>
      </c>
      <c r="B148" s="1">
        <f>IFERROR(__xludf.DUMMYFUNCTION("""COMPUTED_VALUE"""),4420.0)</f>
        <v>4420</v>
      </c>
      <c r="C148" s="1">
        <f>IFERROR(__xludf.DUMMYFUNCTION("""COMPUTED_VALUE"""),4420.0)</f>
        <v>4420</v>
      </c>
      <c r="D148" s="1">
        <f>IFERROR(__xludf.DUMMYFUNCTION("""COMPUTED_VALUE"""),4275.0)</f>
        <v>4275</v>
      </c>
      <c r="E148" s="1">
        <f>IFERROR(__xludf.DUMMYFUNCTION("""COMPUTED_VALUE"""),4305.0)</f>
        <v>4305</v>
      </c>
      <c r="F148" s="1">
        <f>IFERROR(__xludf.DUMMYFUNCTION("""COMPUTED_VALUE"""),16532.0)</f>
        <v>16532</v>
      </c>
    </row>
    <row r="149">
      <c r="A149" s="2">
        <f>IFERROR(__xludf.DUMMYFUNCTION("""COMPUTED_VALUE"""),41124.645833333336)</f>
        <v>41124.64583</v>
      </c>
      <c r="B149" s="1">
        <f>IFERROR(__xludf.DUMMYFUNCTION("""COMPUTED_VALUE"""),4220.0)</f>
        <v>4220</v>
      </c>
      <c r="C149" s="1">
        <f>IFERROR(__xludf.DUMMYFUNCTION("""COMPUTED_VALUE"""),4370.0)</f>
        <v>4370</v>
      </c>
      <c r="D149" s="1">
        <f>IFERROR(__xludf.DUMMYFUNCTION("""COMPUTED_VALUE"""),4220.0)</f>
        <v>4220</v>
      </c>
      <c r="E149" s="1">
        <f>IFERROR(__xludf.DUMMYFUNCTION("""COMPUTED_VALUE"""),4370.0)</f>
        <v>4370</v>
      </c>
      <c r="F149" s="1">
        <f>IFERROR(__xludf.DUMMYFUNCTION("""COMPUTED_VALUE"""),22110.0)</f>
        <v>22110</v>
      </c>
    </row>
    <row r="150">
      <c r="A150" s="2">
        <f>IFERROR(__xludf.DUMMYFUNCTION("""COMPUTED_VALUE"""),41127.645833333336)</f>
        <v>41127.64583</v>
      </c>
      <c r="B150" s="1">
        <f>IFERROR(__xludf.DUMMYFUNCTION("""COMPUTED_VALUE"""),4375.0)</f>
        <v>4375</v>
      </c>
      <c r="C150" s="1">
        <f>IFERROR(__xludf.DUMMYFUNCTION("""COMPUTED_VALUE"""),4400.0)</f>
        <v>4400</v>
      </c>
      <c r="D150" s="1">
        <f>IFERROR(__xludf.DUMMYFUNCTION("""COMPUTED_VALUE"""),4250.0)</f>
        <v>4250</v>
      </c>
      <c r="E150" s="1">
        <f>IFERROR(__xludf.DUMMYFUNCTION("""COMPUTED_VALUE"""),4365.0)</f>
        <v>4365</v>
      </c>
      <c r="F150" s="1">
        <f>IFERROR(__xludf.DUMMYFUNCTION("""COMPUTED_VALUE"""),19610.0)</f>
        <v>19610</v>
      </c>
    </row>
    <row r="151">
      <c r="A151" s="2">
        <f>IFERROR(__xludf.DUMMYFUNCTION("""COMPUTED_VALUE"""),41128.645833333336)</f>
        <v>41128.64583</v>
      </c>
      <c r="B151" s="1">
        <f>IFERROR(__xludf.DUMMYFUNCTION("""COMPUTED_VALUE"""),4300.0)</f>
        <v>4300</v>
      </c>
      <c r="C151" s="1">
        <f>IFERROR(__xludf.DUMMYFUNCTION("""COMPUTED_VALUE"""),4375.0)</f>
        <v>4375</v>
      </c>
      <c r="D151" s="1">
        <f>IFERROR(__xludf.DUMMYFUNCTION("""COMPUTED_VALUE"""),4300.0)</f>
        <v>4300</v>
      </c>
      <c r="E151" s="1">
        <f>IFERROR(__xludf.DUMMYFUNCTION("""COMPUTED_VALUE"""),4320.0)</f>
        <v>4320</v>
      </c>
      <c r="F151" s="1">
        <f>IFERROR(__xludf.DUMMYFUNCTION("""COMPUTED_VALUE"""),19940.0)</f>
        <v>19940</v>
      </c>
    </row>
    <row r="152">
      <c r="A152" s="2">
        <f>IFERROR(__xludf.DUMMYFUNCTION("""COMPUTED_VALUE"""),41129.645833333336)</f>
        <v>41129.64583</v>
      </c>
      <c r="B152" s="1">
        <f>IFERROR(__xludf.DUMMYFUNCTION("""COMPUTED_VALUE"""),4325.0)</f>
        <v>4325</v>
      </c>
      <c r="C152" s="1">
        <f>IFERROR(__xludf.DUMMYFUNCTION("""COMPUTED_VALUE"""),4365.0)</f>
        <v>4365</v>
      </c>
      <c r="D152" s="1">
        <f>IFERROR(__xludf.DUMMYFUNCTION("""COMPUTED_VALUE"""),4310.0)</f>
        <v>4310</v>
      </c>
      <c r="E152" s="1">
        <f>IFERROR(__xludf.DUMMYFUNCTION("""COMPUTED_VALUE"""),4325.0)</f>
        <v>4325</v>
      </c>
      <c r="F152" s="1">
        <f>IFERROR(__xludf.DUMMYFUNCTION("""COMPUTED_VALUE"""),17490.0)</f>
        <v>17490</v>
      </c>
    </row>
    <row r="153">
      <c r="A153" s="2">
        <f>IFERROR(__xludf.DUMMYFUNCTION("""COMPUTED_VALUE"""),41130.645833333336)</f>
        <v>41130.64583</v>
      </c>
      <c r="B153" s="1">
        <f>IFERROR(__xludf.DUMMYFUNCTION("""COMPUTED_VALUE"""),4325.0)</f>
        <v>4325</v>
      </c>
      <c r="C153" s="1">
        <f>IFERROR(__xludf.DUMMYFUNCTION("""COMPUTED_VALUE"""),4330.0)</f>
        <v>4330</v>
      </c>
      <c r="D153" s="1">
        <f>IFERROR(__xludf.DUMMYFUNCTION("""COMPUTED_VALUE"""),4300.0)</f>
        <v>4300</v>
      </c>
      <c r="E153" s="1">
        <f>IFERROR(__xludf.DUMMYFUNCTION("""COMPUTED_VALUE"""),4320.0)</f>
        <v>4320</v>
      </c>
      <c r="F153" s="1">
        <f>IFERROR(__xludf.DUMMYFUNCTION("""COMPUTED_VALUE"""),22350.0)</f>
        <v>22350</v>
      </c>
    </row>
    <row r="154">
      <c r="A154" s="2">
        <f>IFERROR(__xludf.DUMMYFUNCTION("""COMPUTED_VALUE"""),41131.645833333336)</f>
        <v>41131.64583</v>
      </c>
      <c r="B154" s="1">
        <f>IFERROR(__xludf.DUMMYFUNCTION("""COMPUTED_VALUE"""),4320.0)</f>
        <v>4320</v>
      </c>
      <c r="C154" s="1">
        <f>IFERROR(__xludf.DUMMYFUNCTION("""COMPUTED_VALUE"""),4460.0)</f>
        <v>4460</v>
      </c>
      <c r="D154" s="1">
        <f>IFERROR(__xludf.DUMMYFUNCTION("""COMPUTED_VALUE"""),4320.0)</f>
        <v>4320</v>
      </c>
      <c r="E154" s="1">
        <f>IFERROR(__xludf.DUMMYFUNCTION("""COMPUTED_VALUE"""),4360.0)</f>
        <v>4360</v>
      </c>
      <c r="F154" s="1">
        <f>IFERROR(__xludf.DUMMYFUNCTION("""COMPUTED_VALUE"""),12880.0)</f>
        <v>12880</v>
      </c>
    </row>
    <row r="155">
      <c r="A155" s="2">
        <f>IFERROR(__xludf.DUMMYFUNCTION("""COMPUTED_VALUE"""),41134.645833333336)</f>
        <v>41134.64583</v>
      </c>
      <c r="B155" s="1">
        <f>IFERROR(__xludf.DUMMYFUNCTION("""COMPUTED_VALUE"""),4370.0)</f>
        <v>4370</v>
      </c>
      <c r="C155" s="1">
        <f>IFERROR(__xludf.DUMMYFUNCTION("""COMPUTED_VALUE"""),4410.0)</f>
        <v>4410</v>
      </c>
      <c r="D155" s="1">
        <f>IFERROR(__xludf.DUMMYFUNCTION("""COMPUTED_VALUE"""),4325.0)</f>
        <v>4325</v>
      </c>
      <c r="E155" s="1">
        <f>IFERROR(__xludf.DUMMYFUNCTION("""COMPUTED_VALUE"""),4325.0)</f>
        <v>4325</v>
      </c>
      <c r="F155" s="1">
        <f>IFERROR(__xludf.DUMMYFUNCTION("""COMPUTED_VALUE"""),18253.0)</f>
        <v>18253</v>
      </c>
    </row>
    <row r="156">
      <c r="A156" s="2">
        <f>IFERROR(__xludf.DUMMYFUNCTION("""COMPUTED_VALUE"""),41135.645833333336)</f>
        <v>41135.64583</v>
      </c>
      <c r="B156" s="1">
        <f>IFERROR(__xludf.DUMMYFUNCTION("""COMPUTED_VALUE"""),4325.0)</f>
        <v>4325</v>
      </c>
      <c r="C156" s="1">
        <f>IFERROR(__xludf.DUMMYFUNCTION("""COMPUTED_VALUE"""),4485.0)</f>
        <v>4485</v>
      </c>
      <c r="D156" s="1">
        <f>IFERROR(__xludf.DUMMYFUNCTION("""COMPUTED_VALUE"""),4325.0)</f>
        <v>4325</v>
      </c>
      <c r="E156" s="1">
        <f>IFERROR(__xludf.DUMMYFUNCTION("""COMPUTED_VALUE"""),4325.0)</f>
        <v>4325</v>
      </c>
      <c r="F156" s="1">
        <f>IFERROR(__xludf.DUMMYFUNCTION("""COMPUTED_VALUE"""),39400.0)</f>
        <v>39400</v>
      </c>
    </row>
    <row r="157">
      <c r="A157" s="2">
        <f>IFERROR(__xludf.DUMMYFUNCTION("""COMPUTED_VALUE"""),41137.645833333336)</f>
        <v>41137.64583</v>
      </c>
      <c r="B157" s="1">
        <f>IFERROR(__xludf.DUMMYFUNCTION("""COMPUTED_VALUE"""),4300.0)</f>
        <v>4300</v>
      </c>
      <c r="C157" s="1">
        <f>IFERROR(__xludf.DUMMYFUNCTION("""COMPUTED_VALUE"""),4380.0)</f>
        <v>4380</v>
      </c>
      <c r="D157" s="1">
        <f>IFERROR(__xludf.DUMMYFUNCTION("""COMPUTED_VALUE"""),4300.0)</f>
        <v>4300</v>
      </c>
      <c r="E157" s="1">
        <f>IFERROR(__xludf.DUMMYFUNCTION("""COMPUTED_VALUE"""),4380.0)</f>
        <v>4380</v>
      </c>
      <c r="F157" s="1">
        <f>IFERROR(__xludf.DUMMYFUNCTION("""COMPUTED_VALUE"""),30710.0)</f>
        <v>30710</v>
      </c>
    </row>
    <row r="158">
      <c r="A158" s="2">
        <f>IFERROR(__xludf.DUMMYFUNCTION("""COMPUTED_VALUE"""),41138.645833333336)</f>
        <v>41138.64583</v>
      </c>
      <c r="B158" s="1">
        <f>IFERROR(__xludf.DUMMYFUNCTION("""COMPUTED_VALUE"""),4420.0)</f>
        <v>4420</v>
      </c>
      <c r="C158" s="1">
        <f>IFERROR(__xludf.DUMMYFUNCTION("""COMPUTED_VALUE"""),4455.0)</f>
        <v>4455</v>
      </c>
      <c r="D158" s="1">
        <f>IFERROR(__xludf.DUMMYFUNCTION("""COMPUTED_VALUE"""),4380.0)</f>
        <v>4380</v>
      </c>
      <c r="E158" s="1">
        <f>IFERROR(__xludf.DUMMYFUNCTION("""COMPUTED_VALUE"""),4450.0)</f>
        <v>4450</v>
      </c>
      <c r="F158" s="1">
        <f>IFERROR(__xludf.DUMMYFUNCTION("""COMPUTED_VALUE"""),38562.0)</f>
        <v>38562</v>
      </c>
    </row>
    <row r="159">
      <c r="A159" s="2">
        <f>IFERROR(__xludf.DUMMYFUNCTION("""COMPUTED_VALUE"""),41141.645833333336)</f>
        <v>41141.64583</v>
      </c>
      <c r="B159" s="1">
        <f>IFERROR(__xludf.DUMMYFUNCTION("""COMPUTED_VALUE"""),4470.0)</f>
        <v>4470</v>
      </c>
      <c r="C159" s="1">
        <f>IFERROR(__xludf.DUMMYFUNCTION("""COMPUTED_VALUE"""),4530.0)</f>
        <v>4530</v>
      </c>
      <c r="D159" s="1">
        <f>IFERROR(__xludf.DUMMYFUNCTION("""COMPUTED_VALUE"""),4405.0)</f>
        <v>4405</v>
      </c>
      <c r="E159" s="1">
        <f>IFERROR(__xludf.DUMMYFUNCTION("""COMPUTED_VALUE"""),4460.0)</f>
        <v>4460</v>
      </c>
      <c r="F159" s="1">
        <f>IFERROR(__xludf.DUMMYFUNCTION("""COMPUTED_VALUE"""),37906.0)</f>
        <v>37906</v>
      </c>
    </row>
    <row r="160">
      <c r="A160" s="2">
        <f>IFERROR(__xludf.DUMMYFUNCTION("""COMPUTED_VALUE"""),41142.645833333336)</f>
        <v>41142.64583</v>
      </c>
      <c r="B160" s="1">
        <f>IFERROR(__xludf.DUMMYFUNCTION("""COMPUTED_VALUE"""),4460.0)</f>
        <v>4460</v>
      </c>
      <c r="C160" s="1">
        <f>IFERROR(__xludf.DUMMYFUNCTION("""COMPUTED_VALUE"""),4630.0)</f>
        <v>4630</v>
      </c>
      <c r="D160" s="1">
        <f>IFERROR(__xludf.DUMMYFUNCTION("""COMPUTED_VALUE"""),4460.0)</f>
        <v>4460</v>
      </c>
      <c r="E160" s="1">
        <f>IFERROR(__xludf.DUMMYFUNCTION("""COMPUTED_VALUE"""),4545.0)</f>
        <v>4545</v>
      </c>
      <c r="F160" s="1">
        <f>IFERROR(__xludf.DUMMYFUNCTION("""COMPUTED_VALUE"""),30290.0)</f>
        <v>30290</v>
      </c>
    </row>
    <row r="161">
      <c r="A161" s="2">
        <f>IFERROR(__xludf.DUMMYFUNCTION("""COMPUTED_VALUE"""),41143.645833333336)</f>
        <v>41143.64583</v>
      </c>
      <c r="B161" s="1">
        <f>IFERROR(__xludf.DUMMYFUNCTION("""COMPUTED_VALUE"""),4660.0)</f>
        <v>4660</v>
      </c>
      <c r="C161" s="1">
        <f>IFERROR(__xludf.DUMMYFUNCTION("""COMPUTED_VALUE"""),4660.0)</f>
        <v>4660</v>
      </c>
      <c r="D161" s="1">
        <f>IFERROR(__xludf.DUMMYFUNCTION("""COMPUTED_VALUE"""),4460.0)</f>
        <v>4460</v>
      </c>
      <c r="E161" s="1">
        <f>IFERROR(__xludf.DUMMYFUNCTION("""COMPUTED_VALUE"""),4500.0)</f>
        <v>4500</v>
      </c>
      <c r="F161" s="1">
        <f>IFERROR(__xludf.DUMMYFUNCTION("""COMPUTED_VALUE"""),16071.0)</f>
        <v>16071</v>
      </c>
    </row>
    <row r="162">
      <c r="A162" s="2">
        <f>IFERROR(__xludf.DUMMYFUNCTION("""COMPUTED_VALUE"""),41144.645833333336)</f>
        <v>41144.64583</v>
      </c>
      <c r="B162" s="1">
        <f>IFERROR(__xludf.DUMMYFUNCTION("""COMPUTED_VALUE"""),4500.0)</f>
        <v>4500</v>
      </c>
      <c r="C162" s="1">
        <f>IFERROR(__xludf.DUMMYFUNCTION("""COMPUTED_VALUE"""),4550.0)</f>
        <v>4550</v>
      </c>
      <c r="D162" s="1">
        <f>IFERROR(__xludf.DUMMYFUNCTION("""COMPUTED_VALUE"""),4435.0)</f>
        <v>4435</v>
      </c>
      <c r="E162" s="1">
        <f>IFERROR(__xludf.DUMMYFUNCTION("""COMPUTED_VALUE"""),4435.0)</f>
        <v>4435</v>
      </c>
      <c r="F162" s="1">
        <f>IFERROR(__xludf.DUMMYFUNCTION("""COMPUTED_VALUE"""),23630.0)</f>
        <v>23630</v>
      </c>
    </row>
    <row r="163">
      <c r="A163" s="2">
        <f>IFERROR(__xludf.DUMMYFUNCTION("""COMPUTED_VALUE"""),41145.645833333336)</f>
        <v>41145.64583</v>
      </c>
      <c r="B163" s="1">
        <f>IFERROR(__xludf.DUMMYFUNCTION("""COMPUTED_VALUE"""),4450.0)</f>
        <v>4450</v>
      </c>
      <c r="C163" s="1">
        <f>IFERROR(__xludf.DUMMYFUNCTION("""COMPUTED_VALUE"""),4450.0)</f>
        <v>4450</v>
      </c>
      <c r="D163" s="1">
        <f>IFERROR(__xludf.DUMMYFUNCTION("""COMPUTED_VALUE"""),4330.0)</f>
        <v>4330</v>
      </c>
      <c r="E163" s="1">
        <f>IFERROR(__xludf.DUMMYFUNCTION("""COMPUTED_VALUE"""),4345.0)</f>
        <v>4345</v>
      </c>
      <c r="F163" s="1">
        <f>IFERROR(__xludf.DUMMYFUNCTION("""COMPUTED_VALUE"""),48550.0)</f>
        <v>48550</v>
      </c>
    </row>
    <row r="164">
      <c r="A164" s="2">
        <f>IFERROR(__xludf.DUMMYFUNCTION("""COMPUTED_VALUE"""),41148.645833333336)</f>
        <v>41148.64583</v>
      </c>
      <c r="B164" s="1">
        <f>IFERROR(__xludf.DUMMYFUNCTION("""COMPUTED_VALUE"""),4370.0)</f>
        <v>4370</v>
      </c>
      <c r="C164" s="1">
        <f>IFERROR(__xludf.DUMMYFUNCTION("""COMPUTED_VALUE"""),4385.0)</f>
        <v>4385</v>
      </c>
      <c r="D164" s="1">
        <f>IFERROR(__xludf.DUMMYFUNCTION("""COMPUTED_VALUE"""),4255.0)</f>
        <v>4255</v>
      </c>
      <c r="E164" s="1">
        <f>IFERROR(__xludf.DUMMYFUNCTION("""COMPUTED_VALUE"""),4305.0)</f>
        <v>4305</v>
      </c>
      <c r="F164" s="1">
        <f>IFERROR(__xludf.DUMMYFUNCTION("""COMPUTED_VALUE"""),38880.0)</f>
        <v>38880</v>
      </c>
    </row>
    <row r="165">
      <c r="A165" s="2">
        <f>IFERROR(__xludf.DUMMYFUNCTION("""COMPUTED_VALUE"""),41149.645833333336)</f>
        <v>41149.64583</v>
      </c>
      <c r="B165" s="1">
        <f>IFERROR(__xludf.DUMMYFUNCTION("""COMPUTED_VALUE"""),4345.0)</f>
        <v>4345</v>
      </c>
      <c r="C165" s="1">
        <f>IFERROR(__xludf.DUMMYFUNCTION("""COMPUTED_VALUE"""),4370.0)</f>
        <v>4370</v>
      </c>
      <c r="D165" s="1">
        <f>IFERROR(__xludf.DUMMYFUNCTION("""COMPUTED_VALUE"""),4240.0)</f>
        <v>4240</v>
      </c>
      <c r="E165" s="1">
        <f>IFERROR(__xludf.DUMMYFUNCTION("""COMPUTED_VALUE"""),4290.0)</f>
        <v>4290</v>
      </c>
      <c r="F165" s="1">
        <f>IFERROR(__xludf.DUMMYFUNCTION("""COMPUTED_VALUE"""),36880.0)</f>
        <v>36880</v>
      </c>
    </row>
    <row r="166">
      <c r="A166" s="2">
        <f>IFERROR(__xludf.DUMMYFUNCTION("""COMPUTED_VALUE"""),41150.645833333336)</f>
        <v>41150.64583</v>
      </c>
      <c r="B166" s="1">
        <f>IFERROR(__xludf.DUMMYFUNCTION("""COMPUTED_VALUE"""),4290.0)</f>
        <v>4290</v>
      </c>
      <c r="C166" s="1">
        <f>IFERROR(__xludf.DUMMYFUNCTION("""COMPUTED_VALUE"""),4495.0)</f>
        <v>4495</v>
      </c>
      <c r="D166" s="1">
        <f>IFERROR(__xludf.DUMMYFUNCTION("""COMPUTED_VALUE"""),4290.0)</f>
        <v>4290</v>
      </c>
      <c r="E166" s="1">
        <f>IFERROR(__xludf.DUMMYFUNCTION("""COMPUTED_VALUE"""),4490.0)</f>
        <v>4490</v>
      </c>
      <c r="F166" s="1">
        <f>IFERROR(__xludf.DUMMYFUNCTION("""COMPUTED_VALUE"""),77863.0)</f>
        <v>77863</v>
      </c>
    </row>
    <row r="167">
      <c r="A167" s="2">
        <f>IFERROR(__xludf.DUMMYFUNCTION("""COMPUTED_VALUE"""),41151.645833333336)</f>
        <v>41151.64583</v>
      </c>
      <c r="B167" s="1">
        <f>IFERROR(__xludf.DUMMYFUNCTION("""COMPUTED_VALUE"""),4580.0)</f>
        <v>4580</v>
      </c>
      <c r="C167" s="1">
        <f>IFERROR(__xludf.DUMMYFUNCTION("""COMPUTED_VALUE"""),4665.0)</f>
        <v>4665</v>
      </c>
      <c r="D167" s="1">
        <f>IFERROR(__xludf.DUMMYFUNCTION("""COMPUTED_VALUE"""),4470.0)</f>
        <v>4470</v>
      </c>
      <c r="E167" s="1">
        <f>IFERROR(__xludf.DUMMYFUNCTION("""COMPUTED_VALUE"""),4600.0)</f>
        <v>4600</v>
      </c>
      <c r="F167" s="1">
        <f>IFERROR(__xludf.DUMMYFUNCTION("""COMPUTED_VALUE"""),117004.0)</f>
        <v>117004</v>
      </c>
    </row>
    <row r="168">
      <c r="A168" s="2">
        <f>IFERROR(__xludf.DUMMYFUNCTION("""COMPUTED_VALUE"""),41152.645833333336)</f>
        <v>41152.64583</v>
      </c>
      <c r="B168" s="1">
        <f>IFERROR(__xludf.DUMMYFUNCTION("""COMPUTED_VALUE"""),4650.0)</f>
        <v>4650</v>
      </c>
      <c r="C168" s="1">
        <f>IFERROR(__xludf.DUMMYFUNCTION("""COMPUTED_VALUE"""),4665.0)</f>
        <v>4665</v>
      </c>
      <c r="D168" s="1">
        <f>IFERROR(__xludf.DUMMYFUNCTION("""COMPUTED_VALUE"""),4515.0)</f>
        <v>4515</v>
      </c>
      <c r="E168" s="1">
        <f>IFERROR(__xludf.DUMMYFUNCTION("""COMPUTED_VALUE"""),4555.0)</f>
        <v>4555</v>
      </c>
      <c r="F168" s="1">
        <f>IFERROR(__xludf.DUMMYFUNCTION("""COMPUTED_VALUE"""),80670.0)</f>
        <v>80670</v>
      </c>
    </row>
    <row r="169">
      <c r="A169" s="2">
        <f>IFERROR(__xludf.DUMMYFUNCTION("""COMPUTED_VALUE"""),41155.645833333336)</f>
        <v>41155.64583</v>
      </c>
      <c r="B169" s="1">
        <f>IFERROR(__xludf.DUMMYFUNCTION("""COMPUTED_VALUE"""),4600.0)</f>
        <v>4600</v>
      </c>
      <c r="C169" s="1">
        <f>IFERROR(__xludf.DUMMYFUNCTION("""COMPUTED_VALUE"""),4600.0)</f>
        <v>4600</v>
      </c>
      <c r="D169" s="1">
        <f>IFERROR(__xludf.DUMMYFUNCTION("""COMPUTED_VALUE"""),4490.0)</f>
        <v>4490</v>
      </c>
      <c r="E169" s="1">
        <f>IFERROR(__xludf.DUMMYFUNCTION("""COMPUTED_VALUE"""),4535.0)</f>
        <v>4535</v>
      </c>
      <c r="F169" s="1">
        <f>IFERROR(__xludf.DUMMYFUNCTION("""COMPUTED_VALUE"""),48780.0)</f>
        <v>48780</v>
      </c>
    </row>
    <row r="170">
      <c r="A170" s="2">
        <f>IFERROR(__xludf.DUMMYFUNCTION("""COMPUTED_VALUE"""),41156.645833333336)</f>
        <v>41156.64583</v>
      </c>
      <c r="B170" s="1">
        <f>IFERROR(__xludf.DUMMYFUNCTION("""COMPUTED_VALUE"""),4540.0)</f>
        <v>4540</v>
      </c>
      <c r="C170" s="1">
        <f>IFERROR(__xludf.DUMMYFUNCTION("""COMPUTED_VALUE"""),4620.0)</f>
        <v>4620</v>
      </c>
      <c r="D170" s="1">
        <f>IFERROR(__xludf.DUMMYFUNCTION("""COMPUTED_VALUE"""),4505.0)</f>
        <v>4505</v>
      </c>
      <c r="E170" s="1">
        <f>IFERROR(__xludf.DUMMYFUNCTION("""COMPUTED_VALUE"""),4505.0)</f>
        <v>4505</v>
      </c>
      <c r="F170" s="1">
        <f>IFERROR(__xludf.DUMMYFUNCTION("""COMPUTED_VALUE"""),82520.0)</f>
        <v>82520</v>
      </c>
    </row>
    <row r="171">
      <c r="A171" s="2">
        <f>IFERROR(__xludf.DUMMYFUNCTION("""COMPUTED_VALUE"""),41157.645833333336)</f>
        <v>41157.64583</v>
      </c>
      <c r="B171" s="1">
        <f>IFERROR(__xludf.DUMMYFUNCTION("""COMPUTED_VALUE"""),4470.0)</f>
        <v>4470</v>
      </c>
      <c r="C171" s="1">
        <f>IFERROR(__xludf.DUMMYFUNCTION("""COMPUTED_VALUE"""),4600.0)</f>
        <v>4600</v>
      </c>
      <c r="D171" s="1">
        <f>IFERROR(__xludf.DUMMYFUNCTION("""COMPUTED_VALUE"""),4450.0)</f>
        <v>4450</v>
      </c>
      <c r="E171" s="1">
        <f>IFERROR(__xludf.DUMMYFUNCTION("""COMPUTED_VALUE"""),4515.0)</f>
        <v>4515</v>
      </c>
      <c r="F171" s="1">
        <f>IFERROR(__xludf.DUMMYFUNCTION("""COMPUTED_VALUE"""),59924.0)</f>
        <v>59924</v>
      </c>
    </row>
    <row r="172">
      <c r="A172" s="2">
        <f>IFERROR(__xludf.DUMMYFUNCTION("""COMPUTED_VALUE"""),41158.645833333336)</f>
        <v>41158.64583</v>
      </c>
      <c r="B172" s="1">
        <f>IFERROR(__xludf.DUMMYFUNCTION("""COMPUTED_VALUE"""),4520.0)</f>
        <v>4520</v>
      </c>
      <c r="C172" s="1">
        <f>IFERROR(__xludf.DUMMYFUNCTION("""COMPUTED_VALUE"""),4620.0)</f>
        <v>4620</v>
      </c>
      <c r="D172" s="1">
        <f>IFERROR(__xludf.DUMMYFUNCTION("""COMPUTED_VALUE"""),4490.0)</f>
        <v>4490</v>
      </c>
      <c r="E172" s="1">
        <f>IFERROR(__xludf.DUMMYFUNCTION("""COMPUTED_VALUE"""),4505.0)</f>
        <v>4505</v>
      </c>
      <c r="F172" s="1">
        <f>IFERROR(__xludf.DUMMYFUNCTION("""COMPUTED_VALUE"""),42590.0)</f>
        <v>42590</v>
      </c>
    </row>
    <row r="173">
      <c r="A173" s="2">
        <f>IFERROR(__xludf.DUMMYFUNCTION("""COMPUTED_VALUE"""),41159.645833333336)</f>
        <v>41159.64583</v>
      </c>
      <c r="B173" s="1">
        <f>IFERROR(__xludf.DUMMYFUNCTION("""COMPUTED_VALUE"""),4570.0)</f>
        <v>4570</v>
      </c>
      <c r="C173" s="1">
        <f>IFERROR(__xludf.DUMMYFUNCTION("""COMPUTED_VALUE"""),4570.0)</f>
        <v>4570</v>
      </c>
      <c r="D173" s="1">
        <f>IFERROR(__xludf.DUMMYFUNCTION("""COMPUTED_VALUE"""),4485.0)</f>
        <v>4485</v>
      </c>
      <c r="E173" s="1">
        <f>IFERROR(__xludf.DUMMYFUNCTION("""COMPUTED_VALUE"""),4490.0)</f>
        <v>4490</v>
      </c>
      <c r="F173" s="1">
        <f>IFERROR(__xludf.DUMMYFUNCTION("""COMPUTED_VALUE"""),39690.0)</f>
        <v>39690</v>
      </c>
    </row>
    <row r="174">
      <c r="A174" s="2">
        <f>IFERROR(__xludf.DUMMYFUNCTION("""COMPUTED_VALUE"""),41162.645833333336)</f>
        <v>41162.64583</v>
      </c>
      <c r="B174" s="1">
        <f>IFERROR(__xludf.DUMMYFUNCTION("""COMPUTED_VALUE"""),4535.0)</f>
        <v>4535</v>
      </c>
      <c r="C174" s="1">
        <f>IFERROR(__xludf.DUMMYFUNCTION("""COMPUTED_VALUE"""),4690.0)</f>
        <v>4690</v>
      </c>
      <c r="D174" s="1">
        <f>IFERROR(__xludf.DUMMYFUNCTION("""COMPUTED_VALUE"""),4485.0)</f>
        <v>4485</v>
      </c>
      <c r="E174" s="1">
        <f>IFERROR(__xludf.DUMMYFUNCTION("""COMPUTED_VALUE"""),4690.0)</f>
        <v>4690</v>
      </c>
      <c r="F174" s="1">
        <f>IFERROR(__xludf.DUMMYFUNCTION("""COMPUTED_VALUE"""),115149.0)</f>
        <v>115149</v>
      </c>
    </row>
    <row r="175">
      <c r="A175" s="2">
        <f>IFERROR(__xludf.DUMMYFUNCTION("""COMPUTED_VALUE"""),41163.645833333336)</f>
        <v>41163.64583</v>
      </c>
      <c r="B175" s="1">
        <f>IFERROR(__xludf.DUMMYFUNCTION("""COMPUTED_VALUE"""),4730.0)</f>
        <v>4730</v>
      </c>
      <c r="C175" s="1">
        <f>IFERROR(__xludf.DUMMYFUNCTION("""COMPUTED_VALUE"""),5010.0)</f>
        <v>5010</v>
      </c>
      <c r="D175" s="1">
        <f>IFERROR(__xludf.DUMMYFUNCTION("""COMPUTED_VALUE"""),4680.0)</f>
        <v>4680</v>
      </c>
      <c r="E175" s="1">
        <f>IFERROR(__xludf.DUMMYFUNCTION("""COMPUTED_VALUE"""),4875.0)</f>
        <v>4875</v>
      </c>
      <c r="F175" s="1">
        <f>IFERROR(__xludf.DUMMYFUNCTION("""COMPUTED_VALUE"""),284140.0)</f>
        <v>284140</v>
      </c>
    </row>
    <row r="176">
      <c r="A176" s="2">
        <f>IFERROR(__xludf.DUMMYFUNCTION("""COMPUTED_VALUE"""),41164.645833333336)</f>
        <v>41164.64583</v>
      </c>
      <c r="B176" s="1">
        <f>IFERROR(__xludf.DUMMYFUNCTION("""COMPUTED_VALUE"""),4880.0)</f>
        <v>4880</v>
      </c>
      <c r="C176" s="1">
        <f>IFERROR(__xludf.DUMMYFUNCTION("""COMPUTED_VALUE"""),4990.0)</f>
        <v>4990</v>
      </c>
      <c r="D176" s="1">
        <f>IFERROR(__xludf.DUMMYFUNCTION("""COMPUTED_VALUE"""),4760.0)</f>
        <v>4760</v>
      </c>
      <c r="E176" s="1">
        <f>IFERROR(__xludf.DUMMYFUNCTION("""COMPUTED_VALUE"""),4800.0)</f>
        <v>4800</v>
      </c>
      <c r="F176" s="1">
        <f>IFERROR(__xludf.DUMMYFUNCTION("""COMPUTED_VALUE"""),142569.0)</f>
        <v>142569</v>
      </c>
    </row>
    <row r="177">
      <c r="A177" s="2">
        <f>IFERROR(__xludf.DUMMYFUNCTION("""COMPUTED_VALUE"""),41165.645833333336)</f>
        <v>41165.64583</v>
      </c>
      <c r="B177" s="1">
        <f>IFERROR(__xludf.DUMMYFUNCTION("""COMPUTED_VALUE"""),4850.0)</f>
        <v>4850</v>
      </c>
      <c r="C177" s="1">
        <f>IFERROR(__xludf.DUMMYFUNCTION("""COMPUTED_VALUE"""),5110.0)</f>
        <v>5110</v>
      </c>
      <c r="D177" s="1">
        <f>IFERROR(__xludf.DUMMYFUNCTION("""COMPUTED_VALUE"""),4850.0)</f>
        <v>4850</v>
      </c>
      <c r="E177" s="1">
        <f>IFERROR(__xludf.DUMMYFUNCTION("""COMPUTED_VALUE"""),4960.0)</f>
        <v>4960</v>
      </c>
      <c r="F177" s="1">
        <f>IFERROR(__xludf.DUMMYFUNCTION("""COMPUTED_VALUE"""),228370.0)</f>
        <v>228370</v>
      </c>
    </row>
    <row r="178">
      <c r="A178" s="2">
        <f>IFERROR(__xludf.DUMMYFUNCTION("""COMPUTED_VALUE"""),41166.645833333336)</f>
        <v>41166.64583</v>
      </c>
      <c r="B178" s="1">
        <f>IFERROR(__xludf.DUMMYFUNCTION("""COMPUTED_VALUE"""),5090.0)</f>
        <v>5090</v>
      </c>
      <c r="C178" s="1">
        <f>IFERROR(__xludf.DUMMYFUNCTION("""COMPUTED_VALUE"""),5090.0)</f>
        <v>5090</v>
      </c>
      <c r="D178" s="1">
        <f>IFERROR(__xludf.DUMMYFUNCTION("""COMPUTED_VALUE"""),4850.0)</f>
        <v>4850</v>
      </c>
      <c r="E178" s="1">
        <f>IFERROR(__xludf.DUMMYFUNCTION("""COMPUTED_VALUE"""),4930.0)</f>
        <v>4930</v>
      </c>
      <c r="F178" s="1">
        <f>IFERROR(__xludf.DUMMYFUNCTION("""COMPUTED_VALUE"""),97470.0)</f>
        <v>97470</v>
      </c>
    </row>
    <row r="179">
      <c r="A179" s="2">
        <f>IFERROR(__xludf.DUMMYFUNCTION("""COMPUTED_VALUE"""),41169.645833333336)</f>
        <v>41169.64583</v>
      </c>
      <c r="B179" s="1">
        <f>IFERROR(__xludf.DUMMYFUNCTION("""COMPUTED_VALUE"""),4900.0)</f>
        <v>4900</v>
      </c>
      <c r="C179" s="1">
        <f>IFERROR(__xludf.DUMMYFUNCTION("""COMPUTED_VALUE"""),4925.0)</f>
        <v>4925</v>
      </c>
      <c r="D179" s="1">
        <f>IFERROR(__xludf.DUMMYFUNCTION("""COMPUTED_VALUE"""),4770.0)</f>
        <v>4770</v>
      </c>
      <c r="E179" s="1">
        <f>IFERROR(__xludf.DUMMYFUNCTION("""COMPUTED_VALUE"""),4885.0)</f>
        <v>4885</v>
      </c>
      <c r="F179" s="1">
        <f>IFERROR(__xludf.DUMMYFUNCTION("""COMPUTED_VALUE"""),62400.0)</f>
        <v>62400</v>
      </c>
    </row>
    <row r="180">
      <c r="A180" s="2">
        <f>IFERROR(__xludf.DUMMYFUNCTION("""COMPUTED_VALUE"""),41170.645833333336)</f>
        <v>41170.64583</v>
      </c>
      <c r="B180" s="1">
        <f>IFERROR(__xludf.DUMMYFUNCTION("""COMPUTED_VALUE"""),4975.0)</f>
        <v>4975</v>
      </c>
      <c r="C180" s="1">
        <f>IFERROR(__xludf.DUMMYFUNCTION("""COMPUTED_VALUE"""),5310.0)</f>
        <v>5310</v>
      </c>
      <c r="D180" s="1">
        <f>IFERROR(__xludf.DUMMYFUNCTION("""COMPUTED_VALUE"""),4915.0)</f>
        <v>4915</v>
      </c>
      <c r="E180" s="1">
        <f>IFERROR(__xludf.DUMMYFUNCTION("""COMPUTED_VALUE"""),5080.0)</f>
        <v>5080</v>
      </c>
      <c r="F180" s="1">
        <f>IFERROR(__xludf.DUMMYFUNCTION("""COMPUTED_VALUE"""),397983.0)</f>
        <v>397983</v>
      </c>
    </row>
    <row r="181">
      <c r="A181" s="2">
        <f>IFERROR(__xludf.DUMMYFUNCTION("""COMPUTED_VALUE"""),41171.645833333336)</f>
        <v>41171.64583</v>
      </c>
      <c r="B181" s="1">
        <f>IFERROR(__xludf.DUMMYFUNCTION("""COMPUTED_VALUE"""),5140.0)</f>
        <v>5140</v>
      </c>
      <c r="C181" s="1">
        <f>IFERROR(__xludf.DUMMYFUNCTION("""COMPUTED_VALUE"""),5150.0)</f>
        <v>5150</v>
      </c>
      <c r="D181" s="1">
        <f>IFERROR(__xludf.DUMMYFUNCTION("""COMPUTED_VALUE"""),5010.0)</f>
        <v>5010</v>
      </c>
      <c r="E181" s="1">
        <f>IFERROR(__xludf.DUMMYFUNCTION("""COMPUTED_VALUE"""),5090.0)</f>
        <v>5090</v>
      </c>
      <c r="F181" s="1">
        <f>IFERROR(__xludf.DUMMYFUNCTION("""COMPUTED_VALUE"""),82040.0)</f>
        <v>82040</v>
      </c>
    </row>
    <row r="182">
      <c r="A182" s="2">
        <f>IFERROR(__xludf.DUMMYFUNCTION("""COMPUTED_VALUE"""),41172.645833333336)</f>
        <v>41172.64583</v>
      </c>
      <c r="B182" s="1">
        <f>IFERROR(__xludf.DUMMYFUNCTION("""COMPUTED_VALUE"""),5200.0)</f>
        <v>5200</v>
      </c>
      <c r="C182" s="1">
        <f>IFERROR(__xludf.DUMMYFUNCTION("""COMPUTED_VALUE"""),5210.0)</f>
        <v>5210</v>
      </c>
      <c r="D182" s="1">
        <f>IFERROR(__xludf.DUMMYFUNCTION("""COMPUTED_VALUE"""),5040.0)</f>
        <v>5040</v>
      </c>
      <c r="E182" s="1">
        <f>IFERROR(__xludf.DUMMYFUNCTION("""COMPUTED_VALUE"""),5090.0)</f>
        <v>5090</v>
      </c>
      <c r="F182" s="1">
        <f>IFERROR(__xludf.DUMMYFUNCTION("""COMPUTED_VALUE"""),73990.0)</f>
        <v>73990</v>
      </c>
    </row>
    <row r="183">
      <c r="A183" s="2">
        <f>IFERROR(__xludf.DUMMYFUNCTION("""COMPUTED_VALUE"""),41173.645833333336)</f>
        <v>41173.64583</v>
      </c>
      <c r="B183" s="1">
        <f>IFERROR(__xludf.DUMMYFUNCTION("""COMPUTED_VALUE"""),5140.0)</f>
        <v>5140</v>
      </c>
      <c r="C183" s="1">
        <f>IFERROR(__xludf.DUMMYFUNCTION("""COMPUTED_VALUE"""),5140.0)</f>
        <v>5140</v>
      </c>
      <c r="D183" s="1">
        <f>IFERROR(__xludf.DUMMYFUNCTION("""COMPUTED_VALUE"""),4840.0)</f>
        <v>4840</v>
      </c>
      <c r="E183" s="1">
        <f>IFERROR(__xludf.DUMMYFUNCTION("""COMPUTED_VALUE"""),5040.0)</f>
        <v>5040</v>
      </c>
      <c r="F183" s="1">
        <f>IFERROR(__xludf.DUMMYFUNCTION("""COMPUTED_VALUE"""),115574.0)</f>
        <v>115574</v>
      </c>
    </row>
    <row r="184">
      <c r="A184" s="2">
        <f>IFERROR(__xludf.DUMMYFUNCTION("""COMPUTED_VALUE"""),41176.645833333336)</f>
        <v>41176.64583</v>
      </c>
      <c r="B184" s="1">
        <f>IFERROR(__xludf.DUMMYFUNCTION("""COMPUTED_VALUE"""),4980.0)</f>
        <v>4980</v>
      </c>
      <c r="C184" s="1">
        <f>IFERROR(__xludf.DUMMYFUNCTION("""COMPUTED_VALUE"""),5240.0)</f>
        <v>5240</v>
      </c>
      <c r="D184" s="1">
        <f>IFERROR(__xludf.DUMMYFUNCTION("""COMPUTED_VALUE"""),4980.0)</f>
        <v>4980</v>
      </c>
      <c r="E184" s="1">
        <f>IFERROR(__xludf.DUMMYFUNCTION("""COMPUTED_VALUE"""),5000.0)</f>
        <v>5000</v>
      </c>
      <c r="F184" s="1">
        <f>IFERROR(__xludf.DUMMYFUNCTION("""COMPUTED_VALUE"""),121854.0)</f>
        <v>121854</v>
      </c>
    </row>
    <row r="185">
      <c r="A185" s="2">
        <f>IFERROR(__xludf.DUMMYFUNCTION("""COMPUTED_VALUE"""),41177.645833333336)</f>
        <v>41177.64583</v>
      </c>
      <c r="B185" s="1">
        <f>IFERROR(__xludf.DUMMYFUNCTION("""COMPUTED_VALUE"""),5000.0)</f>
        <v>5000</v>
      </c>
      <c r="C185" s="1">
        <f>IFERROR(__xludf.DUMMYFUNCTION("""COMPUTED_VALUE"""),5080.0)</f>
        <v>5080</v>
      </c>
      <c r="D185" s="1">
        <f>IFERROR(__xludf.DUMMYFUNCTION("""COMPUTED_VALUE"""),4900.0)</f>
        <v>4900</v>
      </c>
      <c r="E185" s="1">
        <f>IFERROR(__xludf.DUMMYFUNCTION("""COMPUTED_VALUE"""),5040.0)</f>
        <v>5040</v>
      </c>
      <c r="F185" s="1">
        <f>IFERROR(__xludf.DUMMYFUNCTION("""COMPUTED_VALUE"""),49470.0)</f>
        <v>49470</v>
      </c>
    </row>
    <row r="186">
      <c r="A186" s="2">
        <f>IFERROR(__xludf.DUMMYFUNCTION("""COMPUTED_VALUE"""),41178.645833333336)</f>
        <v>41178.64583</v>
      </c>
      <c r="B186" s="1">
        <f>IFERROR(__xludf.DUMMYFUNCTION("""COMPUTED_VALUE"""),4900.0)</f>
        <v>4900</v>
      </c>
      <c r="C186" s="1">
        <f>IFERROR(__xludf.DUMMYFUNCTION("""COMPUTED_VALUE"""),5170.0)</f>
        <v>5170</v>
      </c>
      <c r="D186" s="1">
        <f>IFERROR(__xludf.DUMMYFUNCTION("""COMPUTED_VALUE"""),4900.0)</f>
        <v>4900</v>
      </c>
      <c r="E186" s="1">
        <f>IFERROR(__xludf.DUMMYFUNCTION("""COMPUTED_VALUE"""),4965.0)</f>
        <v>4965</v>
      </c>
      <c r="F186" s="1">
        <f>IFERROR(__xludf.DUMMYFUNCTION("""COMPUTED_VALUE"""),76070.0)</f>
        <v>76070</v>
      </c>
    </row>
    <row r="187">
      <c r="A187" s="2">
        <f>IFERROR(__xludf.DUMMYFUNCTION("""COMPUTED_VALUE"""),41179.645833333336)</f>
        <v>41179.64583</v>
      </c>
      <c r="B187" s="1">
        <f>IFERROR(__xludf.DUMMYFUNCTION("""COMPUTED_VALUE"""),4950.0)</f>
        <v>4950</v>
      </c>
      <c r="C187" s="1">
        <f>IFERROR(__xludf.DUMMYFUNCTION("""COMPUTED_VALUE"""),5020.0)</f>
        <v>5020</v>
      </c>
      <c r="D187" s="1">
        <f>IFERROR(__xludf.DUMMYFUNCTION("""COMPUTED_VALUE"""),4870.0)</f>
        <v>4870</v>
      </c>
      <c r="E187" s="1">
        <f>IFERROR(__xludf.DUMMYFUNCTION("""COMPUTED_VALUE"""),4885.0)</f>
        <v>4885</v>
      </c>
      <c r="F187" s="1">
        <f>IFERROR(__xludf.DUMMYFUNCTION("""COMPUTED_VALUE"""),32080.0)</f>
        <v>32080</v>
      </c>
    </row>
    <row r="188">
      <c r="A188" s="2">
        <f>IFERROR(__xludf.DUMMYFUNCTION("""COMPUTED_VALUE"""),41180.645833333336)</f>
        <v>41180.64583</v>
      </c>
      <c r="B188" s="1">
        <f>IFERROR(__xludf.DUMMYFUNCTION("""COMPUTED_VALUE"""),4865.0)</f>
        <v>4865</v>
      </c>
      <c r="C188" s="1">
        <f>IFERROR(__xludf.DUMMYFUNCTION("""COMPUTED_VALUE"""),4990.0)</f>
        <v>4990</v>
      </c>
      <c r="D188" s="1">
        <f>IFERROR(__xludf.DUMMYFUNCTION("""COMPUTED_VALUE"""),4865.0)</f>
        <v>4865</v>
      </c>
      <c r="E188" s="1">
        <f>IFERROR(__xludf.DUMMYFUNCTION("""COMPUTED_VALUE"""),4980.0)</f>
        <v>4980</v>
      </c>
      <c r="F188" s="1">
        <f>IFERROR(__xludf.DUMMYFUNCTION("""COMPUTED_VALUE"""),26350.0)</f>
        <v>26350</v>
      </c>
    </row>
    <row r="189">
      <c r="A189" s="2">
        <f>IFERROR(__xludf.DUMMYFUNCTION("""COMPUTED_VALUE"""),41184.645833333336)</f>
        <v>41184.64583</v>
      </c>
      <c r="B189" s="1">
        <f>IFERROR(__xludf.DUMMYFUNCTION("""COMPUTED_VALUE"""),5120.0)</f>
        <v>5120</v>
      </c>
      <c r="C189" s="1">
        <f>IFERROR(__xludf.DUMMYFUNCTION("""COMPUTED_VALUE"""),5120.0)</f>
        <v>5120</v>
      </c>
      <c r="D189" s="1">
        <f>IFERROR(__xludf.DUMMYFUNCTION("""COMPUTED_VALUE"""),4955.0)</f>
        <v>4955</v>
      </c>
      <c r="E189" s="1">
        <f>IFERROR(__xludf.DUMMYFUNCTION("""COMPUTED_VALUE"""),4955.0)</f>
        <v>4955</v>
      </c>
      <c r="F189" s="1">
        <f>IFERROR(__xludf.DUMMYFUNCTION("""COMPUTED_VALUE"""),16857.0)</f>
        <v>16857</v>
      </c>
    </row>
    <row r="190">
      <c r="A190" s="2">
        <f>IFERROR(__xludf.DUMMYFUNCTION("""COMPUTED_VALUE"""),41186.645833333336)</f>
        <v>41186.64583</v>
      </c>
      <c r="B190" s="1">
        <f>IFERROR(__xludf.DUMMYFUNCTION("""COMPUTED_VALUE"""),4970.0)</f>
        <v>4970</v>
      </c>
      <c r="C190" s="1">
        <f>IFERROR(__xludf.DUMMYFUNCTION("""COMPUTED_VALUE"""),5010.0)</f>
        <v>5010</v>
      </c>
      <c r="D190" s="1">
        <f>IFERROR(__xludf.DUMMYFUNCTION("""COMPUTED_VALUE"""),4910.0)</f>
        <v>4910</v>
      </c>
      <c r="E190" s="1">
        <f>IFERROR(__xludf.DUMMYFUNCTION("""COMPUTED_VALUE"""),4935.0)</f>
        <v>4935</v>
      </c>
      <c r="F190" s="1">
        <f>IFERROR(__xludf.DUMMYFUNCTION("""COMPUTED_VALUE"""),41550.0)</f>
        <v>41550</v>
      </c>
    </row>
    <row r="191">
      <c r="A191" s="2">
        <f>IFERROR(__xludf.DUMMYFUNCTION("""COMPUTED_VALUE"""),41187.645833333336)</f>
        <v>41187.64583</v>
      </c>
      <c r="B191" s="1">
        <f>IFERROR(__xludf.DUMMYFUNCTION("""COMPUTED_VALUE"""),4985.0)</f>
        <v>4985</v>
      </c>
      <c r="C191" s="1">
        <f>IFERROR(__xludf.DUMMYFUNCTION("""COMPUTED_VALUE"""),4985.0)</f>
        <v>4985</v>
      </c>
      <c r="D191" s="1">
        <f>IFERROR(__xludf.DUMMYFUNCTION("""COMPUTED_VALUE"""),4900.0)</f>
        <v>4900</v>
      </c>
      <c r="E191" s="1">
        <f>IFERROR(__xludf.DUMMYFUNCTION("""COMPUTED_VALUE"""),4960.0)</f>
        <v>4960</v>
      </c>
      <c r="F191" s="1">
        <f>IFERROR(__xludf.DUMMYFUNCTION("""COMPUTED_VALUE"""),27220.0)</f>
        <v>27220</v>
      </c>
    </row>
    <row r="192">
      <c r="A192" s="2">
        <f>IFERROR(__xludf.DUMMYFUNCTION("""COMPUTED_VALUE"""),41190.645833333336)</f>
        <v>41190.64583</v>
      </c>
      <c r="B192" s="1">
        <f>IFERROR(__xludf.DUMMYFUNCTION("""COMPUTED_VALUE"""),5030.0)</f>
        <v>5030</v>
      </c>
      <c r="C192" s="1">
        <f>IFERROR(__xludf.DUMMYFUNCTION("""COMPUTED_VALUE"""),5300.0)</f>
        <v>5300</v>
      </c>
      <c r="D192" s="1">
        <f>IFERROR(__xludf.DUMMYFUNCTION("""COMPUTED_VALUE"""),5020.0)</f>
        <v>5020</v>
      </c>
      <c r="E192" s="1">
        <f>IFERROR(__xludf.DUMMYFUNCTION("""COMPUTED_VALUE"""),5240.0)</f>
        <v>5240</v>
      </c>
      <c r="F192" s="1">
        <f>IFERROR(__xludf.DUMMYFUNCTION("""COMPUTED_VALUE"""),219112.0)</f>
        <v>219112</v>
      </c>
    </row>
    <row r="193">
      <c r="A193" s="2">
        <f>IFERROR(__xludf.DUMMYFUNCTION("""COMPUTED_VALUE"""),41191.645833333336)</f>
        <v>41191.64583</v>
      </c>
      <c r="B193" s="1">
        <f>IFERROR(__xludf.DUMMYFUNCTION("""COMPUTED_VALUE"""),5160.0)</f>
        <v>5160</v>
      </c>
      <c r="C193" s="1">
        <f>IFERROR(__xludf.DUMMYFUNCTION("""COMPUTED_VALUE"""),5230.0)</f>
        <v>5230</v>
      </c>
      <c r="D193" s="1">
        <f>IFERROR(__xludf.DUMMYFUNCTION("""COMPUTED_VALUE"""),5080.0)</f>
        <v>5080</v>
      </c>
      <c r="E193" s="1">
        <f>IFERROR(__xludf.DUMMYFUNCTION("""COMPUTED_VALUE"""),5090.0)</f>
        <v>5090</v>
      </c>
      <c r="F193" s="1">
        <f>IFERROR(__xludf.DUMMYFUNCTION("""COMPUTED_VALUE"""),64960.0)</f>
        <v>64960</v>
      </c>
    </row>
    <row r="194">
      <c r="A194" s="2">
        <f>IFERROR(__xludf.DUMMYFUNCTION("""COMPUTED_VALUE"""),41192.645833333336)</f>
        <v>41192.64583</v>
      </c>
      <c r="B194" s="1">
        <f>IFERROR(__xludf.DUMMYFUNCTION("""COMPUTED_VALUE"""),5110.0)</f>
        <v>5110</v>
      </c>
      <c r="C194" s="1">
        <f>IFERROR(__xludf.DUMMYFUNCTION("""COMPUTED_VALUE"""),5110.0)</f>
        <v>5110</v>
      </c>
      <c r="D194" s="1">
        <f>IFERROR(__xludf.DUMMYFUNCTION("""COMPUTED_VALUE"""),4980.0)</f>
        <v>4980</v>
      </c>
      <c r="E194" s="1">
        <f>IFERROR(__xludf.DUMMYFUNCTION("""COMPUTED_VALUE"""),4980.0)</f>
        <v>4980</v>
      </c>
      <c r="F194" s="1">
        <f>IFERROR(__xludf.DUMMYFUNCTION("""COMPUTED_VALUE"""),36320.0)</f>
        <v>36320</v>
      </c>
    </row>
    <row r="195">
      <c r="A195" s="2">
        <f>IFERROR(__xludf.DUMMYFUNCTION("""COMPUTED_VALUE"""),41193.645833333336)</f>
        <v>41193.64583</v>
      </c>
      <c r="B195" s="1">
        <f>IFERROR(__xludf.DUMMYFUNCTION("""COMPUTED_VALUE"""),4960.0)</f>
        <v>4960</v>
      </c>
      <c r="C195" s="1">
        <f>IFERROR(__xludf.DUMMYFUNCTION("""COMPUTED_VALUE"""),4975.0)</f>
        <v>4975</v>
      </c>
      <c r="D195" s="1">
        <f>IFERROR(__xludf.DUMMYFUNCTION("""COMPUTED_VALUE"""),4785.0)</f>
        <v>4785</v>
      </c>
      <c r="E195" s="1">
        <f>IFERROR(__xludf.DUMMYFUNCTION("""COMPUTED_VALUE"""),4810.0)</f>
        <v>4810</v>
      </c>
      <c r="F195" s="1">
        <f>IFERROR(__xludf.DUMMYFUNCTION("""COMPUTED_VALUE"""),72940.0)</f>
        <v>72940</v>
      </c>
    </row>
    <row r="196">
      <c r="A196" s="2">
        <f>IFERROR(__xludf.DUMMYFUNCTION("""COMPUTED_VALUE"""),41194.645833333336)</f>
        <v>41194.64583</v>
      </c>
      <c r="B196" s="1">
        <f>IFERROR(__xludf.DUMMYFUNCTION("""COMPUTED_VALUE"""),4800.0)</f>
        <v>4800</v>
      </c>
      <c r="C196" s="1">
        <f>IFERROR(__xludf.DUMMYFUNCTION("""COMPUTED_VALUE"""),4870.0)</f>
        <v>4870</v>
      </c>
      <c r="D196" s="1">
        <f>IFERROR(__xludf.DUMMYFUNCTION("""COMPUTED_VALUE"""),4750.0)</f>
        <v>4750</v>
      </c>
      <c r="E196" s="1">
        <f>IFERROR(__xludf.DUMMYFUNCTION("""COMPUTED_VALUE"""),4860.0)</f>
        <v>4860</v>
      </c>
      <c r="F196" s="1">
        <f>IFERROR(__xludf.DUMMYFUNCTION("""COMPUTED_VALUE"""),35060.0)</f>
        <v>35060</v>
      </c>
    </row>
    <row r="197">
      <c r="A197" s="2">
        <f>IFERROR(__xludf.DUMMYFUNCTION("""COMPUTED_VALUE"""),41197.645833333336)</f>
        <v>41197.64583</v>
      </c>
      <c r="B197" s="1">
        <f>IFERROR(__xludf.DUMMYFUNCTION("""COMPUTED_VALUE"""),4800.0)</f>
        <v>4800</v>
      </c>
      <c r="C197" s="1">
        <f>IFERROR(__xludf.DUMMYFUNCTION("""COMPUTED_VALUE"""),5050.0)</f>
        <v>5050</v>
      </c>
      <c r="D197" s="1">
        <f>IFERROR(__xludf.DUMMYFUNCTION("""COMPUTED_VALUE"""),4580.0)</f>
        <v>4580</v>
      </c>
      <c r="E197" s="1">
        <f>IFERROR(__xludf.DUMMYFUNCTION("""COMPUTED_VALUE"""),4615.0)</f>
        <v>4615</v>
      </c>
      <c r="F197" s="1">
        <f>IFERROR(__xludf.DUMMYFUNCTION("""COMPUTED_VALUE"""),131590.0)</f>
        <v>131590</v>
      </c>
    </row>
    <row r="198">
      <c r="A198" s="2">
        <f>IFERROR(__xludf.DUMMYFUNCTION("""COMPUTED_VALUE"""),41198.645833333336)</f>
        <v>41198.64583</v>
      </c>
      <c r="B198" s="1">
        <f>IFERROR(__xludf.DUMMYFUNCTION("""COMPUTED_VALUE"""),4570.0)</f>
        <v>4570</v>
      </c>
      <c r="C198" s="1">
        <f>IFERROR(__xludf.DUMMYFUNCTION("""COMPUTED_VALUE"""),4730.0)</f>
        <v>4730</v>
      </c>
      <c r="D198" s="1">
        <f>IFERROR(__xludf.DUMMYFUNCTION("""COMPUTED_VALUE"""),4535.0)</f>
        <v>4535</v>
      </c>
      <c r="E198" s="1">
        <f>IFERROR(__xludf.DUMMYFUNCTION("""COMPUTED_VALUE"""),4580.0)</f>
        <v>4580</v>
      </c>
      <c r="F198" s="1">
        <f>IFERROR(__xludf.DUMMYFUNCTION("""COMPUTED_VALUE"""),34765.0)</f>
        <v>34765</v>
      </c>
    </row>
    <row r="199">
      <c r="A199" s="2">
        <f>IFERROR(__xludf.DUMMYFUNCTION("""COMPUTED_VALUE"""),41199.645833333336)</f>
        <v>41199.64583</v>
      </c>
      <c r="B199" s="1">
        <f>IFERROR(__xludf.DUMMYFUNCTION("""COMPUTED_VALUE"""),4580.0)</f>
        <v>4580</v>
      </c>
      <c r="C199" s="1">
        <f>IFERROR(__xludf.DUMMYFUNCTION("""COMPUTED_VALUE"""),4770.0)</f>
        <v>4770</v>
      </c>
      <c r="D199" s="1">
        <f>IFERROR(__xludf.DUMMYFUNCTION("""COMPUTED_VALUE"""),4490.0)</f>
        <v>4490</v>
      </c>
      <c r="E199" s="1">
        <f>IFERROR(__xludf.DUMMYFUNCTION("""COMPUTED_VALUE"""),4750.0)</f>
        <v>4750</v>
      </c>
      <c r="F199" s="1">
        <f>IFERROR(__xludf.DUMMYFUNCTION("""COMPUTED_VALUE"""),77328.0)</f>
        <v>77328</v>
      </c>
    </row>
    <row r="200">
      <c r="A200" s="2">
        <f>IFERROR(__xludf.DUMMYFUNCTION("""COMPUTED_VALUE"""),41200.645833333336)</f>
        <v>41200.64583</v>
      </c>
      <c r="B200" s="1">
        <f>IFERROR(__xludf.DUMMYFUNCTION("""COMPUTED_VALUE"""),5280.0)</f>
        <v>5280</v>
      </c>
      <c r="C200" s="1">
        <f>IFERROR(__xludf.DUMMYFUNCTION("""COMPUTED_VALUE"""),5450.0)</f>
        <v>5450</v>
      </c>
      <c r="D200" s="1">
        <f>IFERROR(__xludf.DUMMYFUNCTION("""COMPUTED_VALUE"""),4835.0)</f>
        <v>4835</v>
      </c>
      <c r="E200" s="1">
        <f>IFERROR(__xludf.DUMMYFUNCTION("""COMPUTED_VALUE"""),4835.0)</f>
        <v>4835</v>
      </c>
      <c r="F200" s="1">
        <f>IFERROR(__xludf.DUMMYFUNCTION("""COMPUTED_VALUE"""),469000.0)</f>
        <v>469000</v>
      </c>
    </row>
    <row r="201">
      <c r="A201" s="2">
        <f>IFERROR(__xludf.DUMMYFUNCTION("""COMPUTED_VALUE"""),41201.645833333336)</f>
        <v>41201.64583</v>
      </c>
      <c r="B201" s="1">
        <f>IFERROR(__xludf.DUMMYFUNCTION("""COMPUTED_VALUE"""),4685.0)</f>
        <v>4685</v>
      </c>
      <c r="C201" s="1">
        <f>IFERROR(__xludf.DUMMYFUNCTION("""COMPUTED_VALUE"""),4850.0)</f>
        <v>4850</v>
      </c>
      <c r="D201" s="1">
        <f>IFERROR(__xludf.DUMMYFUNCTION("""COMPUTED_VALUE"""),4595.0)</f>
        <v>4595</v>
      </c>
      <c r="E201" s="1">
        <f>IFERROR(__xludf.DUMMYFUNCTION("""COMPUTED_VALUE"""),4665.0)</f>
        <v>4665</v>
      </c>
      <c r="F201" s="1">
        <f>IFERROR(__xludf.DUMMYFUNCTION("""COMPUTED_VALUE"""),71882.0)</f>
        <v>71882</v>
      </c>
    </row>
    <row r="202">
      <c r="A202" s="2">
        <f>IFERROR(__xludf.DUMMYFUNCTION("""COMPUTED_VALUE"""),41204.645833333336)</f>
        <v>41204.64583</v>
      </c>
      <c r="B202" s="1">
        <f>IFERROR(__xludf.DUMMYFUNCTION("""COMPUTED_VALUE"""),4460.0)</f>
        <v>4460</v>
      </c>
      <c r="C202" s="1">
        <f>IFERROR(__xludf.DUMMYFUNCTION("""COMPUTED_VALUE"""),4635.0)</f>
        <v>4635</v>
      </c>
      <c r="D202" s="1">
        <f>IFERROR(__xludf.DUMMYFUNCTION("""COMPUTED_VALUE"""),4460.0)</f>
        <v>4460</v>
      </c>
      <c r="E202" s="1">
        <f>IFERROR(__xludf.DUMMYFUNCTION("""COMPUTED_VALUE"""),4560.0)</f>
        <v>4560</v>
      </c>
      <c r="F202" s="1">
        <f>IFERROR(__xludf.DUMMYFUNCTION("""COMPUTED_VALUE"""),57009.0)</f>
        <v>57009</v>
      </c>
    </row>
    <row r="203">
      <c r="A203" s="2">
        <f>IFERROR(__xludf.DUMMYFUNCTION("""COMPUTED_VALUE"""),41205.645833333336)</f>
        <v>41205.64583</v>
      </c>
      <c r="B203" s="1">
        <f>IFERROR(__xludf.DUMMYFUNCTION("""COMPUTED_VALUE"""),4510.0)</f>
        <v>4510</v>
      </c>
      <c r="C203" s="1">
        <f>IFERROR(__xludf.DUMMYFUNCTION("""COMPUTED_VALUE"""),4595.0)</f>
        <v>4595</v>
      </c>
      <c r="D203" s="1">
        <f>IFERROR(__xludf.DUMMYFUNCTION("""COMPUTED_VALUE"""),4500.0)</f>
        <v>4500</v>
      </c>
      <c r="E203" s="1">
        <f>IFERROR(__xludf.DUMMYFUNCTION("""COMPUTED_VALUE"""),4500.0)</f>
        <v>4500</v>
      </c>
      <c r="F203" s="1">
        <f>IFERROR(__xludf.DUMMYFUNCTION("""COMPUTED_VALUE"""),75100.0)</f>
        <v>75100</v>
      </c>
    </row>
    <row r="204">
      <c r="A204" s="2">
        <f>IFERROR(__xludf.DUMMYFUNCTION("""COMPUTED_VALUE"""),41206.645833333336)</f>
        <v>41206.64583</v>
      </c>
      <c r="B204" s="1">
        <f>IFERROR(__xludf.DUMMYFUNCTION("""COMPUTED_VALUE"""),4460.0)</f>
        <v>4460</v>
      </c>
      <c r="C204" s="1">
        <f>IFERROR(__xludf.DUMMYFUNCTION("""COMPUTED_VALUE"""),4490.0)</f>
        <v>4490</v>
      </c>
      <c r="D204" s="1">
        <f>IFERROR(__xludf.DUMMYFUNCTION("""COMPUTED_VALUE"""),4330.0)</f>
        <v>4330</v>
      </c>
      <c r="E204" s="1">
        <f>IFERROR(__xludf.DUMMYFUNCTION("""COMPUTED_VALUE"""),4350.0)</f>
        <v>4350</v>
      </c>
      <c r="F204" s="1">
        <f>IFERROR(__xludf.DUMMYFUNCTION("""COMPUTED_VALUE"""),76253.0)</f>
        <v>76253</v>
      </c>
    </row>
    <row r="205">
      <c r="A205" s="2">
        <f>IFERROR(__xludf.DUMMYFUNCTION("""COMPUTED_VALUE"""),41207.645833333336)</f>
        <v>41207.64583</v>
      </c>
      <c r="B205" s="1">
        <f>IFERROR(__xludf.DUMMYFUNCTION("""COMPUTED_VALUE"""),4335.0)</f>
        <v>4335</v>
      </c>
      <c r="C205" s="1">
        <f>IFERROR(__xludf.DUMMYFUNCTION("""COMPUTED_VALUE"""),4420.0)</f>
        <v>4420</v>
      </c>
      <c r="D205" s="1">
        <f>IFERROR(__xludf.DUMMYFUNCTION("""COMPUTED_VALUE"""),4335.0)</f>
        <v>4335</v>
      </c>
      <c r="E205" s="1">
        <f>IFERROR(__xludf.DUMMYFUNCTION("""COMPUTED_VALUE"""),4360.0)</f>
        <v>4360</v>
      </c>
      <c r="F205" s="1">
        <f>IFERROR(__xludf.DUMMYFUNCTION("""COMPUTED_VALUE"""),24929.0)</f>
        <v>24929</v>
      </c>
    </row>
    <row r="206">
      <c r="A206" s="2">
        <f>IFERROR(__xludf.DUMMYFUNCTION("""COMPUTED_VALUE"""),41208.645833333336)</f>
        <v>41208.64583</v>
      </c>
      <c r="B206" s="1">
        <f>IFERROR(__xludf.DUMMYFUNCTION("""COMPUTED_VALUE"""),4320.0)</f>
        <v>4320</v>
      </c>
      <c r="C206" s="1">
        <f>IFERROR(__xludf.DUMMYFUNCTION("""COMPUTED_VALUE"""),4330.0)</f>
        <v>4330</v>
      </c>
      <c r="D206" s="1">
        <f>IFERROR(__xludf.DUMMYFUNCTION("""COMPUTED_VALUE"""),4180.0)</f>
        <v>4180</v>
      </c>
      <c r="E206" s="1">
        <f>IFERROR(__xludf.DUMMYFUNCTION("""COMPUTED_VALUE"""),4210.0)</f>
        <v>4210</v>
      </c>
      <c r="F206" s="1">
        <f>IFERROR(__xludf.DUMMYFUNCTION("""COMPUTED_VALUE"""),49984.0)</f>
        <v>49984</v>
      </c>
    </row>
    <row r="207">
      <c r="A207" s="2">
        <f>IFERROR(__xludf.DUMMYFUNCTION("""COMPUTED_VALUE"""),41211.645833333336)</f>
        <v>41211.64583</v>
      </c>
      <c r="B207" s="1">
        <f>IFERROR(__xludf.DUMMYFUNCTION("""COMPUTED_VALUE"""),4130.0)</f>
        <v>4130</v>
      </c>
      <c r="C207" s="1">
        <f>IFERROR(__xludf.DUMMYFUNCTION("""COMPUTED_VALUE"""),4360.0)</f>
        <v>4360</v>
      </c>
      <c r="D207" s="1">
        <f>IFERROR(__xludf.DUMMYFUNCTION("""COMPUTED_VALUE"""),4130.0)</f>
        <v>4130</v>
      </c>
      <c r="E207" s="1">
        <f>IFERROR(__xludf.DUMMYFUNCTION("""COMPUTED_VALUE"""),4165.0)</f>
        <v>4165</v>
      </c>
      <c r="F207" s="1">
        <f>IFERROR(__xludf.DUMMYFUNCTION("""COMPUTED_VALUE"""),32730.0)</f>
        <v>32730</v>
      </c>
    </row>
    <row r="208">
      <c r="A208" s="2">
        <f>IFERROR(__xludf.DUMMYFUNCTION("""COMPUTED_VALUE"""),41212.645833333336)</f>
        <v>41212.64583</v>
      </c>
      <c r="B208" s="1">
        <f>IFERROR(__xludf.DUMMYFUNCTION("""COMPUTED_VALUE"""),4250.0)</f>
        <v>4250</v>
      </c>
      <c r="C208" s="1">
        <f>IFERROR(__xludf.DUMMYFUNCTION("""COMPUTED_VALUE"""),4250.0)</f>
        <v>4250</v>
      </c>
      <c r="D208" s="1">
        <f>IFERROR(__xludf.DUMMYFUNCTION("""COMPUTED_VALUE"""),4160.0)</f>
        <v>4160</v>
      </c>
      <c r="E208" s="1">
        <f>IFERROR(__xludf.DUMMYFUNCTION("""COMPUTED_VALUE"""),4190.0)</f>
        <v>4190</v>
      </c>
      <c r="F208" s="1">
        <f>IFERROR(__xludf.DUMMYFUNCTION("""COMPUTED_VALUE"""),19650.0)</f>
        <v>19650</v>
      </c>
    </row>
    <row r="209">
      <c r="A209" s="2">
        <f>IFERROR(__xludf.DUMMYFUNCTION("""COMPUTED_VALUE"""),41213.645833333336)</f>
        <v>41213.64583</v>
      </c>
      <c r="B209" s="1">
        <f>IFERROR(__xludf.DUMMYFUNCTION("""COMPUTED_VALUE"""),4210.0)</f>
        <v>4210</v>
      </c>
      <c r="C209" s="1">
        <f>IFERROR(__xludf.DUMMYFUNCTION("""COMPUTED_VALUE"""),4300.0)</f>
        <v>4300</v>
      </c>
      <c r="D209" s="1">
        <f>IFERROR(__xludf.DUMMYFUNCTION("""COMPUTED_VALUE"""),4200.0)</f>
        <v>4200</v>
      </c>
      <c r="E209" s="1">
        <f>IFERROR(__xludf.DUMMYFUNCTION("""COMPUTED_VALUE"""),4240.0)</f>
        <v>4240</v>
      </c>
      <c r="F209" s="1">
        <f>IFERROR(__xludf.DUMMYFUNCTION("""COMPUTED_VALUE"""),24100.0)</f>
        <v>24100</v>
      </c>
    </row>
    <row r="210">
      <c r="A210" s="2">
        <f>IFERROR(__xludf.DUMMYFUNCTION("""COMPUTED_VALUE"""),41214.645833333336)</f>
        <v>41214.64583</v>
      </c>
      <c r="B210" s="1">
        <f>IFERROR(__xludf.DUMMYFUNCTION("""COMPUTED_VALUE"""),4210.0)</f>
        <v>4210</v>
      </c>
      <c r="C210" s="1">
        <f>IFERROR(__xludf.DUMMYFUNCTION("""COMPUTED_VALUE"""),4280.0)</f>
        <v>4280</v>
      </c>
      <c r="D210" s="1">
        <f>IFERROR(__xludf.DUMMYFUNCTION("""COMPUTED_VALUE"""),4190.0)</f>
        <v>4190</v>
      </c>
      <c r="E210" s="1">
        <f>IFERROR(__xludf.DUMMYFUNCTION("""COMPUTED_VALUE"""),4215.0)</f>
        <v>4215</v>
      </c>
      <c r="F210" s="1">
        <f>IFERROR(__xludf.DUMMYFUNCTION("""COMPUTED_VALUE"""),22090.0)</f>
        <v>22090</v>
      </c>
    </row>
    <row r="211">
      <c r="A211" s="2">
        <f>IFERROR(__xludf.DUMMYFUNCTION("""COMPUTED_VALUE"""),41215.645833333336)</f>
        <v>41215.64583</v>
      </c>
      <c r="B211" s="1">
        <f>IFERROR(__xludf.DUMMYFUNCTION("""COMPUTED_VALUE"""),4230.0)</f>
        <v>4230</v>
      </c>
      <c r="C211" s="1">
        <f>IFERROR(__xludf.DUMMYFUNCTION("""COMPUTED_VALUE"""),4310.0)</f>
        <v>4310</v>
      </c>
      <c r="D211" s="1">
        <f>IFERROR(__xludf.DUMMYFUNCTION("""COMPUTED_VALUE"""),4220.0)</f>
        <v>4220</v>
      </c>
      <c r="E211" s="1">
        <f>IFERROR(__xludf.DUMMYFUNCTION("""COMPUTED_VALUE"""),4245.0)</f>
        <v>4245</v>
      </c>
      <c r="F211" s="1">
        <f>IFERROR(__xludf.DUMMYFUNCTION("""COMPUTED_VALUE"""),16551.0)</f>
        <v>16551</v>
      </c>
    </row>
    <row r="212">
      <c r="A212" s="2">
        <f>IFERROR(__xludf.DUMMYFUNCTION("""COMPUTED_VALUE"""),41218.645833333336)</f>
        <v>41218.64583</v>
      </c>
      <c r="B212" s="1">
        <f>IFERROR(__xludf.DUMMYFUNCTION("""COMPUTED_VALUE"""),4235.0)</f>
        <v>4235</v>
      </c>
      <c r="C212" s="1">
        <f>IFERROR(__xludf.DUMMYFUNCTION("""COMPUTED_VALUE"""),4290.0)</f>
        <v>4290</v>
      </c>
      <c r="D212" s="1">
        <f>IFERROR(__xludf.DUMMYFUNCTION("""COMPUTED_VALUE"""),4235.0)</f>
        <v>4235</v>
      </c>
      <c r="E212" s="1">
        <f>IFERROR(__xludf.DUMMYFUNCTION("""COMPUTED_VALUE"""),4245.0)</f>
        <v>4245</v>
      </c>
      <c r="F212" s="1">
        <f>IFERROR(__xludf.DUMMYFUNCTION("""COMPUTED_VALUE"""),25340.0)</f>
        <v>25340</v>
      </c>
    </row>
    <row r="213">
      <c r="A213" s="2">
        <f>IFERROR(__xludf.DUMMYFUNCTION("""COMPUTED_VALUE"""),41219.645833333336)</f>
        <v>41219.64583</v>
      </c>
      <c r="B213" s="1">
        <f>IFERROR(__xludf.DUMMYFUNCTION("""COMPUTED_VALUE"""),4250.0)</f>
        <v>4250</v>
      </c>
      <c r="C213" s="1">
        <f>IFERROR(__xludf.DUMMYFUNCTION("""COMPUTED_VALUE"""),4340.0)</f>
        <v>4340</v>
      </c>
      <c r="D213" s="1">
        <f>IFERROR(__xludf.DUMMYFUNCTION("""COMPUTED_VALUE"""),4250.0)</f>
        <v>4250</v>
      </c>
      <c r="E213" s="1">
        <f>IFERROR(__xludf.DUMMYFUNCTION("""COMPUTED_VALUE"""),4315.0)</f>
        <v>4315</v>
      </c>
      <c r="F213" s="1">
        <f>IFERROR(__xludf.DUMMYFUNCTION("""COMPUTED_VALUE"""),18380.0)</f>
        <v>18380</v>
      </c>
    </row>
    <row r="214">
      <c r="A214" s="2">
        <f>IFERROR(__xludf.DUMMYFUNCTION("""COMPUTED_VALUE"""),41220.645833333336)</f>
        <v>41220.64583</v>
      </c>
      <c r="B214" s="1">
        <f>IFERROR(__xludf.DUMMYFUNCTION("""COMPUTED_VALUE"""),4275.0)</f>
        <v>4275</v>
      </c>
      <c r="C214" s="1">
        <f>IFERROR(__xludf.DUMMYFUNCTION("""COMPUTED_VALUE"""),4320.0)</f>
        <v>4320</v>
      </c>
      <c r="D214" s="1">
        <f>IFERROR(__xludf.DUMMYFUNCTION("""COMPUTED_VALUE"""),4275.0)</f>
        <v>4275</v>
      </c>
      <c r="E214" s="1">
        <f>IFERROR(__xludf.DUMMYFUNCTION("""COMPUTED_VALUE"""),4300.0)</f>
        <v>4300</v>
      </c>
      <c r="F214" s="1">
        <f>IFERROR(__xludf.DUMMYFUNCTION("""COMPUTED_VALUE"""),23900.0)</f>
        <v>23900</v>
      </c>
    </row>
    <row r="215">
      <c r="A215" s="2">
        <f>IFERROR(__xludf.DUMMYFUNCTION("""COMPUTED_VALUE"""),41221.645833333336)</f>
        <v>41221.64583</v>
      </c>
      <c r="B215" s="1">
        <f>IFERROR(__xludf.DUMMYFUNCTION("""COMPUTED_VALUE"""),4300.0)</f>
        <v>4300</v>
      </c>
      <c r="C215" s="1">
        <f>IFERROR(__xludf.DUMMYFUNCTION("""COMPUTED_VALUE"""),4300.0)</f>
        <v>4300</v>
      </c>
      <c r="D215" s="1">
        <f>IFERROR(__xludf.DUMMYFUNCTION("""COMPUTED_VALUE"""),4180.0)</f>
        <v>4180</v>
      </c>
      <c r="E215" s="1">
        <f>IFERROR(__xludf.DUMMYFUNCTION("""COMPUTED_VALUE"""),4255.0)</f>
        <v>4255</v>
      </c>
      <c r="F215" s="1">
        <f>IFERROR(__xludf.DUMMYFUNCTION("""COMPUTED_VALUE"""),27913.0)</f>
        <v>27913</v>
      </c>
    </row>
    <row r="216">
      <c r="A216" s="2">
        <f>IFERROR(__xludf.DUMMYFUNCTION("""COMPUTED_VALUE"""),41222.645833333336)</f>
        <v>41222.64583</v>
      </c>
      <c r="B216" s="1">
        <f>IFERROR(__xludf.DUMMYFUNCTION("""COMPUTED_VALUE"""),4215.0)</f>
        <v>4215</v>
      </c>
      <c r="C216" s="1">
        <f>IFERROR(__xludf.DUMMYFUNCTION("""COMPUTED_VALUE"""),4250.0)</f>
        <v>4250</v>
      </c>
      <c r="D216" s="1">
        <f>IFERROR(__xludf.DUMMYFUNCTION("""COMPUTED_VALUE"""),4185.0)</f>
        <v>4185</v>
      </c>
      <c r="E216" s="1">
        <f>IFERROR(__xludf.DUMMYFUNCTION("""COMPUTED_VALUE"""),4190.0)</f>
        <v>4190</v>
      </c>
      <c r="F216" s="1">
        <f>IFERROR(__xludf.DUMMYFUNCTION("""COMPUTED_VALUE"""),19570.0)</f>
        <v>19570</v>
      </c>
    </row>
    <row r="217">
      <c r="A217" s="2">
        <f>IFERROR(__xludf.DUMMYFUNCTION("""COMPUTED_VALUE"""),41225.645833333336)</f>
        <v>41225.64583</v>
      </c>
      <c r="B217" s="1">
        <f>IFERROR(__xludf.DUMMYFUNCTION("""COMPUTED_VALUE"""),4175.0)</f>
        <v>4175</v>
      </c>
      <c r="C217" s="1">
        <f>IFERROR(__xludf.DUMMYFUNCTION("""COMPUTED_VALUE"""),4235.0)</f>
        <v>4235</v>
      </c>
      <c r="D217" s="1">
        <f>IFERROR(__xludf.DUMMYFUNCTION("""COMPUTED_VALUE"""),4170.0)</f>
        <v>4170</v>
      </c>
      <c r="E217" s="1">
        <f>IFERROR(__xludf.DUMMYFUNCTION("""COMPUTED_VALUE"""),4180.0)</f>
        <v>4180</v>
      </c>
      <c r="F217" s="1">
        <f>IFERROR(__xludf.DUMMYFUNCTION("""COMPUTED_VALUE"""),19868.0)</f>
        <v>19868</v>
      </c>
    </row>
    <row r="218">
      <c r="A218" s="2">
        <f>IFERROR(__xludf.DUMMYFUNCTION("""COMPUTED_VALUE"""),41226.645833333336)</f>
        <v>41226.64583</v>
      </c>
      <c r="B218" s="1">
        <f>IFERROR(__xludf.DUMMYFUNCTION("""COMPUTED_VALUE"""),4200.0)</f>
        <v>4200</v>
      </c>
      <c r="C218" s="1">
        <f>IFERROR(__xludf.DUMMYFUNCTION("""COMPUTED_VALUE"""),4200.0)</f>
        <v>4200</v>
      </c>
      <c r="D218" s="1">
        <f>IFERROR(__xludf.DUMMYFUNCTION("""COMPUTED_VALUE"""),4120.0)</f>
        <v>4120</v>
      </c>
      <c r="E218" s="1">
        <f>IFERROR(__xludf.DUMMYFUNCTION("""COMPUTED_VALUE"""),4120.0)</f>
        <v>4120</v>
      </c>
      <c r="F218" s="1">
        <f>IFERROR(__xludf.DUMMYFUNCTION("""COMPUTED_VALUE"""),18450.0)</f>
        <v>18450</v>
      </c>
    </row>
    <row r="219">
      <c r="A219" s="2">
        <f>IFERROR(__xludf.DUMMYFUNCTION("""COMPUTED_VALUE"""),41227.645833333336)</f>
        <v>41227.64583</v>
      </c>
      <c r="B219" s="1">
        <f>IFERROR(__xludf.DUMMYFUNCTION("""COMPUTED_VALUE"""),4125.0)</f>
        <v>4125</v>
      </c>
      <c r="C219" s="1">
        <f>IFERROR(__xludf.DUMMYFUNCTION("""COMPUTED_VALUE"""),4150.0)</f>
        <v>4150</v>
      </c>
      <c r="D219" s="1">
        <f>IFERROR(__xludf.DUMMYFUNCTION("""COMPUTED_VALUE"""),3970.0)</f>
        <v>3970</v>
      </c>
      <c r="E219" s="1">
        <f>IFERROR(__xludf.DUMMYFUNCTION("""COMPUTED_VALUE"""),3990.0)</f>
        <v>3990</v>
      </c>
      <c r="F219" s="1">
        <f>IFERROR(__xludf.DUMMYFUNCTION("""COMPUTED_VALUE"""),30072.0)</f>
        <v>30072</v>
      </c>
    </row>
    <row r="220">
      <c r="A220" s="2">
        <f>IFERROR(__xludf.DUMMYFUNCTION("""COMPUTED_VALUE"""),41228.645833333336)</f>
        <v>41228.64583</v>
      </c>
      <c r="B220" s="1">
        <f>IFERROR(__xludf.DUMMYFUNCTION("""COMPUTED_VALUE"""),3840.0)</f>
        <v>3840</v>
      </c>
      <c r="C220" s="1">
        <f>IFERROR(__xludf.DUMMYFUNCTION("""COMPUTED_VALUE"""),3930.0)</f>
        <v>3930</v>
      </c>
      <c r="D220" s="1">
        <f>IFERROR(__xludf.DUMMYFUNCTION("""COMPUTED_VALUE"""),3830.0)</f>
        <v>3830</v>
      </c>
      <c r="E220" s="1">
        <f>IFERROR(__xludf.DUMMYFUNCTION("""COMPUTED_VALUE"""),3865.0)</f>
        <v>3865</v>
      </c>
      <c r="F220" s="1">
        <f>IFERROR(__xludf.DUMMYFUNCTION("""COMPUTED_VALUE"""),63860.0)</f>
        <v>63860</v>
      </c>
    </row>
    <row r="221">
      <c r="A221" s="2">
        <f>IFERROR(__xludf.DUMMYFUNCTION("""COMPUTED_VALUE"""),41229.645833333336)</f>
        <v>41229.64583</v>
      </c>
      <c r="B221" s="1">
        <f>IFERROR(__xludf.DUMMYFUNCTION("""COMPUTED_VALUE"""),3990.0)</f>
        <v>3990</v>
      </c>
      <c r="C221" s="1">
        <f>IFERROR(__xludf.DUMMYFUNCTION("""COMPUTED_VALUE"""),4040.0)</f>
        <v>4040</v>
      </c>
      <c r="D221" s="1">
        <f>IFERROR(__xludf.DUMMYFUNCTION("""COMPUTED_VALUE"""),3800.0)</f>
        <v>3800</v>
      </c>
      <c r="E221" s="1">
        <f>IFERROR(__xludf.DUMMYFUNCTION("""COMPUTED_VALUE"""),4040.0)</f>
        <v>4040</v>
      </c>
      <c r="F221" s="1">
        <f>IFERROR(__xludf.DUMMYFUNCTION("""COMPUTED_VALUE"""),46700.0)</f>
        <v>46700</v>
      </c>
    </row>
    <row r="222">
      <c r="A222" s="2">
        <f>IFERROR(__xludf.DUMMYFUNCTION("""COMPUTED_VALUE"""),41232.645833333336)</f>
        <v>41232.64583</v>
      </c>
      <c r="B222" s="1">
        <f>IFERROR(__xludf.DUMMYFUNCTION("""COMPUTED_VALUE"""),4410.0)</f>
        <v>4410</v>
      </c>
      <c r="C222" s="1">
        <f>IFERROR(__xludf.DUMMYFUNCTION("""COMPUTED_VALUE"""),4410.0)</f>
        <v>4410</v>
      </c>
      <c r="D222" s="1">
        <f>IFERROR(__xludf.DUMMYFUNCTION("""COMPUTED_VALUE"""),4040.0)</f>
        <v>4040</v>
      </c>
      <c r="E222" s="1">
        <f>IFERROR(__xludf.DUMMYFUNCTION("""COMPUTED_VALUE"""),4080.0)</f>
        <v>4080</v>
      </c>
      <c r="F222" s="1">
        <f>IFERROR(__xludf.DUMMYFUNCTION("""COMPUTED_VALUE"""),62097.0)</f>
        <v>62097</v>
      </c>
    </row>
    <row r="223">
      <c r="A223" s="2">
        <f>IFERROR(__xludf.DUMMYFUNCTION("""COMPUTED_VALUE"""),41233.645833333336)</f>
        <v>41233.64583</v>
      </c>
      <c r="B223" s="1">
        <f>IFERROR(__xludf.DUMMYFUNCTION("""COMPUTED_VALUE"""),4185.0)</f>
        <v>4185</v>
      </c>
      <c r="C223" s="1">
        <f>IFERROR(__xludf.DUMMYFUNCTION("""COMPUTED_VALUE"""),4185.0)</f>
        <v>4185</v>
      </c>
      <c r="D223" s="1">
        <f>IFERROR(__xludf.DUMMYFUNCTION("""COMPUTED_VALUE"""),4040.0)</f>
        <v>4040</v>
      </c>
      <c r="E223" s="1">
        <f>IFERROR(__xludf.DUMMYFUNCTION("""COMPUTED_VALUE"""),4055.0)</f>
        <v>4055</v>
      </c>
      <c r="F223" s="1">
        <f>IFERROR(__xludf.DUMMYFUNCTION("""COMPUTED_VALUE"""),34880.0)</f>
        <v>34880</v>
      </c>
    </row>
    <row r="224">
      <c r="A224" s="2">
        <f>IFERROR(__xludf.DUMMYFUNCTION("""COMPUTED_VALUE"""),41234.645833333336)</f>
        <v>41234.64583</v>
      </c>
      <c r="B224" s="1">
        <f>IFERROR(__xludf.DUMMYFUNCTION("""COMPUTED_VALUE"""),4050.0)</f>
        <v>4050</v>
      </c>
      <c r="C224" s="1">
        <f>IFERROR(__xludf.DUMMYFUNCTION("""COMPUTED_VALUE"""),4100.0)</f>
        <v>4100</v>
      </c>
      <c r="D224" s="1">
        <f>IFERROR(__xludf.DUMMYFUNCTION("""COMPUTED_VALUE"""),4020.0)</f>
        <v>4020</v>
      </c>
      <c r="E224" s="1">
        <f>IFERROR(__xludf.DUMMYFUNCTION("""COMPUTED_VALUE"""),4025.0)</f>
        <v>4025</v>
      </c>
      <c r="F224" s="1">
        <f>IFERROR(__xludf.DUMMYFUNCTION("""COMPUTED_VALUE"""),17505.0)</f>
        <v>17505</v>
      </c>
    </row>
    <row r="225">
      <c r="A225" s="2">
        <f>IFERROR(__xludf.DUMMYFUNCTION("""COMPUTED_VALUE"""),41235.645833333336)</f>
        <v>41235.64583</v>
      </c>
      <c r="B225" s="1">
        <f>IFERROR(__xludf.DUMMYFUNCTION("""COMPUTED_VALUE"""),4045.0)</f>
        <v>4045</v>
      </c>
      <c r="C225" s="1">
        <f>IFERROR(__xludf.DUMMYFUNCTION("""COMPUTED_VALUE"""),4070.0)</f>
        <v>4070</v>
      </c>
      <c r="D225" s="1">
        <f>IFERROR(__xludf.DUMMYFUNCTION("""COMPUTED_VALUE"""),3965.0)</f>
        <v>3965</v>
      </c>
      <c r="E225" s="1">
        <f>IFERROR(__xludf.DUMMYFUNCTION("""COMPUTED_VALUE"""),4025.0)</f>
        <v>4025</v>
      </c>
      <c r="F225" s="1">
        <f>IFERROR(__xludf.DUMMYFUNCTION("""COMPUTED_VALUE"""),11799.0)</f>
        <v>11799</v>
      </c>
    </row>
    <row r="226">
      <c r="A226" s="2">
        <f>IFERROR(__xludf.DUMMYFUNCTION("""COMPUTED_VALUE"""),41236.645833333336)</f>
        <v>41236.64583</v>
      </c>
      <c r="B226" s="1">
        <f>IFERROR(__xludf.DUMMYFUNCTION("""COMPUTED_VALUE"""),3965.0)</f>
        <v>3965</v>
      </c>
      <c r="C226" s="1">
        <f>IFERROR(__xludf.DUMMYFUNCTION("""COMPUTED_VALUE"""),4025.0)</f>
        <v>4025</v>
      </c>
      <c r="D226" s="1">
        <f>IFERROR(__xludf.DUMMYFUNCTION("""COMPUTED_VALUE"""),3935.0)</f>
        <v>3935</v>
      </c>
      <c r="E226" s="1">
        <f>IFERROR(__xludf.DUMMYFUNCTION("""COMPUTED_VALUE"""),3995.0)</f>
        <v>3995</v>
      </c>
      <c r="F226" s="1">
        <f>IFERROR(__xludf.DUMMYFUNCTION("""COMPUTED_VALUE"""),17566.0)</f>
        <v>17566</v>
      </c>
    </row>
    <row r="227">
      <c r="A227" s="2">
        <f>IFERROR(__xludf.DUMMYFUNCTION("""COMPUTED_VALUE"""),41239.645833333336)</f>
        <v>41239.64583</v>
      </c>
      <c r="B227" s="1">
        <f>IFERROR(__xludf.DUMMYFUNCTION("""COMPUTED_VALUE"""),3920.0)</f>
        <v>3920</v>
      </c>
      <c r="C227" s="1">
        <f>IFERROR(__xludf.DUMMYFUNCTION("""COMPUTED_VALUE"""),4045.0)</f>
        <v>4045</v>
      </c>
      <c r="D227" s="1">
        <f>IFERROR(__xludf.DUMMYFUNCTION("""COMPUTED_VALUE"""),3920.0)</f>
        <v>3920</v>
      </c>
      <c r="E227" s="1">
        <f>IFERROR(__xludf.DUMMYFUNCTION("""COMPUTED_VALUE"""),3980.0)</f>
        <v>3980</v>
      </c>
      <c r="F227" s="1">
        <f>IFERROR(__xludf.DUMMYFUNCTION("""COMPUTED_VALUE"""),15660.0)</f>
        <v>15660</v>
      </c>
    </row>
    <row r="228">
      <c r="A228" s="2">
        <f>IFERROR(__xludf.DUMMYFUNCTION("""COMPUTED_VALUE"""),41240.645833333336)</f>
        <v>41240.64583</v>
      </c>
      <c r="B228" s="1">
        <f>IFERROR(__xludf.DUMMYFUNCTION("""COMPUTED_VALUE"""),3980.0)</f>
        <v>3980</v>
      </c>
      <c r="C228" s="1">
        <f>IFERROR(__xludf.DUMMYFUNCTION("""COMPUTED_VALUE"""),4075.0)</f>
        <v>4075</v>
      </c>
      <c r="D228" s="1">
        <f>IFERROR(__xludf.DUMMYFUNCTION("""COMPUTED_VALUE"""),3955.0)</f>
        <v>3955</v>
      </c>
      <c r="E228" s="1">
        <f>IFERROR(__xludf.DUMMYFUNCTION("""COMPUTED_VALUE"""),3955.0)</f>
        <v>3955</v>
      </c>
      <c r="F228" s="1">
        <f>IFERROR(__xludf.DUMMYFUNCTION("""COMPUTED_VALUE"""),14530.0)</f>
        <v>14530</v>
      </c>
    </row>
    <row r="229">
      <c r="A229" s="2">
        <f>IFERROR(__xludf.DUMMYFUNCTION("""COMPUTED_VALUE"""),41241.645833333336)</f>
        <v>41241.64583</v>
      </c>
      <c r="B229" s="1">
        <f>IFERROR(__xludf.DUMMYFUNCTION("""COMPUTED_VALUE"""),3930.0)</f>
        <v>3930</v>
      </c>
      <c r="C229" s="1">
        <f>IFERROR(__xludf.DUMMYFUNCTION("""COMPUTED_VALUE"""),4020.0)</f>
        <v>4020</v>
      </c>
      <c r="D229" s="1">
        <f>IFERROR(__xludf.DUMMYFUNCTION("""COMPUTED_VALUE"""),3880.0)</f>
        <v>3880</v>
      </c>
      <c r="E229" s="1">
        <f>IFERROR(__xludf.DUMMYFUNCTION("""COMPUTED_VALUE"""),3945.0)</f>
        <v>3945</v>
      </c>
      <c r="F229" s="1">
        <f>IFERROR(__xludf.DUMMYFUNCTION("""COMPUTED_VALUE"""),12290.0)</f>
        <v>12290</v>
      </c>
    </row>
    <row r="230">
      <c r="A230" s="2">
        <f>IFERROR(__xludf.DUMMYFUNCTION("""COMPUTED_VALUE"""),41242.645833333336)</f>
        <v>41242.64583</v>
      </c>
      <c r="B230" s="1">
        <f>IFERROR(__xludf.DUMMYFUNCTION("""COMPUTED_VALUE"""),3985.0)</f>
        <v>3985</v>
      </c>
      <c r="C230" s="1">
        <f>IFERROR(__xludf.DUMMYFUNCTION("""COMPUTED_VALUE"""),3985.0)</f>
        <v>3985</v>
      </c>
      <c r="D230" s="1">
        <f>IFERROR(__xludf.DUMMYFUNCTION("""COMPUTED_VALUE"""),3915.0)</f>
        <v>3915</v>
      </c>
      <c r="E230" s="1">
        <f>IFERROR(__xludf.DUMMYFUNCTION("""COMPUTED_VALUE"""),3930.0)</f>
        <v>3930</v>
      </c>
      <c r="F230" s="1">
        <f>IFERROR(__xludf.DUMMYFUNCTION("""COMPUTED_VALUE"""),13910.0)</f>
        <v>13910</v>
      </c>
    </row>
    <row r="231">
      <c r="A231" s="2">
        <f>IFERROR(__xludf.DUMMYFUNCTION("""COMPUTED_VALUE"""),41243.645833333336)</f>
        <v>41243.64583</v>
      </c>
      <c r="B231" s="1">
        <f>IFERROR(__xludf.DUMMYFUNCTION("""COMPUTED_VALUE"""),3930.0)</f>
        <v>3930</v>
      </c>
      <c r="C231" s="1">
        <f>IFERROR(__xludf.DUMMYFUNCTION("""COMPUTED_VALUE"""),3980.0)</f>
        <v>3980</v>
      </c>
      <c r="D231" s="1">
        <f>IFERROR(__xludf.DUMMYFUNCTION("""COMPUTED_VALUE"""),3900.0)</f>
        <v>3900</v>
      </c>
      <c r="E231" s="1">
        <f>IFERROR(__xludf.DUMMYFUNCTION("""COMPUTED_VALUE"""),3900.0)</f>
        <v>3900</v>
      </c>
      <c r="F231" s="1">
        <f>IFERROR(__xludf.DUMMYFUNCTION("""COMPUTED_VALUE"""),20150.0)</f>
        <v>20150</v>
      </c>
    </row>
    <row r="232">
      <c r="A232" s="2">
        <f>IFERROR(__xludf.DUMMYFUNCTION("""COMPUTED_VALUE"""),41246.645833333336)</f>
        <v>41246.64583</v>
      </c>
      <c r="B232" s="1">
        <f>IFERROR(__xludf.DUMMYFUNCTION("""COMPUTED_VALUE"""),3905.0)</f>
        <v>3905</v>
      </c>
      <c r="C232" s="1">
        <f>IFERROR(__xludf.DUMMYFUNCTION("""COMPUTED_VALUE"""),3990.0)</f>
        <v>3990</v>
      </c>
      <c r="D232" s="1">
        <f>IFERROR(__xludf.DUMMYFUNCTION("""COMPUTED_VALUE"""),3865.0)</f>
        <v>3865</v>
      </c>
      <c r="E232" s="1">
        <f>IFERROR(__xludf.DUMMYFUNCTION("""COMPUTED_VALUE"""),3865.0)</f>
        <v>3865</v>
      </c>
      <c r="F232" s="1">
        <f>IFERROR(__xludf.DUMMYFUNCTION("""COMPUTED_VALUE"""),12180.0)</f>
        <v>12180</v>
      </c>
    </row>
    <row r="233">
      <c r="A233" s="2">
        <f>IFERROR(__xludf.DUMMYFUNCTION("""COMPUTED_VALUE"""),41247.645833333336)</f>
        <v>41247.64583</v>
      </c>
      <c r="B233" s="1">
        <f>IFERROR(__xludf.DUMMYFUNCTION("""COMPUTED_VALUE"""),3865.0)</f>
        <v>3865</v>
      </c>
      <c r="C233" s="1">
        <f>IFERROR(__xludf.DUMMYFUNCTION("""COMPUTED_VALUE"""),3880.0)</f>
        <v>3880</v>
      </c>
      <c r="D233" s="1">
        <f>IFERROR(__xludf.DUMMYFUNCTION("""COMPUTED_VALUE"""),3800.0)</f>
        <v>3800</v>
      </c>
      <c r="E233" s="1">
        <f>IFERROR(__xludf.DUMMYFUNCTION("""COMPUTED_VALUE"""),3815.0)</f>
        <v>3815</v>
      </c>
      <c r="F233" s="1">
        <f>IFERROR(__xludf.DUMMYFUNCTION("""COMPUTED_VALUE"""),37110.0)</f>
        <v>37110</v>
      </c>
    </row>
    <row r="234">
      <c r="A234" s="2">
        <f>IFERROR(__xludf.DUMMYFUNCTION("""COMPUTED_VALUE"""),41248.645833333336)</f>
        <v>41248.64583</v>
      </c>
      <c r="B234" s="1">
        <f>IFERROR(__xludf.DUMMYFUNCTION("""COMPUTED_VALUE"""),3800.0)</f>
        <v>3800</v>
      </c>
      <c r="C234" s="1">
        <f>IFERROR(__xludf.DUMMYFUNCTION("""COMPUTED_VALUE"""),3805.0)</f>
        <v>3805</v>
      </c>
      <c r="D234" s="1">
        <f>IFERROR(__xludf.DUMMYFUNCTION("""COMPUTED_VALUE"""),3680.0)</f>
        <v>3680</v>
      </c>
      <c r="E234" s="1">
        <f>IFERROR(__xludf.DUMMYFUNCTION("""COMPUTED_VALUE"""),3730.0)</f>
        <v>3730</v>
      </c>
      <c r="F234" s="1">
        <f>IFERROR(__xludf.DUMMYFUNCTION("""COMPUTED_VALUE"""),42466.0)</f>
        <v>42466</v>
      </c>
    </row>
    <row r="235">
      <c r="A235" s="2">
        <f>IFERROR(__xludf.DUMMYFUNCTION("""COMPUTED_VALUE"""),41249.645833333336)</f>
        <v>41249.64583</v>
      </c>
      <c r="B235" s="1">
        <f>IFERROR(__xludf.DUMMYFUNCTION("""COMPUTED_VALUE"""),3750.0)</f>
        <v>3750</v>
      </c>
      <c r="C235" s="1">
        <f>IFERROR(__xludf.DUMMYFUNCTION("""COMPUTED_VALUE"""),3760.0)</f>
        <v>3760</v>
      </c>
      <c r="D235" s="1">
        <f>IFERROR(__xludf.DUMMYFUNCTION("""COMPUTED_VALUE"""),3700.0)</f>
        <v>3700</v>
      </c>
      <c r="E235" s="1">
        <f>IFERROR(__xludf.DUMMYFUNCTION("""COMPUTED_VALUE"""),3725.0)</f>
        <v>3725</v>
      </c>
      <c r="F235" s="1">
        <f>IFERROR(__xludf.DUMMYFUNCTION("""COMPUTED_VALUE"""),17022.0)</f>
        <v>17022</v>
      </c>
    </row>
    <row r="236">
      <c r="A236" s="2">
        <f>IFERROR(__xludf.DUMMYFUNCTION("""COMPUTED_VALUE"""),41250.645833333336)</f>
        <v>41250.64583</v>
      </c>
      <c r="B236" s="1">
        <f>IFERROR(__xludf.DUMMYFUNCTION("""COMPUTED_VALUE"""),3800.0)</f>
        <v>3800</v>
      </c>
      <c r="C236" s="1">
        <f>IFERROR(__xludf.DUMMYFUNCTION("""COMPUTED_VALUE"""),3820.0)</f>
        <v>3820</v>
      </c>
      <c r="D236" s="1">
        <f>IFERROR(__xludf.DUMMYFUNCTION("""COMPUTED_VALUE"""),3700.0)</f>
        <v>3700</v>
      </c>
      <c r="E236" s="1">
        <f>IFERROR(__xludf.DUMMYFUNCTION("""COMPUTED_VALUE"""),3795.0)</f>
        <v>3795</v>
      </c>
      <c r="F236" s="1">
        <f>IFERROR(__xludf.DUMMYFUNCTION("""COMPUTED_VALUE"""),28020.0)</f>
        <v>28020</v>
      </c>
    </row>
    <row r="237">
      <c r="A237" s="2">
        <f>IFERROR(__xludf.DUMMYFUNCTION("""COMPUTED_VALUE"""),41253.645833333336)</f>
        <v>41253.64583</v>
      </c>
      <c r="B237" s="1">
        <f>IFERROR(__xludf.DUMMYFUNCTION("""COMPUTED_VALUE"""),3800.0)</f>
        <v>3800</v>
      </c>
      <c r="C237" s="1">
        <f>IFERROR(__xludf.DUMMYFUNCTION("""COMPUTED_VALUE"""),3840.0)</f>
        <v>3840</v>
      </c>
      <c r="D237" s="1">
        <f>IFERROR(__xludf.DUMMYFUNCTION("""COMPUTED_VALUE"""),3730.0)</f>
        <v>3730</v>
      </c>
      <c r="E237" s="1">
        <f>IFERROR(__xludf.DUMMYFUNCTION("""COMPUTED_VALUE"""),3770.0)</f>
        <v>3770</v>
      </c>
      <c r="F237" s="1">
        <f>IFERROR(__xludf.DUMMYFUNCTION("""COMPUTED_VALUE"""),13410.0)</f>
        <v>13410</v>
      </c>
    </row>
    <row r="238">
      <c r="A238" s="2">
        <f>IFERROR(__xludf.DUMMYFUNCTION("""COMPUTED_VALUE"""),41254.645833333336)</f>
        <v>41254.64583</v>
      </c>
      <c r="B238" s="1">
        <f>IFERROR(__xludf.DUMMYFUNCTION("""COMPUTED_VALUE"""),3710.0)</f>
        <v>3710</v>
      </c>
      <c r="C238" s="1">
        <f>IFERROR(__xludf.DUMMYFUNCTION("""COMPUTED_VALUE"""),3770.0)</f>
        <v>3770</v>
      </c>
      <c r="D238" s="1">
        <f>IFERROR(__xludf.DUMMYFUNCTION("""COMPUTED_VALUE"""),3705.0)</f>
        <v>3705</v>
      </c>
      <c r="E238" s="1">
        <f>IFERROR(__xludf.DUMMYFUNCTION("""COMPUTED_VALUE"""),3730.0)</f>
        <v>3730</v>
      </c>
      <c r="F238" s="1">
        <f>IFERROR(__xludf.DUMMYFUNCTION("""COMPUTED_VALUE"""),25340.0)</f>
        <v>25340</v>
      </c>
    </row>
    <row r="239">
      <c r="A239" s="2">
        <f>IFERROR(__xludf.DUMMYFUNCTION("""COMPUTED_VALUE"""),41255.645833333336)</f>
        <v>41255.64583</v>
      </c>
      <c r="B239" s="1">
        <f>IFERROR(__xludf.DUMMYFUNCTION("""COMPUTED_VALUE"""),3745.0)</f>
        <v>3745</v>
      </c>
      <c r="C239" s="1">
        <f>IFERROR(__xludf.DUMMYFUNCTION("""COMPUTED_VALUE"""),3835.0)</f>
        <v>3835</v>
      </c>
      <c r="D239" s="1">
        <f>IFERROR(__xludf.DUMMYFUNCTION("""COMPUTED_VALUE"""),3720.0)</f>
        <v>3720</v>
      </c>
      <c r="E239" s="1">
        <f>IFERROR(__xludf.DUMMYFUNCTION("""COMPUTED_VALUE"""),3785.0)</f>
        <v>3785</v>
      </c>
      <c r="F239" s="1">
        <f>IFERROR(__xludf.DUMMYFUNCTION("""COMPUTED_VALUE"""),8012.0)</f>
        <v>8012</v>
      </c>
    </row>
    <row r="240">
      <c r="A240" s="2">
        <f>IFERROR(__xludf.DUMMYFUNCTION("""COMPUTED_VALUE"""),41256.645833333336)</f>
        <v>41256.64583</v>
      </c>
      <c r="B240" s="1">
        <f>IFERROR(__xludf.DUMMYFUNCTION("""COMPUTED_VALUE"""),3785.0)</f>
        <v>3785</v>
      </c>
      <c r="C240" s="1">
        <f>IFERROR(__xludf.DUMMYFUNCTION("""COMPUTED_VALUE"""),3815.0)</f>
        <v>3815</v>
      </c>
      <c r="D240" s="1">
        <f>IFERROR(__xludf.DUMMYFUNCTION("""COMPUTED_VALUE"""),3780.0)</f>
        <v>3780</v>
      </c>
      <c r="E240" s="1">
        <f>IFERROR(__xludf.DUMMYFUNCTION("""COMPUTED_VALUE"""),3800.0)</f>
        <v>3800</v>
      </c>
      <c r="F240" s="1">
        <f>IFERROR(__xludf.DUMMYFUNCTION("""COMPUTED_VALUE"""),6590.0)</f>
        <v>6590</v>
      </c>
    </row>
    <row r="241">
      <c r="A241" s="2">
        <f>IFERROR(__xludf.DUMMYFUNCTION("""COMPUTED_VALUE"""),41257.645833333336)</f>
        <v>41257.64583</v>
      </c>
      <c r="B241" s="1">
        <f>IFERROR(__xludf.DUMMYFUNCTION("""COMPUTED_VALUE"""),3795.0)</f>
        <v>3795</v>
      </c>
      <c r="C241" s="1">
        <f>IFERROR(__xludf.DUMMYFUNCTION("""COMPUTED_VALUE"""),3800.0)</f>
        <v>3800</v>
      </c>
      <c r="D241" s="1">
        <f>IFERROR(__xludf.DUMMYFUNCTION("""COMPUTED_VALUE"""),3760.0)</f>
        <v>3760</v>
      </c>
      <c r="E241" s="1">
        <f>IFERROR(__xludf.DUMMYFUNCTION("""COMPUTED_VALUE"""),3800.0)</f>
        <v>3800</v>
      </c>
      <c r="F241" s="1">
        <f>IFERROR(__xludf.DUMMYFUNCTION("""COMPUTED_VALUE"""),12520.0)</f>
        <v>12520</v>
      </c>
    </row>
    <row r="242">
      <c r="A242" s="2">
        <f>IFERROR(__xludf.DUMMYFUNCTION("""COMPUTED_VALUE"""),41260.645833333336)</f>
        <v>41260.64583</v>
      </c>
      <c r="B242" s="1">
        <f>IFERROR(__xludf.DUMMYFUNCTION("""COMPUTED_VALUE"""),3800.0)</f>
        <v>3800</v>
      </c>
      <c r="C242" s="1">
        <f>IFERROR(__xludf.DUMMYFUNCTION("""COMPUTED_VALUE"""),3810.0)</f>
        <v>3810</v>
      </c>
      <c r="D242" s="1">
        <f>IFERROR(__xludf.DUMMYFUNCTION("""COMPUTED_VALUE"""),3760.0)</f>
        <v>3760</v>
      </c>
      <c r="E242" s="1">
        <f>IFERROR(__xludf.DUMMYFUNCTION("""COMPUTED_VALUE"""),3770.0)</f>
        <v>3770</v>
      </c>
      <c r="F242" s="1">
        <f>IFERROR(__xludf.DUMMYFUNCTION("""COMPUTED_VALUE"""),17790.0)</f>
        <v>17790</v>
      </c>
    </row>
    <row r="243">
      <c r="A243" s="2">
        <f>IFERROR(__xludf.DUMMYFUNCTION("""COMPUTED_VALUE"""),41261.645833333336)</f>
        <v>41261.64583</v>
      </c>
      <c r="B243" s="1">
        <f>IFERROR(__xludf.DUMMYFUNCTION("""COMPUTED_VALUE"""),3825.0)</f>
        <v>3825</v>
      </c>
      <c r="C243" s="1">
        <f>IFERROR(__xludf.DUMMYFUNCTION("""COMPUTED_VALUE"""),3825.0)</f>
        <v>3825</v>
      </c>
      <c r="D243" s="1">
        <f>IFERROR(__xludf.DUMMYFUNCTION("""COMPUTED_VALUE"""),3720.0)</f>
        <v>3720</v>
      </c>
      <c r="E243" s="1">
        <f>IFERROR(__xludf.DUMMYFUNCTION("""COMPUTED_VALUE"""),3730.0)</f>
        <v>3730</v>
      </c>
      <c r="F243" s="1">
        <f>IFERROR(__xludf.DUMMYFUNCTION("""COMPUTED_VALUE"""),16433.0)</f>
        <v>16433</v>
      </c>
    </row>
    <row r="244">
      <c r="A244" s="2">
        <f>IFERROR(__xludf.DUMMYFUNCTION("""COMPUTED_VALUE"""),41263.645833333336)</f>
        <v>41263.64583</v>
      </c>
      <c r="B244" s="1">
        <f>IFERROR(__xludf.DUMMYFUNCTION("""COMPUTED_VALUE"""),3790.0)</f>
        <v>3790</v>
      </c>
      <c r="C244" s="1">
        <f>IFERROR(__xludf.DUMMYFUNCTION("""COMPUTED_VALUE"""),4000.0)</f>
        <v>4000</v>
      </c>
      <c r="D244" s="1">
        <f>IFERROR(__xludf.DUMMYFUNCTION("""COMPUTED_VALUE"""),3780.0)</f>
        <v>3780</v>
      </c>
      <c r="E244" s="1">
        <f>IFERROR(__xludf.DUMMYFUNCTION("""COMPUTED_VALUE"""),3960.0)</f>
        <v>3960</v>
      </c>
      <c r="F244" s="1">
        <f>IFERROR(__xludf.DUMMYFUNCTION("""COMPUTED_VALUE"""),86651.0)</f>
        <v>86651</v>
      </c>
    </row>
    <row r="245">
      <c r="A245" s="2">
        <f>IFERROR(__xludf.DUMMYFUNCTION("""COMPUTED_VALUE"""),41264.645833333336)</f>
        <v>41264.64583</v>
      </c>
      <c r="B245" s="1">
        <f>IFERROR(__xludf.DUMMYFUNCTION("""COMPUTED_VALUE"""),3960.0)</f>
        <v>3960</v>
      </c>
      <c r="C245" s="1">
        <f>IFERROR(__xludf.DUMMYFUNCTION("""COMPUTED_VALUE"""),3960.0)</f>
        <v>3960</v>
      </c>
      <c r="D245" s="1">
        <f>IFERROR(__xludf.DUMMYFUNCTION("""COMPUTED_VALUE"""),3835.0)</f>
        <v>3835</v>
      </c>
      <c r="E245" s="1">
        <f>IFERROR(__xludf.DUMMYFUNCTION("""COMPUTED_VALUE"""),3865.0)</f>
        <v>3865</v>
      </c>
      <c r="F245" s="1">
        <f>IFERROR(__xludf.DUMMYFUNCTION("""COMPUTED_VALUE"""),36080.0)</f>
        <v>36080</v>
      </c>
    </row>
    <row r="246">
      <c r="A246" s="2">
        <f>IFERROR(__xludf.DUMMYFUNCTION("""COMPUTED_VALUE"""),41267.645833333336)</f>
        <v>41267.64583</v>
      </c>
      <c r="B246" s="1">
        <f>IFERROR(__xludf.DUMMYFUNCTION("""COMPUTED_VALUE"""),3865.0)</f>
        <v>3865</v>
      </c>
      <c r="C246" s="1">
        <f>IFERROR(__xludf.DUMMYFUNCTION("""COMPUTED_VALUE"""),3905.0)</f>
        <v>3905</v>
      </c>
      <c r="D246" s="1">
        <f>IFERROR(__xludf.DUMMYFUNCTION("""COMPUTED_VALUE"""),3820.0)</f>
        <v>3820</v>
      </c>
      <c r="E246" s="1">
        <f>IFERROR(__xludf.DUMMYFUNCTION("""COMPUTED_VALUE"""),3895.0)</f>
        <v>3895</v>
      </c>
      <c r="F246" s="1">
        <f>IFERROR(__xludf.DUMMYFUNCTION("""COMPUTED_VALUE"""),14180.0)</f>
        <v>14180</v>
      </c>
    </row>
    <row r="247">
      <c r="A247" s="2">
        <f>IFERROR(__xludf.DUMMYFUNCTION("""COMPUTED_VALUE"""),41269.645833333336)</f>
        <v>41269.64583</v>
      </c>
      <c r="B247" s="1">
        <f>IFERROR(__xludf.DUMMYFUNCTION("""COMPUTED_VALUE"""),3880.0)</f>
        <v>3880</v>
      </c>
      <c r="C247" s="1">
        <f>IFERROR(__xludf.DUMMYFUNCTION("""COMPUTED_VALUE"""),3900.0)</f>
        <v>3900</v>
      </c>
      <c r="D247" s="1">
        <f>IFERROR(__xludf.DUMMYFUNCTION("""COMPUTED_VALUE"""),3825.0)</f>
        <v>3825</v>
      </c>
      <c r="E247" s="1">
        <f>IFERROR(__xludf.DUMMYFUNCTION("""COMPUTED_VALUE"""),3835.0)</f>
        <v>3835</v>
      </c>
      <c r="F247" s="1">
        <f>IFERROR(__xludf.DUMMYFUNCTION("""COMPUTED_VALUE"""),22680.0)</f>
        <v>22680</v>
      </c>
    </row>
    <row r="248">
      <c r="A248" s="2">
        <f>IFERROR(__xludf.DUMMYFUNCTION("""COMPUTED_VALUE"""),41270.645833333336)</f>
        <v>41270.64583</v>
      </c>
      <c r="B248" s="1">
        <f>IFERROR(__xludf.DUMMYFUNCTION("""COMPUTED_VALUE"""),3780.0)</f>
        <v>3780</v>
      </c>
      <c r="C248" s="1">
        <f>IFERROR(__xludf.DUMMYFUNCTION("""COMPUTED_VALUE"""),3855.0)</f>
        <v>3855</v>
      </c>
      <c r="D248" s="1">
        <f>IFERROR(__xludf.DUMMYFUNCTION("""COMPUTED_VALUE"""),3775.0)</f>
        <v>3775</v>
      </c>
      <c r="E248" s="1">
        <f>IFERROR(__xludf.DUMMYFUNCTION("""COMPUTED_VALUE"""),3820.0)</f>
        <v>3820</v>
      </c>
      <c r="F248" s="1">
        <f>IFERROR(__xludf.DUMMYFUNCTION("""COMPUTED_VALUE"""),27580.0)</f>
        <v>27580</v>
      </c>
    </row>
    <row r="249">
      <c r="A249" s="2">
        <f>IFERROR(__xludf.DUMMYFUNCTION("""COMPUTED_VALUE"""),41271.645833333336)</f>
        <v>41271.64583</v>
      </c>
      <c r="B249" s="1">
        <f>IFERROR(__xludf.DUMMYFUNCTION("""COMPUTED_VALUE"""),3800.0)</f>
        <v>3800</v>
      </c>
      <c r="C249" s="1">
        <f>IFERROR(__xludf.DUMMYFUNCTION("""COMPUTED_VALUE"""),3850.0)</f>
        <v>3850</v>
      </c>
      <c r="D249" s="1">
        <f>IFERROR(__xludf.DUMMYFUNCTION("""COMPUTED_VALUE"""),3785.0)</f>
        <v>3785</v>
      </c>
      <c r="E249" s="1">
        <f>IFERROR(__xludf.DUMMYFUNCTION("""COMPUTED_VALUE"""),3830.0)</f>
        <v>3830</v>
      </c>
      <c r="F249" s="1">
        <f>IFERROR(__xludf.DUMMYFUNCTION("""COMPUTED_VALUE"""),14600.0)</f>
        <v>14600</v>
      </c>
    </row>
    <row r="250">
      <c r="A250" s="2">
        <f>IFERROR(__xludf.DUMMYFUNCTION("""COMPUTED_VALUE"""),41276.645833333336)</f>
        <v>41276.64583</v>
      </c>
      <c r="B250" s="1">
        <f>IFERROR(__xludf.DUMMYFUNCTION("""COMPUTED_VALUE"""),3990.0)</f>
        <v>3990</v>
      </c>
      <c r="C250" s="1">
        <f>IFERROR(__xludf.DUMMYFUNCTION("""COMPUTED_VALUE"""),4070.0)</f>
        <v>4070</v>
      </c>
      <c r="D250" s="1">
        <f>IFERROR(__xludf.DUMMYFUNCTION("""COMPUTED_VALUE"""),3840.0)</f>
        <v>3840</v>
      </c>
      <c r="E250" s="1">
        <f>IFERROR(__xludf.DUMMYFUNCTION("""COMPUTED_VALUE"""),3960.0)</f>
        <v>3960</v>
      </c>
      <c r="F250" s="1">
        <f>IFERROR(__xludf.DUMMYFUNCTION("""COMPUTED_VALUE"""),71440.0)</f>
        <v>71440</v>
      </c>
    </row>
    <row r="251">
      <c r="A251" s="2">
        <f>IFERROR(__xludf.DUMMYFUNCTION("""COMPUTED_VALUE"""),41277.645833333336)</f>
        <v>41277.64583</v>
      </c>
      <c r="B251" s="1">
        <f>IFERROR(__xludf.DUMMYFUNCTION("""COMPUTED_VALUE"""),4030.0)</f>
        <v>4030</v>
      </c>
      <c r="C251" s="1">
        <f>IFERROR(__xludf.DUMMYFUNCTION("""COMPUTED_VALUE"""),4030.0)</f>
        <v>4030</v>
      </c>
      <c r="D251" s="1">
        <f>IFERROR(__xludf.DUMMYFUNCTION("""COMPUTED_VALUE"""),3915.0)</f>
        <v>3915</v>
      </c>
      <c r="E251" s="1">
        <f>IFERROR(__xludf.DUMMYFUNCTION("""COMPUTED_VALUE"""),3915.0)</f>
        <v>3915</v>
      </c>
      <c r="F251" s="1">
        <f>IFERROR(__xludf.DUMMYFUNCTION("""COMPUTED_VALUE"""),25600.0)</f>
        <v>25600</v>
      </c>
    </row>
    <row r="252">
      <c r="A252" s="2">
        <f>IFERROR(__xludf.DUMMYFUNCTION("""COMPUTED_VALUE"""),41278.645833333336)</f>
        <v>41278.64583</v>
      </c>
      <c r="B252" s="1">
        <f>IFERROR(__xludf.DUMMYFUNCTION("""COMPUTED_VALUE"""),3905.0)</f>
        <v>3905</v>
      </c>
      <c r="C252" s="1">
        <f>IFERROR(__xludf.DUMMYFUNCTION("""COMPUTED_VALUE"""),3940.0)</f>
        <v>3940</v>
      </c>
      <c r="D252" s="1">
        <f>IFERROR(__xludf.DUMMYFUNCTION("""COMPUTED_VALUE"""),3905.0)</f>
        <v>3905</v>
      </c>
      <c r="E252" s="1">
        <f>IFERROR(__xludf.DUMMYFUNCTION("""COMPUTED_VALUE"""),3920.0)</f>
        <v>3920</v>
      </c>
      <c r="F252" s="1">
        <f>IFERROR(__xludf.DUMMYFUNCTION("""COMPUTED_VALUE"""),11711.0)</f>
        <v>11711</v>
      </c>
    </row>
    <row r="253">
      <c r="A253" s="2">
        <f>IFERROR(__xludf.DUMMYFUNCTION("""COMPUTED_VALUE"""),41281.645833333336)</f>
        <v>41281.64583</v>
      </c>
      <c r="B253" s="1">
        <f>IFERROR(__xludf.DUMMYFUNCTION("""COMPUTED_VALUE"""),3920.0)</f>
        <v>3920</v>
      </c>
      <c r="C253" s="1">
        <f>IFERROR(__xludf.DUMMYFUNCTION("""COMPUTED_VALUE"""),3925.0)</f>
        <v>3925</v>
      </c>
      <c r="D253" s="1">
        <f>IFERROR(__xludf.DUMMYFUNCTION("""COMPUTED_VALUE"""),3880.0)</f>
        <v>3880</v>
      </c>
      <c r="E253" s="1">
        <f>IFERROR(__xludf.DUMMYFUNCTION("""COMPUTED_VALUE"""),3925.0)</f>
        <v>3925</v>
      </c>
      <c r="F253" s="1">
        <f>IFERROR(__xludf.DUMMYFUNCTION("""COMPUTED_VALUE"""),25776.0)</f>
        <v>25776</v>
      </c>
    </row>
    <row r="254">
      <c r="A254" s="2">
        <f>IFERROR(__xludf.DUMMYFUNCTION("""COMPUTED_VALUE"""),41282.645833333336)</f>
        <v>41282.64583</v>
      </c>
      <c r="B254" s="1">
        <f>IFERROR(__xludf.DUMMYFUNCTION("""COMPUTED_VALUE"""),3970.0)</f>
        <v>3970</v>
      </c>
      <c r="C254" s="1">
        <f>IFERROR(__xludf.DUMMYFUNCTION("""COMPUTED_VALUE"""),3970.0)</f>
        <v>3970</v>
      </c>
      <c r="D254" s="1">
        <f>IFERROR(__xludf.DUMMYFUNCTION("""COMPUTED_VALUE"""),3895.0)</f>
        <v>3895</v>
      </c>
      <c r="E254" s="1">
        <f>IFERROR(__xludf.DUMMYFUNCTION("""COMPUTED_VALUE"""),3905.0)</f>
        <v>3905</v>
      </c>
      <c r="F254" s="1">
        <f>IFERROR(__xludf.DUMMYFUNCTION("""COMPUTED_VALUE"""),21329.0)</f>
        <v>21329</v>
      </c>
    </row>
    <row r="255">
      <c r="A255" s="2">
        <f>IFERROR(__xludf.DUMMYFUNCTION("""COMPUTED_VALUE"""),41283.645833333336)</f>
        <v>41283.64583</v>
      </c>
      <c r="B255" s="1">
        <f>IFERROR(__xludf.DUMMYFUNCTION("""COMPUTED_VALUE"""),3900.0)</f>
        <v>3900</v>
      </c>
      <c r="C255" s="1">
        <f>IFERROR(__xludf.DUMMYFUNCTION("""COMPUTED_VALUE"""),3905.0)</f>
        <v>3905</v>
      </c>
      <c r="D255" s="1">
        <f>IFERROR(__xludf.DUMMYFUNCTION("""COMPUTED_VALUE"""),3865.0)</f>
        <v>3865</v>
      </c>
      <c r="E255" s="1">
        <f>IFERROR(__xludf.DUMMYFUNCTION("""COMPUTED_VALUE"""),3870.0)</f>
        <v>3870</v>
      </c>
      <c r="F255" s="1">
        <f>IFERROR(__xludf.DUMMYFUNCTION("""COMPUTED_VALUE"""),19692.0)</f>
        <v>19692</v>
      </c>
    </row>
    <row r="256">
      <c r="A256" s="2">
        <f>IFERROR(__xludf.DUMMYFUNCTION("""COMPUTED_VALUE"""),41284.645833333336)</f>
        <v>41284.64583</v>
      </c>
      <c r="B256" s="1">
        <f>IFERROR(__xludf.DUMMYFUNCTION("""COMPUTED_VALUE"""),3850.0)</f>
        <v>3850</v>
      </c>
      <c r="C256" s="1">
        <f>IFERROR(__xludf.DUMMYFUNCTION("""COMPUTED_VALUE"""),3925.0)</f>
        <v>3925</v>
      </c>
      <c r="D256" s="1">
        <f>IFERROR(__xludf.DUMMYFUNCTION("""COMPUTED_VALUE"""),3850.0)</f>
        <v>3850</v>
      </c>
      <c r="E256" s="1">
        <f>IFERROR(__xludf.DUMMYFUNCTION("""COMPUTED_VALUE"""),3910.0)</f>
        <v>3910</v>
      </c>
      <c r="F256" s="1">
        <f>IFERROR(__xludf.DUMMYFUNCTION("""COMPUTED_VALUE"""),16110.0)</f>
        <v>16110</v>
      </c>
    </row>
    <row r="257">
      <c r="A257" s="2">
        <f>IFERROR(__xludf.DUMMYFUNCTION("""COMPUTED_VALUE"""),41285.645833333336)</f>
        <v>41285.64583</v>
      </c>
      <c r="B257" s="1">
        <f>IFERROR(__xludf.DUMMYFUNCTION("""COMPUTED_VALUE"""),3900.0)</f>
        <v>3900</v>
      </c>
      <c r="C257" s="1">
        <f>IFERROR(__xludf.DUMMYFUNCTION("""COMPUTED_VALUE"""),3950.0)</f>
        <v>3950</v>
      </c>
      <c r="D257" s="1">
        <f>IFERROR(__xludf.DUMMYFUNCTION("""COMPUTED_VALUE"""),3855.0)</f>
        <v>3855</v>
      </c>
      <c r="E257" s="1">
        <f>IFERROR(__xludf.DUMMYFUNCTION("""COMPUTED_VALUE"""),3905.0)</f>
        <v>3905</v>
      </c>
      <c r="F257" s="1">
        <f>IFERROR(__xludf.DUMMYFUNCTION("""COMPUTED_VALUE"""),35810.0)</f>
        <v>35810</v>
      </c>
    </row>
    <row r="258">
      <c r="A258" s="2">
        <f>IFERROR(__xludf.DUMMYFUNCTION("""COMPUTED_VALUE"""),41288.645833333336)</f>
        <v>41288.64583</v>
      </c>
      <c r="B258" s="1">
        <f>IFERROR(__xludf.DUMMYFUNCTION("""COMPUTED_VALUE"""),3910.0)</f>
        <v>3910</v>
      </c>
      <c r="C258" s="1">
        <f>IFERROR(__xludf.DUMMYFUNCTION("""COMPUTED_VALUE"""),4005.0)</f>
        <v>4005</v>
      </c>
      <c r="D258" s="1">
        <f>IFERROR(__xludf.DUMMYFUNCTION("""COMPUTED_VALUE"""),3905.0)</f>
        <v>3905</v>
      </c>
      <c r="E258" s="1">
        <f>IFERROR(__xludf.DUMMYFUNCTION("""COMPUTED_VALUE"""),3980.0)</f>
        <v>3980</v>
      </c>
      <c r="F258" s="1">
        <f>IFERROR(__xludf.DUMMYFUNCTION("""COMPUTED_VALUE"""),43612.0)</f>
        <v>43612</v>
      </c>
    </row>
    <row r="259">
      <c r="A259" s="2">
        <f>IFERROR(__xludf.DUMMYFUNCTION("""COMPUTED_VALUE"""),41289.645833333336)</f>
        <v>41289.64583</v>
      </c>
      <c r="B259" s="1">
        <f>IFERROR(__xludf.DUMMYFUNCTION("""COMPUTED_VALUE"""),4035.0)</f>
        <v>4035</v>
      </c>
      <c r="C259" s="1">
        <f>IFERROR(__xludf.DUMMYFUNCTION("""COMPUTED_VALUE"""),4040.0)</f>
        <v>4040</v>
      </c>
      <c r="D259" s="1">
        <f>IFERROR(__xludf.DUMMYFUNCTION("""COMPUTED_VALUE"""),3890.0)</f>
        <v>3890</v>
      </c>
      <c r="E259" s="1">
        <f>IFERROR(__xludf.DUMMYFUNCTION("""COMPUTED_VALUE"""),3930.0)</f>
        <v>3930</v>
      </c>
      <c r="F259" s="1">
        <f>IFERROR(__xludf.DUMMYFUNCTION("""COMPUTED_VALUE"""),27187.0)</f>
        <v>27187</v>
      </c>
    </row>
    <row r="260">
      <c r="A260" s="2">
        <f>IFERROR(__xludf.DUMMYFUNCTION("""COMPUTED_VALUE"""),41290.645833333336)</f>
        <v>41290.64583</v>
      </c>
      <c r="B260" s="1">
        <f>IFERROR(__xludf.DUMMYFUNCTION("""COMPUTED_VALUE"""),3930.0)</f>
        <v>3930</v>
      </c>
      <c r="C260" s="1">
        <f>IFERROR(__xludf.DUMMYFUNCTION("""COMPUTED_VALUE"""),3950.0)</f>
        <v>3950</v>
      </c>
      <c r="D260" s="1">
        <f>IFERROR(__xludf.DUMMYFUNCTION("""COMPUTED_VALUE"""),3890.0)</f>
        <v>3890</v>
      </c>
      <c r="E260" s="1">
        <f>IFERROR(__xludf.DUMMYFUNCTION("""COMPUTED_VALUE"""),3900.0)</f>
        <v>3900</v>
      </c>
      <c r="F260" s="1">
        <f>IFERROR(__xludf.DUMMYFUNCTION("""COMPUTED_VALUE"""),26020.0)</f>
        <v>26020</v>
      </c>
    </row>
    <row r="261">
      <c r="A261" s="2">
        <f>IFERROR(__xludf.DUMMYFUNCTION("""COMPUTED_VALUE"""),41291.645833333336)</f>
        <v>41291.64583</v>
      </c>
      <c r="B261" s="1">
        <f>IFERROR(__xludf.DUMMYFUNCTION("""COMPUTED_VALUE"""),3920.0)</f>
        <v>3920</v>
      </c>
      <c r="C261" s="1">
        <f>IFERROR(__xludf.DUMMYFUNCTION("""COMPUTED_VALUE"""),3950.0)</f>
        <v>3950</v>
      </c>
      <c r="D261" s="1">
        <f>IFERROR(__xludf.DUMMYFUNCTION("""COMPUTED_VALUE"""),3900.0)</f>
        <v>3900</v>
      </c>
      <c r="E261" s="1">
        <f>IFERROR(__xludf.DUMMYFUNCTION("""COMPUTED_VALUE"""),3925.0)</f>
        <v>3925</v>
      </c>
      <c r="F261" s="1">
        <f>IFERROR(__xludf.DUMMYFUNCTION("""COMPUTED_VALUE"""),18793.0)</f>
        <v>18793</v>
      </c>
    </row>
    <row r="262">
      <c r="A262" s="2">
        <f>IFERROR(__xludf.DUMMYFUNCTION("""COMPUTED_VALUE"""),41292.645833333336)</f>
        <v>41292.64583</v>
      </c>
      <c r="B262" s="1">
        <f>IFERROR(__xludf.DUMMYFUNCTION("""COMPUTED_VALUE"""),3945.0)</f>
        <v>3945</v>
      </c>
      <c r="C262" s="1">
        <f>IFERROR(__xludf.DUMMYFUNCTION("""COMPUTED_VALUE"""),3970.0)</f>
        <v>3970</v>
      </c>
      <c r="D262" s="1">
        <f>IFERROR(__xludf.DUMMYFUNCTION("""COMPUTED_VALUE"""),3910.0)</f>
        <v>3910</v>
      </c>
      <c r="E262" s="1">
        <f>IFERROR(__xludf.DUMMYFUNCTION("""COMPUTED_VALUE"""),3970.0)</f>
        <v>3970</v>
      </c>
      <c r="F262" s="1">
        <f>IFERROR(__xludf.DUMMYFUNCTION("""COMPUTED_VALUE"""),25951.0)</f>
        <v>25951</v>
      </c>
    </row>
    <row r="263">
      <c r="A263" s="2">
        <f>IFERROR(__xludf.DUMMYFUNCTION("""COMPUTED_VALUE"""),41295.645833333336)</f>
        <v>41295.64583</v>
      </c>
      <c r="B263" s="1">
        <f>IFERROR(__xludf.DUMMYFUNCTION("""COMPUTED_VALUE"""),3970.0)</f>
        <v>3970</v>
      </c>
      <c r="C263" s="1">
        <f>IFERROR(__xludf.DUMMYFUNCTION("""COMPUTED_VALUE"""),4050.0)</f>
        <v>4050</v>
      </c>
      <c r="D263" s="1">
        <f>IFERROR(__xludf.DUMMYFUNCTION("""COMPUTED_VALUE"""),3935.0)</f>
        <v>3935</v>
      </c>
      <c r="E263" s="1">
        <f>IFERROR(__xludf.DUMMYFUNCTION("""COMPUTED_VALUE"""),4005.0)</f>
        <v>4005</v>
      </c>
      <c r="F263" s="1">
        <f>IFERROR(__xludf.DUMMYFUNCTION("""COMPUTED_VALUE"""),45360.0)</f>
        <v>45360</v>
      </c>
    </row>
    <row r="264">
      <c r="A264" s="2">
        <f>IFERROR(__xludf.DUMMYFUNCTION("""COMPUTED_VALUE"""),41296.645833333336)</f>
        <v>41296.64583</v>
      </c>
      <c r="B264" s="1">
        <f>IFERROR(__xludf.DUMMYFUNCTION("""COMPUTED_VALUE"""),4060.0)</f>
        <v>4060</v>
      </c>
      <c r="C264" s="1">
        <f>IFERROR(__xludf.DUMMYFUNCTION("""COMPUTED_VALUE"""),4060.0)</f>
        <v>4060</v>
      </c>
      <c r="D264" s="1">
        <f>IFERROR(__xludf.DUMMYFUNCTION("""COMPUTED_VALUE"""),4000.0)</f>
        <v>4000</v>
      </c>
      <c r="E264" s="1">
        <f>IFERROR(__xludf.DUMMYFUNCTION("""COMPUTED_VALUE"""),4010.0)</f>
        <v>4010</v>
      </c>
      <c r="F264" s="1">
        <f>IFERROR(__xludf.DUMMYFUNCTION("""COMPUTED_VALUE"""),17036.0)</f>
        <v>17036</v>
      </c>
    </row>
    <row r="265">
      <c r="A265" s="2">
        <f>IFERROR(__xludf.DUMMYFUNCTION("""COMPUTED_VALUE"""),41297.645833333336)</f>
        <v>41297.64583</v>
      </c>
      <c r="B265" s="1">
        <f>IFERROR(__xludf.DUMMYFUNCTION("""COMPUTED_VALUE"""),4000.0)</f>
        <v>4000</v>
      </c>
      <c r="C265" s="1">
        <f>IFERROR(__xludf.DUMMYFUNCTION("""COMPUTED_VALUE"""),4020.0)</f>
        <v>4020</v>
      </c>
      <c r="D265" s="1">
        <f>IFERROR(__xludf.DUMMYFUNCTION("""COMPUTED_VALUE"""),3955.0)</f>
        <v>3955</v>
      </c>
      <c r="E265" s="1">
        <f>IFERROR(__xludf.DUMMYFUNCTION("""COMPUTED_VALUE"""),3975.0)</f>
        <v>3975</v>
      </c>
      <c r="F265" s="1">
        <f>IFERROR(__xludf.DUMMYFUNCTION("""COMPUTED_VALUE"""),25821.0)</f>
        <v>25821</v>
      </c>
    </row>
    <row r="266">
      <c r="A266" s="2">
        <f>IFERROR(__xludf.DUMMYFUNCTION("""COMPUTED_VALUE"""),41298.645833333336)</f>
        <v>41298.64583</v>
      </c>
      <c r="B266" s="1">
        <f>IFERROR(__xludf.DUMMYFUNCTION("""COMPUTED_VALUE"""),3975.0)</f>
        <v>3975</v>
      </c>
      <c r="C266" s="1">
        <f>IFERROR(__xludf.DUMMYFUNCTION("""COMPUTED_VALUE"""),4025.0)</f>
        <v>4025</v>
      </c>
      <c r="D266" s="1">
        <f>IFERROR(__xludf.DUMMYFUNCTION("""COMPUTED_VALUE"""),3975.0)</f>
        <v>3975</v>
      </c>
      <c r="E266" s="1">
        <f>IFERROR(__xludf.DUMMYFUNCTION("""COMPUTED_VALUE"""),4025.0)</f>
        <v>4025</v>
      </c>
      <c r="F266" s="1">
        <f>IFERROR(__xludf.DUMMYFUNCTION("""COMPUTED_VALUE"""),19276.0)</f>
        <v>19276</v>
      </c>
    </row>
    <row r="267">
      <c r="A267" s="2">
        <f>IFERROR(__xludf.DUMMYFUNCTION("""COMPUTED_VALUE"""),41299.645833333336)</f>
        <v>41299.64583</v>
      </c>
      <c r="B267" s="1">
        <f>IFERROR(__xludf.DUMMYFUNCTION("""COMPUTED_VALUE"""),4020.0)</f>
        <v>4020</v>
      </c>
      <c r="C267" s="1">
        <f>IFERROR(__xludf.DUMMYFUNCTION("""COMPUTED_VALUE"""),4020.0)</f>
        <v>4020</v>
      </c>
      <c r="D267" s="1">
        <f>IFERROR(__xludf.DUMMYFUNCTION("""COMPUTED_VALUE"""),3955.0)</f>
        <v>3955</v>
      </c>
      <c r="E267" s="1">
        <f>IFERROR(__xludf.DUMMYFUNCTION("""COMPUTED_VALUE"""),3960.0)</f>
        <v>3960</v>
      </c>
      <c r="F267" s="1">
        <f>IFERROR(__xludf.DUMMYFUNCTION("""COMPUTED_VALUE"""),7214.0)</f>
        <v>7214</v>
      </c>
    </row>
    <row r="268">
      <c r="A268" s="2">
        <f>IFERROR(__xludf.DUMMYFUNCTION("""COMPUTED_VALUE"""),41302.645833333336)</f>
        <v>41302.64583</v>
      </c>
      <c r="B268" s="1">
        <f>IFERROR(__xludf.DUMMYFUNCTION("""COMPUTED_VALUE"""),3900.0)</f>
        <v>3900</v>
      </c>
      <c r="C268" s="1">
        <f>IFERROR(__xludf.DUMMYFUNCTION("""COMPUTED_VALUE"""),3990.0)</f>
        <v>3990</v>
      </c>
      <c r="D268" s="1">
        <f>IFERROR(__xludf.DUMMYFUNCTION("""COMPUTED_VALUE"""),3795.0)</f>
        <v>3795</v>
      </c>
      <c r="E268" s="1">
        <f>IFERROR(__xludf.DUMMYFUNCTION("""COMPUTED_VALUE"""),3800.0)</f>
        <v>3800</v>
      </c>
      <c r="F268" s="1">
        <f>IFERROR(__xludf.DUMMYFUNCTION("""COMPUTED_VALUE"""),56603.0)</f>
        <v>56603</v>
      </c>
    </row>
    <row r="269">
      <c r="A269" s="2">
        <f>IFERROR(__xludf.DUMMYFUNCTION("""COMPUTED_VALUE"""),41303.645833333336)</f>
        <v>41303.64583</v>
      </c>
      <c r="B269" s="1">
        <f>IFERROR(__xludf.DUMMYFUNCTION("""COMPUTED_VALUE"""),3755.0)</f>
        <v>3755</v>
      </c>
      <c r="C269" s="1">
        <f>IFERROR(__xludf.DUMMYFUNCTION("""COMPUTED_VALUE"""),3800.0)</f>
        <v>3800</v>
      </c>
      <c r="D269" s="1">
        <f>IFERROR(__xludf.DUMMYFUNCTION("""COMPUTED_VALUE"""),3755.0)</f>
        <v>3755</v>
      </c>
      <c r="E269" s="1">
        <f>IFERROR(__xludf.DUMMYFUNCTION("""COMPUTED_VALUE"""),3780.0)</f>
        <v>3780</v>
      </c>
      <c r="F269" s="1">
        <f>IFERROR(__xludf.DUMMYFUNCTION("""COMPUTED_VALUE"""),24682.0)</f>
        <v>24682</v>
      </c>
    </row>
    <row r="270">
      <c r="A270" s="2">
        <f>IFERROR(__xludf.DUMMYFUNCTION("""COMPUTED_VALUE"""),41304.645833333336)</f>
        <v>41304.64583</v>
      </c>
      <c r="B270" s="1">
        <f>IFERROR(__xludf.DUMMYFUNCTION("""COMPUTED_VALUE"""),3780.0)</f>
        <v>3780</v>
      </c>
      <c r="C270" s="1">
        <f>IFERROR(__xludf.DUMMYFUNCTION("""COMPUTED_VALUE"""),3785.0)</f>
        <v>3785</v>
      </c>
      <c r="D270" s="1">
        <f>IFERROR(__xludf.DUMMYFUNCTION("""COMPUTED_VALUE"""),3710.0)</f>
        <v>3710</v>
      </c>
      <c r="E270" s="1">
        <f>IFERROR(__xludf.DUMMYFUNCTION("""COMPUTED_VALUE"""),3760.0)</f>
        <v>3760</v>
      </c>
      <c r="F270" s="1">
        <f>IFERROR(__xludf.DUMMYFUNCTION("""COMPUTED_VALUE"""),29690.0)</f>
        <v>29690</v>
      </c>
    </row>
    <row r="271">
      <c r="A271" s="2">
        <f>IFERROR(__xludf.DUMMYFUNCTION("""COMPUTED_VALUE"""),41305.645833333336)</f>
        <v>41305.64583</v>
      </c>
      <c r="B271" s="1">
        <f>IFERROR(__xludf.DUMMYFUNCTION("""COMPUTED_VALUE"""),3755.0)</f>
        <v>3755</v>
      </c>
      <c r="C271" s="1">
        <f>IFERROR(__xludf.DUMMYFUNCTION("""COMPUTED_VALUE"""),3790.0)</f>
        <v>3790</v>
      </c>
      <c r="D271" s="1">
        <f>IFERROR(__xludf.DUMMYFUNCTION("""COMPUTED_VALUE"""),3715.0)</f>
        <v>3715</v>
      </c>
      <c r="E271" s="1">
        <f>IFERROR(__xludf.DUMMYFUNCTION("""COMPUTED_VALUE"""),3720.0)</f>
        <v>3720</v>
      </c>
      <c r="F271" s="1">
        <f>IFERROR(__xludf.DUMMYFUNCTION("""COMPUTED_VALUE"""),23025.0)</f>
        <v>23025</v>
      </c>
    </row>
    <row r="272">
      <c r="A272" s="2">
        <f>IFERROR(__xludf.DUMMYFUNCTION("""COMPUTED_VALUE"""),41306.645833333336)</f>
        <v>41306.64583</v>
      </c>
      <c r="B272" s="1">
        <f>IFERROR(__xludf.DUMMYFUNCTION("""COMPUTED_VALUE"""),3720.0)</f>
        <v>3720</v>
      </c>
      <c r="C272" s="1">
        <f>IFERROR(__xludf.DUMMYFUNCTION("""COMPUTED_VALUE"""),3725.0)</f>
        <v>3725</v>
      </c>
      <c r="D272" s="1">
        <f>IFERROR(__xludf.DUMMYFUNCTION("""COMPUTED_VALUE"""),3650.0)</f>
        <v>3650</v>
      </c>
      <c r="E272" s="1">
        <f>IFERROR(__xludf.DUMMYFUNCTION("""COMPUTED_VALUE"""),3685.0)</f>
        <v>3685</v>
      </c>
      <c r="F272" s="1">
        <f>IFERROR(__xludf.DUMMYFUNCTION("""COMPUTED_VALUE"""),31312.0)</f>
        <v>31312</v>
      </c>
    </row>
    <row r="273">
      <c r="A273" s="2">
        <f>IFERROR(__xludf.DUMMYFUNCTION("""COMPUTED_VALUE"""),41309.645833333336)</f>
        <v>41309.64583</v>
      </c>
      <c r="B273" s="1">
        <f>IFERROR(__xludf.DUMMYFUNCTION("""COMPUTED_VALUE"""),3655.0)</f>
        <v>3655</v>
      </c>
      <c r="C273" s="1">
        <f>IFERROR(__xludf.DUMMYFUNCTION("""COMPUTED_VALUE"""),3745.0)</f>
        <v>3745</v>
      </c>
      <c r="D273" s="1">
        <f>IFERROR(__xludf.DUMMYFUNCTION("""COMPUTED_VALUE"""),3650.0)</f>
        <v>3650</v>
      </c>
      <c r="E273" s="1">
        <f>IFERROR(__xludf.DUMMYFUNCTION("""COMPUTED_VALUE"""),3700.0)</f>
        <v>3700</v>
      </c>
      <c r="F273" s="1">
        <f>IFERROR(__xludf.DUMMYFUNCTION("""COMPUTED_VALUE"""),24245.0)</f>
        <v>24245</v>
      </c>
    </row>
    <row r="274">
      <c r="A274" s="2">
        <f>IFERROR(__xludf.DUMMYFUNCTION("""COMPUTED_VALUE"""),41310.645833333336)</f>
        <v>41310.64583</v>
      </c>
      <c r="B274" s="1">
        <f>IFERROR(__xludf.DUMMYFUNCTION("""COMPUTED_VALUE"""),3685.0)</f>
        <v>3685</v>
      </c>
      <c r="C274" s="1">
        <f>IFERROR(__xludf.DUMMYFUNCTION("""COMPUTED_VALUE"""),3685.0)</f>
        <v>3685</v>
      </c>
      <c r="D274" s="1">
        <f>IFERROR(__xludf.DUMMYFUNCTION("""COMPUTED_VALUE"""),3600.0)</f>
        <v>3600</v>
      </c>
      <c r="E274" s="1">
        <f>IFERROR(__xludf.DUMMYFUNCTION("""COMPUTED_VALUE"""),3605.0)</f>
        <v>3605</v>
      </c>
      <c r="F274" s="1">
        <f>IFERROR(__xludf.DUMMYFUNCTION("""COMPUTED_VALUE"""),20565.0)</f>
        <v>20565</v>
      </c>
    </row>
    <row r="275">
      <c r="A275" s="2">
        <f>IFERROR(__xludf.DUMMYFUNCTION("""COMPUTED_VALUE"""),41311.645833333336)</f>
        <v>41311.64583</v>
      </c>
      <c r="B275" s="1">
        <f>IFERROR(__xludf.DUMMYFUNCTION("""COMPUTED_VALUE"""),3605.0)</f>
        <v>3605</v>
      </c>
      <c r="C275" s="1">
        <f>IFERROR(__xludf.DUMMYFUNCTION("""COMPUTED_VALUE"""),3645.0)</f>
        <v>3645</v>
      </c>
      <c r="D275" s="1">
        <f>IFERROR(__xludf.DUMMYFUNCTION("""COMPUTED_VALUE"""),3550.0)</f>
        <v>3550</v>
      </c>
      <c r="E275" s="1">
        <f>IFERROR(__xludf.DUMMYFUNCTION("""COMPUTED_VALUE"""),3570.0)</f>
        <v>3570</v>
      </c>
      <c r="F275" s="1">
        <f>IFERROR(__xludf.DUMMYFUNCTION("""COMPUTED_VALUE"""),13861.0)</f>
        <v>13861</v>
      </c>
    </row>
    <row r="276">
      <c r="A276" s="2">
        <f>IFERROR(__xludf.DUMMYFUNCTION("""COMPUTED_VALUE"""),41312.645833333336)</f>
        <v>41312.64583</v>
      </c>
      <c r="B276" s="1">
        <f>IFERROR(__xludf.DUMMYFUNCTION("""COMPUTED_VALUE"""),3550.0)</f>
        <v>3550</v>
      </c>
      <c r="C276" s="1">
        <f>IFERROR(__xludf.DUMMYFUNCTION("""COMPUTED_VALUE"""),3635.0)</f>
        <v>3635</v>
      </c>
      <c r="D276" s="1">
        <f>IFERROR(__xludf.DUMMYFUNCTION("""COMPUTED_VALUE"""),3540.0)</f>
        <v>3540</v>
      </c>
      <c r="E276" s="1">
        <f>IFERROR(__xludf.DUMMYFUNCTION("""COMPUTED_VALUE"""),3540.0)</f>
        <v>3540</v>
      </c>
      <c r="F276" s="1">
        <f>IFERROR(__xludf.DUMMYFUNCTION("""COMPUTED_VALUE"""),15800.0)</f>
        <v>15800</v>
      </c>
    </row>
    <row r="277">
      <c r="A277" s="2">
        <f>IFERROR(__xludf.DUMMYFUNCTION("""COMPUTED_VALUE"""),41313.645833333336)</f>
        <v>41313.64583</v>
      </c>
      <c r="B277" s="1">
        <f>IFERROR(__xludf.DUMMYFUNCTION("""COMPUTED_VALUE"""),3605.0)</f>
        <v>3605</v>
      </c>
      <c r="C277" s="1">
        <f>IFERROR(__xludf.DUMMYFUNCTION("""COMPUTED_VALUE"""),3605.0)</f>
        <v>3605</v>
      </c>
      <c r="D277" s="1">
        <f>IFERROR(__xludf.DUMMYFUNCTION("""COMPUTED_VALUE"""),3535.0)</f>
        <v>3535</v>
      </c>
      <c r="E277" s="1">
        <f>IFERROR(__xludf.DUMMYFUNCTION("""COMPUTED_VALUE"""),3590.0)</f>
        <v>3590</v>
      </c>
      <c r="F277" s="1">
        <f>IFERROR(__xludf.DUMMYFUNCTION("""COMPUTED_VALUE"""),10570.0)</f>
        <v>10570</v>
      </c>
    </row>
    <row r="278">
      <c r="A278" s="2">
        <f>IFERROR(__xludf.DUMMYFUNCTION("""COMPUTED_VALUE"""),41317.645833333336)</f>
        <v>41317.64583</v>
      </c>
      <c r="B278" s="1">
        <f>IFERROR(__xludf.DUMMYFUNCTION("""COMPUTED_VALUE"""),3600.0)</f>
        <v>3600</v>
      </c>
      <c r="C278" s="1">
        <f>IFERROR(__xludf.DUMMYFUNCTION("""COMPUTED_VALUE"""),3635.0)</f>
        <v>3635</v>
      </c>
      <c r="D278" s="1">
        <f>IFERROR(__xludf.DUMMYFUNCTION("""COMPUTED_VALUE"""),3550.0)</f>
        <v>3550</v>
      </c>
      <c r="E278" s="1">
        <f>IFERROR(__xludf.DUMMYFUNCTION("""COMPUTED_VALUE"""),3550.0)</f>
        <v>3550</v>
      </c>
      <c r="F278" s="1">
        <f>IFERROR(__xludf.DUMMYFUNCTION("""COMPUTED_VALUE"""),8154.0)</f>
        <v>8154</v>
      </c>
    </row>
    <row r="279">
      <c r="A279" s="2">
        <f>IFERROR(__xludf.DUMMYFUNCTION("""COMPUTED_VALUE"""),41318.645833333336)</f>
        <v>41318.64583</v>
      </c>
      <c r="B279" s="1">
        <f>IFERROR(__xludf.DUMMYFUNCTION("""COMPUTED_VALUE"""),3550.0)</f>
        <v>3550</v>
      </c>
      <c r="C279" s="1">
        <f>IFERROR(__xludf.DUMMYFUNCTION("""COMPUTED_VALUE"""),3605.0)</f>
        <v>3605</v>
      </c>
      <c r="D279" s="1">
        <f>IFERROR(__xludf.DUMMYFUNCTION("""COMPUTED_VALUE"""),3550.0)</f>
        <v>3550</v>
      </c>
      <c r="E279" s="1">
        <f>IFERROR(__xludf.DUMMYFUNCTION("""COMPUTED_VALUE"""),3600.0)</f>
        <v>3600</v>
      </c>
      <c r="F279" s="1">
        <f>IFERROR(__xludf.DUMMYFUNCTION("""COMPUTED_VALUE"""),10880.0)</f>
        <v>10880</v>
      </c>
    </row>
    <row r="280">
      <c r="A280" s="2">
        <f>IFERROR(__xludf.DUMMYFUNCTION("""COMPUTED_VALUE"""),41319.645833333336)</f>
        <v>41319.64583</v>
      </c>
      <c r="B280" s="1">
        <f>IFERROR(__xludf.DUMMYFUNCTION("""COMPUTED_VALUE"""),3640.0)</f>
        <v>3640</v>
      </c>
      <c r="C280" s="1">
        <f>IFERROR(__xludf.DUMMYFUNCTION("""COMPUTED_VALUE"""),3645.0)</f>
        <v>3645</v>
      </c>
      <c r="D280" s="1">
        <f>IFERROR(__xludf.DUMMYFUNCTION("""COMPUTED_VALUE"""),3585.0)</f>
        <v>3585</v>
      </c>
      <c r="E280" s="1">
        <f>IFERROR(__xludf.DUMMYFUNCTION("""COMPUTED_VALUE"""),3620.0)</f>
        <v>3620</v>
      </c>
      <c r="F280" s="1">
        <f>IFERROR(__xludf.DUMMYFUNCTION("""COMPUTED_VALUE"""),15501.0)</f>
        <v>15501</v>
      </c>
    </row>
    <row r="281">
      <c r="A281" s="2">
        <f>IFERROR(__xludf.DUMMYFUNCTION("""COMPUTED_VALUE"""),41320.645833333336)</f>
        <v>41320.64583</v>
      </c>
      <c r="B281" s="1">
        <f>IFERROR(__xludf.DUMMYFUNCTION("""COMPUTED_VALUE"""),3605.0)</f>
        <v>3605</v>
      </c>
      <c r="C281" s="1">
        <f>IFERROR(__xludf.DUMMYFUNCTION("""COMPUTED_VALUE"""),3625.0)</f>
        <v>3625</v>
      </c>
      <c r="D281" s="1">
        <f>IFERROR(__xludf.DUMMYFUNCTION("""COMPUTED_VALUE"""),3570.0)</f>
        <v>3570</v>
      </c>
      <c r="E281" s="1">
        <f>IFERROR(__xludf.DUMMYFUNCTION("""COMPUTED_VALUE"""),3615.0)</f>
        <v>3615</v>
      </c>
      <c r="F281" s="1">
        <f>IFERROR(__xludf.DUMMYFUNCTION("""COMPUTED_VALUE"""),11923.0)</f>
        <v>11923</v>
      </c>
    </row>
    <row r="282">
      <c r="A282" s="2">
        <f>IFERROR(__xludf.DUMMYFUNCTION("""COMPUTED_VALUE"""),41323.645833333336)</f>
        <v>41323.64583</v>
      </c>
      <c r="B282" s="1">
        <f>IFERROR(__xludf.DUMMYFUNCTION("""COMPUTED_VALUE"""),3630.0)</f>
        <v>3630</v>
      </c>
      <c r="C282" s="1">
        <f>IFERROR(__xludf.DUMMYFUNCTION("""COMPUTED_VALUE"""),3640.0)</f>
        <v>3640</v>
      </c>
      <c r="D282" s="1">
        <f>IFERROR(__xludf.DUMMYFUNCTION("""COMPUTED_VALUE"""),3585.0)</f>
        <v>3585</v>
      </c>
      <c r="E282" s="1">
        <f>IFERROR(__xludf.DUMMYFUNCTION("""COMPUTED_VALUE"""),3640.0)</f>
        <v>3640</v>
      </c>
      <c r="F282" s="1">
        <f>IFERROR(__xludf.DUMMYFUNCTION("""COMPUTED_VALUE"""),15249.0)</f>
        <v>15249</v>
      </c>
    </row>
    <row r="283">
      <c r="A283" s="2">
        <f>IFERROR(__xludf.DUMMYFUNCTION("""COMPUTED_VALUE"""),41324.645833333336)</f>
        <v>41324.64583</v>
      </c>
      <c r="B283" s="1">
        <f>IFERROR(__xludf.DUMMYFUNCTION("""COMPUTED_VALUE"""),3640.0)</f>
        <v>3640</v>
      </c>
      <c r="C283" s="1">
        <f>IFERROR(__xludf.DUMMYFUNCTION("""COMPUTED_VALUE"""),3645.0)</f>
        <v>3645</v>
      </c>
      <c r="D283" s="1">
        <f>IFERROR(__xludf.DUMMYFUNCTION("""COMPUTED_VALUE"""),3610.0)</f>
        <v>3610</v>
      </c>
      <c r="E283" s="1">
        <f>IFERROR(__xludf.DUMMYFUNCTION("""COMPUTED_VALUE"""),3625.0)</f>
        <v>3625</v>
      </c>
      <c r="F283" s="1">
        <f>IFERROR(__xludf.DUMMYFUNCTION("""COMPUTED_VALUE"""),8420.0)</f>
        <v>8420</v>
      </c>
    </row>
    <row r="284">
      <c r="A284" s="2">
        <f>IFERROR(__xludf.DUMMYFUNCTION("""COMPUTED_VALUE"""),41325.645833333336)</f>
        <v>41325.64583</v>
      </c>
      <c r="B284" s="1">
        <f>IFERROR(__xludf.DUMMYFUNCTION("""COMPUTED_VALUE"""),3650.0)</f>
        <v>3650</v>
      </c>
      <c r="C284" s="1">
        <f>IFERROR(__xludf.DUMMYFUNCTION("""COMPUTED_VALUE"""),3720.0)</f>
        <v>3720</v>
      </c>
      <c r="D284" s="1">
        <f>IFERROR(__xludf.DUMMYFUNCTION("""COMPUTED_VALUE"""),3625.0)</f>
        <v>3625</v>
      </c>
      <c r="E284" s="1">
        <f>IFERROR(__xludf.DUMMYFUNCTION("""COMPUTED_VALUE"""),3700.0)</f>
        <v>3700</v>
      </c>
      <c r="F284" s="1">
        <f>IFERROR(__xludf.DUMMYFUNCTION("""COMPUTED_VALUE"""),24541.0)</f>
        <v>24541</v>
      </c>
    </row>
    <row r="285">
      <c r="A285" s="2">
        <f>IFERROR(__xludf.DUMMYFUNCTION("""COMPUTED_VALUE"""),41326.645833333336)</f>
        <v>41326.64583</v>
      </c>
      <c r="B285" s="1">
        <f>IFERROR(__xludf.DUMMYFUNCTION("""COMPUTED_VALUE"""),3680.0)</f>
        <v>3680</v>
      </c>
      <c r="C285" s="1">
        <f>IFERROR(__xludf.DUMMYFUNCTION("""COMPUTED_VALUE"""),3710.0)</f>
        <v>3710</v>
      </c>
      <c r="D285" s="1">
        <f>IFERROR(__xludf.DUMMYFUNCTION("""COMPUTED_VALUE"""),3640.0)</f>
        <v>3640</v>
      </c>
      <c r="E285" s="1">
        <f>IFERROR(__xludf.DUMMYFUNCTION("""COMPUTED_VALUE"""),3700.0)</f>
        <v>3700</v>
      </c>
      <c r="F285" s="1">
        <f>IFERROR(__xludf.DUMMYFUNCTION("""COMPUTED_VALUE"""),15829.0)</f>
        <v>15829</v>
      </c>
    </row>
    <row r="286">
      <c r="A286" s="2">
        <f>IFERROR(__xludf.DUMMYFUNCTION("""COMPUTED_VALUE"""),41327.645833333336)</f>
        <v>41327.64583</v>
      </c>
      <c r="B286" s="1">
        <f>IFERROR(__xludf.DUMMYFUNCTION("""COMPUTED_VALUE"""),3695.0)</f>
        <v>3695</v>
      </c>
      <c r="C286" s="1">
        <f>IFERROR(__xludf.DUMMYFUNCTION("""COMPUTED_VALUE"""),3735.0)</f>
        <v>3735</v>
      </c>
      <c r="D286" s="1">
        <f>IFERROR(__xludf.DUMMYFUNCTION("""COMPUTED_VALUE"""),3630.0)</f>
        <v>3630</v>
      </c>
      <c r="E286" s="1">
        <f>IFERROR(__xludf.DUMMYFUNCTION("""COMPUTED_VALUE"""),3670.0)</f>
        <v>3670</v>
      </c>
      <c r="F286" s="1">
        <f>IFERROR(__xludf.DUMMYFUNCTION("""COMPUTED_VALUE"""),18700.0)</f>
        <v>18700</v>
      </c>
    </row>
    <row r="287">
      <c r="A287" s="2">
        <f>IFERROR(__xludf.DUMMYFUNCTION("""COMPUTED_VALUE"""),41330.645833333336)</f>
        <v>41330.64583</v>
      </c>
      <c r="B287" s="1">
        <f>IFERROR(__xludf.DUMMYFUNCTION("""COMPUTED_VALUE"""),3700.0)</f>
        <v>3700</v>
      </c>
      <c r="C287" s="1">
        <f>IFERROR(__xludf.DUMMYFUNCTION("""COMPUTED_VALUE"""),3750.0)</f>
        <v>3750</v>
      </c>
      <c r="D287" s="1">
        <f>IFERROR(__xludf.DUMMYFUNCTION("""COMPUTED_VALUE"""),3670.0)</f>
        <v>3670</v>
      </c>
      <c r="E287" s="1">
        <f>IFERROR(__xludf.DUMMYFUNCTION("""COMPUTED_VALUE"""),3675.0)</f>
        <v>3675</v>
      </c>
      <c r="F287" s="1">
        <f>IFERROR(__xludf.DUMMYFUNCTION("""COMPUTED_VALUE"""),29970.0)</f>
        <v>29970</v>
      </c>
    </row>
    <row r="288">
      <c r="A288" s="2">
        <f>IFERROR(__xludf.DUMMYFUNCTION("""COMPUTED_VALUE"""),41331.645833333336)</f>
        <v>41331.64583</v>
      </c>
      <c r="B288" s="1">
        <f>IFERROR(__xludf.DUMMYFUNCTION("""COMPUTED_VALUE"""),3650.0)</f>
        <v>3650</v>
      </c>
      <c r="C288" s="1">
        <f>IFERROR(__xludf.DUMMYFUNCTION("""COMPUTED_VALUE"""),3710.0)</f>
        <v>3710</v>
      </c>
      <c r="D288" s="1">
        <f>IFERROR(__xludf.DUMMYFUNCTION("""COMPUTED_VALUE"""),3650.0)</f>
        <v>3650</v>
      </c>
      <c r="E288" s="1">
        <f>IFERROR(__xludf.DUMMYFUNCTION("""COMPUTED_VALUE"""),3685.0)</f>
        <v>3685</v>
      </c>
      <c r="F288" s="1">
        <f>IFERROR(__xludf.DUMMYFUNCTION("""COMPUTED_VALUE"""),23600.0)</f>
        <v>23600</v>
      </c>
    </row>
    <row r="289">
      <c r="A289" s="2">
        <f>IFERROR(__xludf.DUMMYFUNCTION("""COMPUTED_VALUE"""),41332.645833333336)</f>
        <v>41332.64583</v>
      </c>
      <c r="B289" s="1">
        <f>IFERROR(__xludf.DUMMYFUNCTION("""COMPUTED_VALUE"""),3695.0)</f>
        <v>3695</v>
      </c>
      <c r="C289" s="1">
        <f>IFERROR(__xludf.DUMMYFUNCTION("""COMPUTED_VALUE"""),3695.0)</f>
        <v>3695</v>
      </c>
      <c r="D289" s="1">
        <f>IFERROR(__xludf.DUMMYFUNCTION("""COMPUTED_VALUE"""),3600.0)</f>
        <v>3600</v>
      </c>
      <c r="E289" s="1">
        <f>IFERROR(__xludf.DUMMYFUNCTION("""COMPUTED_VALUE"""),3650.0)</f>
        <v>3650</v>
      </c>
      <c r="F289" s="1">
        <f>IFERROR(__xludf.DUMMYFUNCTION("""COMPUTED_VALUE"""),20200.0)</f>
        <v>20200</v>
      </c>
    </row>
    <row r="290">
      <c r="A290" s="2">
        <f>IFERROR(__xludf.DUMMYFUNCTION("""COMPUTED_VALUE"""),41333.645833333336)</f>
        <v>41333.64583</v>
      </c>
      <c r="B290" s="1">
        <f>IFERROR(__xludf.DUMMYFUNCTION("""COMPUTED_VALUE"""),3640.0)</f>
        <v>3640</v>
      </c>
      <c r="C290" s="1">
        <f>IFERROR(__xludf.DUMMYFUNCTION("""COMPUTED_VALUE"""),3725.0)</f>
        <v>3725</v>
      </c>
      <c r="D290" s="1">
        <f>IFERROR(__xludf.DUMMYFUNCTION("""COMPUTED_VALUE"""),3640.0)</f>
        <v>3640</v>
      </c>
      <c r="E290" s="1">
        <f>IFERROR(__xludf.DUMMYFUNCTION("""COMPUTED_VALUE"""),3690.0)</f>
        <v>3690</v>
      </c>
      <c r="F290" s="1">
        <f>IFERROR(__xludf.DUMMYFUNCTION("""COMPUTED_VALUE"""),24122.0)</f>
        <v>24122</v>
      </c>
    </row>
    <row r="291">
      <c r="A291" s="2">
        <f>IFERROR(__xludf.DUMMYFUNCTION("""COMPUTED_VALUE"""),41337.645833333336)</f>
        <v>41337.64583</v>
      </c>
      <c r="B291" s="1">
        <f>IFERROR(__xludf.DUMMYFUNCTION("""COMPUTED_VALUE"""),3660.0)</f>
        <v>3660</v>
      </c>
      <c r="C291" s="1">
        <f>IFERROR(__xludf.DUMMYFUNCTION("""COMPUTED_VALUE"""),3690.0)</f>
        <v>3690</v>
      </c>
      <c r="D291" s="1">
        <f>IFERROR(__xludf.DUMMYFUNCTION("""COMPUTED_VALUE"""),3655.0)</f>
        <v>3655</v>
      </c>
      <c r="E291" s="1">
        <f>IFERROR(__xludf.DUMMYFUNCTION("""COMPUTED_VALUE"""),3690.0)</f>
        <v>3690</v>
      </c>
      <c r="F291" s="1">
        <f>IFERROR(__xludf.DUMMYFUNCTION("""COMPUTED_VALUE"""),15980.0)</f>
        <v>15980</v>
      </c>
    </row>
    <row r="292">
      <c r="A292" s="2">
        <f>IFERROR(__xludf.DUMMYFUNCTION("""COMPUTED_VALUE"""),41338.645833333336)</f>
        <v>41338.64583</v>
      </c>
      <c r="B292" s="1">
        <f>IFERROR(__xludf.DUMMYFUNCTION("""COMPUTED_VALUE"""),3695.0)</f>
        <v>3695</v>
      </c>
      <c r="C292" s="1">
        <f>IFERROR(__xludf.DUMMYFUNCTION("""COMPUTED_VALUE"""),3720.0)</f>
        <v>3720</v>
      </c>
      <c r="D292" s="1">
        <f>IFERROR(__xludf.DUMMYFUNCTION("""COMPUTED_VALUE"""),3655.0)</f>
        <v>3655</v>
      </c>
      <c r="E292" s="1">
        <f>IFERROR(__xludf.DUMMYFUNCTION("""COMPUTED_VALUE"""),3690.0)</f>
        <v>3690</v>
      </c>
      <c r="F292" s="1">
        <f>IFERROR(__xludf.DUMMYFUNCTION("""COMPUTED_VALUE"""),22407.0)</f>
        <v>22407</v>
      </c>
    </row>
    <row r="293">
      <c r="A293" s="2">
        <f>IFERROR(__xludf.DUMMYFUNCTION("""COMPUTED_VALUE"""),41339.645833333336)</f>
        <v>41339.64583</v>
      </c>
      <c r="B293" s="1">
        <f>IFERROR(__xludf.DUMMYFUNCTION("""COMPUTED_VALUE"""),3690.0)</f>
        <v>3690</v>
      </c>
      <c r="C293" s="1">
        <f>IFERROR(__xludf.DUMMYFUNCTION("""COMPUTED_VALUE"""),3740.0)</f>
        <v>3740</v>
      </c>
      <c r="D293" s="1">
        <f>IFERROR(__xludf.DUMMYFUNCTION("""COMPUTED_VALUE"""),3690.0)</f>
        <v>3690</v>
      </c>
      <c r="E293" s="1">
        <f>IFERROR(__xludf.DUMMYFUNCTION("""COMPUTED_VALUE"""),3730.0)</f>
        <v>3730</v>
      </c>
      <c r="F293" s="1">
        <f>IFERROR(__xludf.DUMMYFUNCTION("""COMPUTED_VALUE"""),16088.0)</f>
        <v>16088</v>
      </c>
    </row>
    <row r="294">
      <c r="A294" s="2">
        <f>IFERROR(__xludf.DUMMYFUNCTION("""COMPUTED_VALUE"""),41340.645833333336)</f>
        <v>41340.64583</v>
      </c>
      <c r="B294" s="1">
        <f>IFERROR(__xludf.DUMMYFUNCTION("""COMPUTED_VALUE"""),3695.0)</f>
        <v>3695</v>
      </c>
      <c r="C294" s="1">
        <f>IFERROR(__xludf.DUMMYFUNCTION("""COMPUTED_VALUE"""),3800.0)</f>
        <v>3800</v>
      </c>
      <c r="D294" s="1">
        <f>IFERROR(__xludf.DUMMYFUNCTION("""COMPUTED_VALUE"""),3695.0)</f>
        <v>3695</v>
      </c>
      <c r="E294" s="1">
        <f>IFERROR(__xludf.DUMMYFUNCTION("""COMPUTED_VALUE"""),3800.0)</f>
        <v>3800</v>
      </c>
      <c r="F294" s="1">
        <f>IFERROR(__xludf.DUMMYFUNCTION("""COMPUTED_VALUE"""),32343.0)</f>
        <v>32343</v>
      </c>
    </row>
    <row r="295">
      <c r="A295" s="2">
        <f>IFERROR(__xludf.DUMMYFUNCTION("""COMPUTED_VALUE"""),41341.645833333336)</f>
        <v>41341.64583</v>
      </c>
      <c r="B295" s="1">
        <f>IFERROR(__xludf.DUMMYFUNCTION("""COMPUTED_VALUE"""),3800.0)</f>
        <v>3800</v>
      </c>
      <c r="C295" s="1">
        <f>IFERROR(__xludf.DUMMYFUNCTION("""COMPUTED_VALUE"""),3830.0)</f>
        <v>3830</v>
      </c>
      <c r="D295" s="1">
        <f>IFERROR(__xludf.DUMMYFUNCTION("""COMPUTED_VALUE"""),3735.0)</f>
        <v>3735</v>
      </c>
      <c r="E295" s="1">
        <f>IFERROR(__xludf.DUMMYFUNCTION("""COMPUTED_VALUE"""),3745.0)</f>
        <v>3745</v>
      </c>
      <c r="F295" s="1">
        <f>IFERROR(__xludf.DUMMYFUNCTION("""COMPUTED_VALUE"""),25138.0)</f>
        <v>25138</v>
      </c>
    </row>
    <row r="296">
      <c r="A296" s="2">
        <f>IFERROR(__xludf.DUMMYFUNCTION("""COMPUTED_VALUE"""),41344.645833333336)</f>
        <v>41344.64583</v>
      </c>
      <c r="B296" s="1">
        <f>IFERROR(__xludf.DUMMYFUNCTION("""COMPUTED_VALUE"""),3730.0)</f>
        <v>3730</v>
      </c>
      <c r="C296" s="1">
        <f>IFERROR(__xludf.DUMMYFUNCTION("""COMPUTED_VALUE"""),3735.0)</f>
        <v>3735</v>
      </c>
      <c r="D296" s="1">
        <f>IFERROR(__xludf.DUMMYFUNCTION("""COMPUTED_VALUE"""),3610.0)</f>
        <v>3610</v>
      </c>
      <c r="E296" s="1">
        <f>IFERROR(__xludf.DUMMYFUNCTION("""COMPUTED_VALUE"""),3710.0)</f>
        <v>3710</v>
      </c>
      <c r="F296" s="1">
        <f>IFERROR(__xludf.DUMMYFUNCTION("""COMPUTED_VALUE"""),30630.0)</f>
        <v>30630</v>
      </c>
    </row>
    <row r="297">
      <c r="A297" s="2">
        <f>IFERROR(__xludf.DUMMYFUNCTION("""COMPUTED_VALUE"""),41345.645833333336)</f>
        <v>41345.64583</v>
      </c>
      <c r="B297" s="1">
        <f>IFERROR(__xludf.DUMMYFUNCTION("""COMPUTED_VALUE"""),3655.0)</f>
        <v>3655</v>
      </c>
      <c r="C297" s="1">
        <f>IFERROR(__xludf.DUMMYFUNCTION("""COMPUTED_VALUE"""),3755.0)</f>
        <v>3755</v>
      </c>
      <c r="D297" s="1">
        <f>IFERROR(__xludf.DUMMYFUNCTION("""COMPUTED_VALUE"""),3655.0)</f>
        <v>3655</v>
      </c>
      <c r="E297" s="1">
        <f>IFERROR(__xludf.DUMMYFUNCTION("""COMPUTED_VALUE"""),3755.0)</f>
        <v>3755</v>
      </c>
      <c r="F297" s="1">
        <f>IFERROR(__xludf.DUMMYFUNCTION("""COMPUTED_VALUE"""),21540.0)</f>
        <v>21540</v>
      </c>
    </row>
    <row r="298">
      <c r="A298" s="2">
        <f>IFERROR(__xludf.DUMMYFUNCTION("""COMPUTED_VALUE"""),41346.645833333336)</f>
        <v>41346.64583</v>
      </c>
      <c r="B298" s="1">
        <f>IFERROR(__xludf.DUMMYFUNCTION("""COMPUTED_VALUE"""),3755.0)</f>
        <v>3755</v>
      </c>
      <c r="C298" s="1">
        <f>IFERROR(__xludf.DUMMYFUNCTION("""COMPUTED_VALUE"""),3760.0)</f>
        <v>3760</v>
      </c>
      <c r="D298" s="1">
        <f>IFERROR(__xludf.DUMMYFUNCTION("""COMPUTED_VALUE"""),3685.0)</f>
        <v>3685</v>
      </c>
      <c r="E298" s="1">
        <f>IFERROR(__xludf.DUMMYFUNCTION("""COMPUTED_VALUE"""),3715.0)</f>
        <v>3715</v>
      </c>
      <c r="F298" s="1">
        <f>IFERROR(__xludf.DUMMYFUNCTION("""COMPUTED_VALUE"""),23761.0)</f>
        <v>23761</v>
      </c>
    </row>
    <row r="299">
      <c r="A299" s="2">
        <f>IFERROR(__xludf.DUMMYFUNCTION("""COMPUTED_VALUE"""),41347.645833333336)</f>
        <v>41347.64583</v>
      </c>
      <c r="B299" s="1">
        <f>IFERROR(__xludf.DUMMYFUNCTION("""COMPUTED_VALUE"""),3700.0)</f>
        <v>3700</v>
      </c>
      <c r="C299" s="1">
        <f>IFERROR(__xludf.DUMMYFUNCTION("""COMPUTED_VALUE"""),3740.0)</f>
        <v>3740</v>
      </c>
      <c r="D299" s="1">
        <f>IFERROR(__xludf.DUMMYFUNCTION("""COMPUTED_VALUE"""),3690.0)</f>
        <v>3690</v>
      </c>
      <c r="E299" s="1">
        <f>IFERROR(__xludf.DUMMYFUNCTION("""COMPUTED_VALUE"""),3735.0)</f>
        <v>3735</v>
      </c>
      <c r="F299" s="1">
        <f>IFERROR(__xludf.DUMMYFUNCTION("""COMPUTED_VALUE"""),20760.0)</f>
        <v>20760</v>
      </c>
    </row>
    <row r="300">
      <c r="A300" s="2">
        <f>IFERROR(__xludf.DUMMYFUNCTION("""COMPUTED_VALUE"""),41348.645833333336)</f>
        <v>41348.64583</v>
      </c>
      <c r="B300" s="1">
        <f>IFERROR(__xludf.DUMMYFUNCTION("""COMPUTED_VALUE"""),3735.0)</f>
        <v>3735</v>
      </c>
      <c r="C300" s="1">
        <f>IFERROR(__xludf.DUMMYFUNCTION("""COMPUTED_VALUE"""),3850.0)</f>
        <v>3850</v>
      </c>
      <c r="D300" s="1">
        <f>IFERROR(__xludf.DUMMYFUNCTION("""COMPUTED_VALUE"""),3725.0)</f>
        <v>3725</v>
      </c>
      <c r="E300" s="1">
        <f>IFERROR(__xludf.DUMMYFUNCTION("""COMPUTED_VALUE"""),3850.0)</f>
        <v>3850</v>
      </c>
      <c r="F300" s="1">
        <f>IFERROR(__xludf.DUMMYFUNCTION("""COMPUTED_VALUE"""),37883.0)</f>
        <v>37883</v>
      </c>
    </row>
    <row r="301">
      <c r="A301" s="2">
        <f>IFERROR(__xludf.DUMMYFUNCTION("""COMPUTED_VALUE"""),41351.645833333336)</f>
        <v>41351.64583</v>
      </c>
      <c r="B301" s="1">
        <f>IFERROR(__xludf.DUMMYFUNCTION("""COMPUTED_VALUE"""),3850.0)</f>
        <v>3850</v>
      </c>
      <c r="C301" s="1">
        <f>IFERROR(__xludf.DUMMYFUNCTION("""COMPUTED_VALUE"""),4025.0)</f>
        <v>4025</v>
      </c>
      <c r="D301" s="1">
        <f>IFERROR(__xludf.DUMMYFUNCTION("""COMPUTED_VALUE"""),3815.0)</f>
        <v>3815</v>
      </c>
      <c r="E301" s="1">
        <f>IFERROR(__xludf.DUMMYFUNCTION("""COMPUTED_VALUE"""),4000.0)</f>
        <v>4000</v>
      </c>
      <c r="F301" s="1">
        <f>IFERROR(__xludf.DUMMYFUNCTION("""COMPUTED_VALUE"""),119863.0)</f>
        <v>119863</v>
      </c>
    </row>
    <row r="302">
      <c r="A302" s="2">
        <f>IFERROR(__xludf.DUMMYFUNCTION("""COMPUTED_VALUE"""),41352.645833333336)</f>
        <v>41352.64583</v>
      </c>
      <c r="B302" s="1">
        <f>IFERROR(__xludf.DUMMYFUNCTION("""COMPUTED_VALUE"""),4000.0)</f>
        <v>4000</v>
      </c>
      <c r="C302" s="1">
        <f>IFERROR(__xludf.DUMMYFUNCTION("""COMPUTED_VALUE"""),4185.0)</f>
        <v>4185</v>
      </c>
      <c r="D302" s="1">
        <f>IFERROR(__xludf.DUMMYFUNCTION("""COMPUTED_VALUE"""),3950.0)</f>
        <v>3950</v>
      </c>
      <c r="E302" s="1">
        <f>IFERROR(__xludf.DUMMYFUNCTION("""COMPUTED_VALUE"""),4185.0)</f>
        <v>4185</v>
      </c>
      <c r="F302" s="1">
        <f>IFERROR(__xludf.DUMMYFUNCTION("""COMPUTED_VALUE"""),153731.0)</f>
        <v>153731</v>
      </c>
    </row>
    <row r="303">
      <c r="A303" s="2">
        <f>IFERROR(__xludf.DUMMYFUNCTION("""COMPUTED_VALUE"""),41353.645833333336)</f>
        <v>41353.64583</v>
      </c>
      <c r="B303" s="1">
        <f>IFERROR(__xludf.DUMMYFUNCTION("""COMPUTED_VALUE"""),4235.0)</f>
        <v>4235</v>
      </c>
      <c r="C303" s="1">
        <f>IFERROR(__xludf.DUMMYFUNCTION("""COMPUTED_VALUE"""),4450.0)</f>
        <v>4450</v>
      </c>
      <c r="D303" s="1">
        <f>IFERROR(__xludf.DUMMYFUNCTION("""COMPUTED_VALUE"""),4060.0)</f>
        <v>4060</v>
      </c>
      <c r="E303" s="1">
        <f>IFERROR(__xludf.DUMMYFUNCTION("""COMPUTED_VALUE"""),4260.0)</f>
        <v>4260</v>
      </c>
      <c r="F303" s="1">
        <f>IFERROR(__xludf.DUMMYFUNCTION("""COMPUTED_VALUE"""),127524.0)</f>
        <v>127524</v>
      </c>
    </row>
    <row r="304">
      <c r="A304" s="2">
        <f>IFERROR(__xludf.DUMMYFUNCTION("""COMPUTED_VALUE"""),41354.645833333336)</f>
        <v>41354.64583</v>
      </c>
      <c r="B304" s="1">
        <f>IFERROR(__xludf.DUMMYFUNCTION("""COMPUTED_VALUE"""),4280.0)</f>
        <v>4280</v>
      </c>
      <c r="C304" s="1">
        <f>IFERROR(__xludf.DUMMYFUNCTION("""COMPUTED_VALUE"""),4335.0)</f>
        <v>4335</v>
      </c>
      <c r="D304" s="1">
        <f>IFERROR(__xludf.DUMMYFUNCTION("""COMPUTED_VALUE"""),4100.0)</f>
        <v>4100</v>
      </c>
      <c r="E304" s="1">
        <f>IFERROR(__xludf.DUMMYFUNCTION("""COMPUTED_VALUE"""),4155.0)</f>
        <v>4155</v>
      </c>
      <c r="F304" s="1">
        <f>IFERROR(__xludf.DUMMYFUNCTION("""COMPUTED_VALUE"""),48581.0)</f>
        <v>48581</v>
      </c>
    </row>
    <row r="305">
      <c r="A305" s="2">
        <f>IFERROR(__xludf.DUMMYFUNCTION("""COMPUTED_VALUE"""),41355.645833333336)</f>
        <v>41355.64583</v>
      </c>
      <c r="B305" s="1">
        <f>IFERROR(__xludf.DUMMYFUNCTION("""COMPUTED_VALUE"""),4150.0)</f>
        <v>4150</v>
      </c>
      <c r="C305" s="1">
        <f>IFERROR(__xludf.DUMMYFUNCTION("""COMPUTED_VALUE"""),4245.0)</f>
        <v>4245</v>
      </c>
      <c r="D305" s="1">
        <f>IFERROR(__xludf.DUMMYFUNCTION("""COMPUTED_VALUE"""),4065.0)</f>
        <v>4065</v>
      </c>
      <c r="E305" s="1">
        <f>IFERROR(__xludf.DUMMYFUNCTION("""COMPUTED_VALUE"""),4110.0)</f>
        <v>4110</v>
      </c>
      <c r="F305" s="1">
        <f>IFERROR(__xludf.DUMMYFUNCTION("""COMPUTED_VALUE"""),41026.0)</f>
        <v>41026</v>
      </c>
    </row>
    <row r="306">
      <c r="A306" s="2">
        <f>IFERROR(__xludf.DUMMYFUNCTION("""COMPUTED_VALUE"""),41358.645833333336)</f>
        <v>41358.64583</v>
      </c>
      <c r="B306" s="1">
        <f>IFERROR(__xludf.DUMMYFUNCTION("""COMPUTED_VALUE"""),4230.0)</f>
        <v>4230</v>
      </c>
      <c r="C306" s="1">
        <f>IFERROR(__xludf.DUMMYFUNCTION("""COMPUTED_VALUE"""),4230.0)</f>
        <v>4230</v>
      </c>
      <c r="D306" s="1">
        <f>IFERROR(__xludf.DUMMYFUNCTION("""COMPUTED_VALUE"""),4080.0)</f>
        <v>4080</v>
      </c>
      <c r="E306" s="1">
        <f>IFERROR(__xludf.DUMMYFUNCTION("""COMPUTED_VALUE"""),4080.0)</f>
        <v>4080</v>
      </c>
      <c r="F306" s="1">
        <f>IFERROR(__xludf.DUMMYFUNCTION("""COMPUTED_VALUE"""),13850.0)</f>
        <v>13850</v>
      </c>
    </row>
    <row r="307">
      <c r="A307" s="2">
        <f>IFERROR(__xludf.DUMMYFUNCTION("""COMPUTED_VALUE"""),41359.645833333336)</f>
        <v>41359.64583</v>
      </c>
      <c r="B307" s="1">
        <f>IFERROR(__xludf.DUMMYFUNCTION("""COMPUTED_VALUE"""),4100.0)</f>
        <v>4100</v>
      </c>
      <c r="C307" s="1">
        <f>IFERROR(__xludf.DUMMYFUNCTION("""COMPUTED_VALUE"""),4135.0)</f>
        <v>4135</v>
      </c>
      <c r="D307" s="1">
        <f>IFERROR(__xludf.DUMMYFUNCTION("""COMPUTED_VALUE"""),4020.0)</f>
        <v>4020</v>
      </c>
      <c r="E307" s="1">
        <f>IFERROR(__xludf.DUMMYFUNCTION("""COMPUTED_VALUE"""),4110.0)</f>
        <v>4110</v>
      </c>
      <c r="F307" s="1">
        <f>IFERROR(__xludf.DUMMYFUNCTION("""COMPUTED_VALUE"""),22480.0)</f>
        <v>22480</v>
      </c>
    </row>
    <row r="308">
      <c r="A308" s="2">
        <f>IFERROR(__xludf.DUMMYFUNCTION("""COMPUTED_VALUE"""),41360.645833333336)</f>
        <v>41360.64583</v>
      </c>
      <c r="B308" s="1">
        <f>IFERROR(__xludf.DUMMYFUNCTION("""COMPUTED_VALUE"""),4180.0)</f>
        <v>4180</v>
      </c>
      <c r="C308" s="1">
        <f>IFERROR(__xludf.DUMMYFUNCTION("""COMPUTED_VALUE"""),4480.0)</f>
        <v>4480</v>
      </c>
      <c r="D308" s="1">
        <f>IFERROR(__xludf.DUMMYFUNCTION("""COMPUTED_VALUE"""),4150.0)</f>
        <v>4150</v>
      </c>
      <c r="E308" s="1">
        <f>IFERROR(__xludf.DUMMYFUNCTION("""COMPUTED_VALUE"""),4430.0)</f>
        <v>4430</v>
      </c>
      <c r="F308" s="1">
        <f>IFERROR(__xludf.DUMMYFUNCTION("""COMPUTED_VALUE"""),136175.0)</f>
        <v>136175</v>
      </c>
    </row>
    <row r="309">
      <c r="A309" s="2">
        <f>IFERROR(__xludf.DUMMYFUNCTION("""COMPUTED_VALUE"""),41361.645833333336)</f>
        <v>41361.64583</v>
      </c>
      <c r="B309" s="1">
        <f>IFERROR(__xludf.DUMMYFUNCTION("""COMPUTED_VALUE"""),4480.0)</f>
        <v>4480</v>
      </c>
      <c r="C309" s="1">
        <f>IFERROR(__xludf.DUMMYFUNCTION("""COMPUTED_VALUE"""),4480.0)</f>
        <v>4480</v>
      </c>
      <c r="D309" s="1">
        <f>IFERROR(__xludf.DUMMYFUNCTION("""COMPUTED_VALUE"""),4300.0)</f>
        <v>4300</v>
      </c>
      <c r="E309" s="1">
        <f>IFERROR(__xludf.DUMMYFUNCTION("""COMPUTED_VALUE"""),4315.0)</f>
        <v>4315</v>
      </c>
      <c r="F309" s="1">
        <f>IFERROR(__xludf.DUMMYFUNCTION("""COMPUTED_VALUE"""),78364.0)</f>
        <v>78364</v>
      </c>
    </row>
    <row r="310">
      <c r="A310" s="2">
        <f>IFERROR(__xludf.DUMMYFUNCTION("""COMPUTED_VALUE"""),41362.645833333336)</f>
        <v>41362.64583</v>
      </c>
      <c r="B310" s="1">
        <f>IFERROR(__xludf.DUMMYFUNCTION("""COMPUTED_VALUE"""),4315.0)</f>
        <v>4315</v>
      </c>
      <c r="C310" s="1">
        <f>IFERROR(__xludf.DUMMYFUNCTION("""COMPUTED_VALUE"""),4440.0)</f>
        <v>4440</v>
      </c>
      <c r="D310" s="1">
        <f>IFERROR(__xludf.DUMMYFUNCTION("""COMPUTED_VALUE"""),4300.0)</f>
        <v>4300</v>
      </c>
      <c r="E310" s="1">
        <f>IFERROR(__xludf.DUMMYFUNCTION("""COMPUTED_VALUE"""),4315.0)</f>
        <v>4315</v>
      </c>
      <c r="F310" s="1">
        <f>IFERROR(__xludf.DUMMYFUNCTION("""COMPUTED_VALUE"""),53532.0)</f>
        <v>53532</v>
      </c>
    </row>
    <row r="311">
      <c r="A311" s="2">
        <f>IFERROR(__xludf.DUMMYFUNCTION("""COMPUTED_VALUE"""),41365.645833333336)</f>
        <v>41365.64583</v>
      </c>
      <c r="B311" s="1">
        <f>IFERROR(__xludf.DUMMYFUNCTION("""COMPUTED_VALUE"""),4340.0)</f>
        <v>4340</v>
      </c>
      <c r="C311" s="1">
        <f>IFERROR(__xludf.DUMMYFUNCTION("""COMPUTED_VALUE"""),4435.0)</f>
        <v>4435</v>
      </c>
      <c r="D311" s="1">
        <f>IFERROR(__xludf.DUMMYFUNCTION("""COMPUTED_VALUE"""),4155.0)</f>
        <v>4155</v>
      </c>
      <c r="E311" s="1">
        <f>IFERROR(__xludf.DUMMYFUNCTION("""COMPUTED_VALUE"""),4220.0)</f>
        <v>4220</v>
      </c>
      <c r="F311" s="1">
        <f>IFERROR(__xludf.DUMMYFUNCTION("""COMPUTED_VALUE"""),83770.0)</f>
        <v>83770</v>
      </c>
    </row>
    <row r="312">
      <c r="A312" s="2">
        <f>IFERROR(__xludf.DUMMYFUNCTION("""COMPUTED_VALUE"""),41366.645833333336)</f>
        <v>41366.64583</v>
      </c>
      <c r="B312" s="1">
        <f>IFERROR(__xludf.DUMMYFUNCTION("""COMPUTED_VALUE"""),4165.0)</f>
        <v>4165</v>
      </c>
      <c r="C312" s="1">
        <f>IFERROR(__xludf.DUMMYFUNCTION("""COMPUTED_VALUE"""),4225.0)</f>
        <v>4225</v>
      </c>
      <c r="D312" s="1">
        <f>IFERROR(__xludf.DUMMYFUNCTION("""COMPUTED_VALUE"""),4135.0)</f>
        <v>4135</v>
      </c>
      <c r="E312" s="1">
        <f>IFERROR(__xludf.DUMMYFUNCTION("""COMPUTED_VALUE"""),4135.0)</f>
        <v>4135</v>
      </c>
      <c r="F312" s="1">
        <f>IFERROR(__xludf.DUMMYFUNCTION("""COMPUTED_VALUE"""),38958.0)</f>
        <v>38958</v>
      </c>
    </row>
    <row r="313">
      <c r="A313" s="2">
        <f>IFERROR(__xludf.DUMMYFUNCTION("""COMPUTED_VALUE"""),41367.645833333336)</f>
        <v>41367.64583</v>
      </c>
      <c r="B313" s="1">
        <f>IFERROR(__xludf.DUMMYFUNCTION("""COMPUTED_VALUE"""),4140.0)</f>
        <v>4140</v>
      </c>
      <c r="C313" s="1">
        <f>IFERROR(__xludf.DUMMYFUNCTION("""COMPUTED_VALUE"""),4275.0)</f>
        <v>4275</v>
      </c>
      <c r="D313" s="1">
        <f>IFERROR(__xludf.DUMMYFUNCTION("""COMPUTED_VALUE"""),4140.0)</f>
        <v>4140</v>
      </c>
      <c r="E313" s="1">
        <f>IFERROR(__xludf.DUMMYFUNCTION("""COMPUTED_VALUE"""),4165.0)</f>
        <v>4165</v>
      </c>
      <c r="F313" s="1">
        <f>IFERROR(__xludf.DUMMYFUNCTION("""COMPUTED_VALUE"""),28878.0)</f>
        <v>28878</v>
      </c>
    </row>
    <row r="314">
      <c r="A314" s="2">
        <f>IFERROR(__xludf.DUMMYFUNCTION("""COMPUTED_VALUE"""),41368.645833333336)</f>
        <v>41368.64583</v>
      </c>
      <c r="B314" s="1">
        <f>IFERROR(__xludf.DUMMYFUNCTION("""COMPUTED_VALUE"""),4165.0)</f>
        <v>4165</v>
      </c>
      <c r="C314" s="1">
        <f>IFERROR(__xludf.DUMMYFUNCTION("""COMPUTED_VALUE"""),4165.0)</f>
        <v>4165</v>
      </c>
      <c r="D314" s="1">
        <f>IFERROR(__xludf.DUMMYFUNCTION("""COMPUTED_VALUE"""),3945.0)</f>
        <v>3945</v>
      </c>
      <c r="E314" s="1">
        <f>IFERROR(__xludf.DUMMYFUNCTION("""COMPUTED_VALUE"""),4095.0)</f>
        <v>4095</v>
      </c>
      <c r="F314" s="1">
        <f>IFERROR(__xludf.DUMMYFUNCTION("""COMPUTED_VALUE"""),108570.0)</f>
        <v>108570</v>
      </c>
    </row>
    <row r="315">
      <c r="A315" s="2">
        <f>IFERROR(__xludf.DUMMYFUNCTION("""COMPUTED_VALUE"""),41369.645833333336)</f>
        <v>41369.64583</v>
      </c>
      <c r="B315" s="1">
        <f>IFERROR(__xludf.DUMMYFUNCTION("""COMPUTED_VALUE"""),4095.0)</f>
        <v>4095</v>
      </c>
      <c r="C315" s="1">
        <f>IFERROR(__xludf.DUMMYFUNCTION("""COMPUTED_VALUE"""),4440.0)</f>
        <v>4440</v>
      </c>
      <c r="D315" s="1">
        <f>IFERROR(__xludf.DUMMYFUNCTION("""COMPUTED_VALUE"""),4055.0)</f>
        <v>4055</v>
      </c>
      <c r="E315" s="1">
        <f>IFERROR(__xludf.DUMMYFUNCTION("""COMPUTED_VALUE"""),4300.0)</f>
        <v>4300</v>
      </c>
      <c r="F315" s="1">
        <f>IFERROR(__xludf.DUMMYFUNCTION("""COMPUTED_VALUE"""),105595.0)</f>
        <v>105595</v>
      </c>
    </row>
    <row r="316">
      <c r="A316" s="2">
        <f>IFERROR(__xludf.DUMMYFUNCTION("""COMPUTED_VALUE"""),41372.645833333336)</f>
        <v>41372.64583</v>
      </c>
      <c r="B316" s="1">
        <f>IFERROR(__xludf.DUMMYFUNCTION("""COMPUTED_VALUE"""),4300.0)</f>
        <v>4300</v>
      </c>
      <c r="C316" s="1">
        <f>IFERROR(__xludf.DUMMYFUNCTION("""COMPUTED_VALUE"""),4680.0)</f>
        <v>4680</v>
      </c>
      <c r="D316" s="1">
        <f>IFERROR(__xludf.DUMMYFUNCTION("""COMPUTED_VALUE"""),4300.0)</f>
        <v>4300</v>
      </c>
      <c r="E316" s="1">
        <f>IFERROR(__xludf.DUMMYFUNCTION("""COMPUTED_VALUE"""),4455.0)</f>
        <v>4455</v>
      </c>
      <c r="F316" s="1">
        <f>IFERROR(__xludf.DUMMYFUNCTION("""COMPUTED_VALUE"""),124079.0)</f>
        <v>124079</v>
      </c>
    </row>
    <row r="317">
      <c r="A317" s="2">
        <f>IFERROR(__xludf.DUMMYFUNCTION("""COMPUTED_VALUE"""),41373.645833333336)</f>
        <v>41373.64583</v>
      </c>
      <c r="B317" s="1">
        <f>IFERROR(__xludf.DUMMYFUNCTION("""COMPUTED_VALUE"""),4380.0)</f>
        <v>4380</v>
      </c>
      <c r="C317" s="1">
        <f>IFERROR(__xludf.DUMMYFUNCTION("""COMPUTED_VALUE"""),4550.0)</f>
        <v>4550</v>
      </c>
      <c r="D317" s="1">
        <f>IFERROR(__xludf.DUMMYFUNCTION("""COMPUTED_VALUE"""),4280.0)</f>
        <v>4280</v>
      </c>
      <c r="E317" s="1">
        <f>IFERROR(__xludf.DUMMYFUNCTION("""COMPUTED_VALUE"""),4400.0)</f>
        <v>4400</v>
      </c>
      <c r="F317" s="1">
        <f>IFERROR(__xludf.DUMMYFUNCTION("""COMPUTED_VALUE"""),92127.0)</f>
        <v>92127</v>
      </c>
    </row>
    <row r="318">
      <c r="A318" s="2">
        <f>IFERROR(__xludf.DUMMYFUNCTION("""COMPUTED_VALUE"""),41374.645833333336)</f>
        <v>41374.64583</v>
      </c>
      <c r="B318" s="1">
        <f>IFERROR(__xludf.DUMMYFUNCTION("""COMPUTED_VALUE"""),4405.0)</f>
        <v>4405</v>
      </c>
      <c r="C318" s="1">
        <f>IFERROR(__xludf.DUMMYFUNCTION("""COMPUTED_VALUE"""),4585.0)</f>
        <v>4585</v>
      </c>
      <c r="D318" s="1">
        <f>IFERROR(__xludf.DUMMYFUNCTION("""COMPUTED_VALUE"""),4405.0)</f>
        <v>4405</v>
      </c>
      <c r="E318" s="1">
        <f>IFERROR(__xludf.DUMMYFUNCTION("""COMPUTED_VALUE"""),4515.0)</f>
        <v>4515</v>
      </c>
      <c r="F318" s="1">
        <f>IFERROR(__xludf.DUMMYFUNCTION("""COMPUTED_VALUE"""),51895.0)</f>
        <v>51895</v>
      </c>
    </row>
    <row r="319">
      <c r="A319" s="2">
        <f>IFERROR(__xludf.DUMMYFUNCTION("""COMPUTED_VALUE"""),41375.645833333336)</f>
        <v>41375.64583</v>
      </c>
      <c r="B319" s="1">
        <f>IFERROR(__xludf.DUMMYFUNCTION("""COMPUTED_VALUE"""),4515.0)</f>
        <v>4515</v>
      </c>
      <c r="C319" s="1">
        <f>IFERROR(__xludf.DUMMYFUNCTION("""COMPUTED_VALUE"""),4660.0)</f>
        <v>4660</v>
      </c>
      <c r="D319" s="1">
        <f>IFERROR(__xludf.DUMMYFUNCTION("""COMPUTED_VALUE"""),4450.0)</f>
        <v>4450</v>
      </c>
      <c r="E319" s="1">
        <f>IFERROR(__xludf.DUMMYFUNCTION("""COMPUTED_VALUE"""),4660.0)</f>
        <v>4660</v>
      </c>
      <c r="F319" s="1">
        <f>IFERROR(__xludf.DUMMYFUNCTION("""COMPUTED_VALUE"""),72600.0)</f>
        <v>72600</v>
      </c>
    </row>
    <row r="320">
      <c r="A320" s="2">
        <f>IFERROR(__xludf.DUMMYFUNCTION("""COMPUTED_VALUE"""),41376.645833333336)</f>
        <v>41376.64583</v>
      </c>
      <c r="B320" s="1">
        <f>IFERROR(__xludf.DUMMYFUNCTION("""COMPUTED_VALUE"""),4790.0)</f>
        <v>4790</v>
      </c>
      <c r="C320" s="1">
        <f>IFERROR(__xludf.DUMMYFUNCTION("""COMPUTED_VALUE"""),4790.0)</f>
        <v>4790</v>
      </c>
      <c r="D320" s="1">
        <f>IFERROR(__xludf.DUMMYFUNCTION("""COMPUTED_VALUE"""),4680.0)</f>
        <v>4680</v>
      </c>
      <c r="E320" s="1">
        <f>IFERROR(__xludf.DUMMYFUNCTION("""COMPUTED_VALUE"""),4740.0)</f>
        <v>4740</v>
      </c>
      <c r="F320" s="1">
        <f>IFERROR(__xludf.DUMMYFUNCTION("""COMPUTED_VALUE"""),41370.0)</f>
        <v>41370</v>
      </c>
    </row>
    <row r="321">
      <c r="A321" s="2">
        <f>IFERROR(__xludf.DUMMYFUNCTION("""COMPUTED_VALUE"""),41379.645833333336)</f>
        <v>41379.64583</v>
      </c>
      <c r="B321" s="1">
        <f>IFERROR(__xludf.DUMMYFUNCTION("""COMPUTED_VALUE"""),4800.0)</f>
        <v>4800</v>
      </c>
      <c r="C321" s="1">
        <f>IFERROR(__xludf.DUMMYFUNCTION("""COMPUTED_VALUE"""),4800.0)</f>
        <v>4800</v>
      </c>
      <c r="D321" s="1">
        <f>IFERROR(__xludf.DUMMYFUNCTION("""COMPUTED_VALUE"""),4680.0)</f>
        <v>4680</v>
      </c>
      <c r="E321" s="1">
        <f>IFERROR(__xludf.DUMMYFUNCTION("""COMPUTED_VALUE"""),4785.0)</f>
        <v>4785</v>
      </c>
      <c r="F321" s="1">
        <f>IFERROR(__xludf.DUMMYFUNCTION("""COMPUTED_VALUE"""),36981.0)</f>
        <v>36981</v>
      </c>
    </row>
    <row r="322">
      <c r="A322" s="2">
        <f>IFERROR(__xludf.DUMMYFUNCTION("""COMPUTED_VALUE"""),41380.645833333336)</f>
        <v>41380.64583</v>
      </c>
      <c r="B322" s="1">
        <f>IFERROR(__xludf.DUMMYFUNCTION("""COMPUTED_VALUE"""),4730.0)</f>
        <v>4730</v>
      </c>
      <c r="C322" s="1">
        <f>IFERROR(__xludf.DUMMYFUNCTION("""COMPUTED_VALUE"""),4780.0)</f>
        <v>4780</v>
      </c>
      <c r="D322" s="1">
        <f>IFERROR(__xludf.DUMMYFUNCTION("""COMPUTED_VALUE"""),4600.0)</f>
        <v>4600</v>
      </c>
      <c r="E322" s="1">
        <f>IFERROR(__xludf.DUMMYFUNCTION("""COMPUTED_VALUE"""),4705.0)</f>
        <v>4705</v>
      </c>
      <c r="F322" s="1">
        <f>IFERROR(__xludf.DUMMYFUNCTION("""COMPUTED_VALUE"""),56315.0)</f>
        <v>56315</v>
      </c>
    </row>
    <row r="323">
      <c r="A323" s="2">
        <f>IFERROR(__xludf.DUMMYFUNCTION("""COMPUTED_VALUE"""),41381.645833333336)</f>
        <v>41381.64583</v>
      </c>
      <c r="B323" s="1">
        <f>IFERROR(__xludf.DUMMYFUNCTION("""COMPUTED_VALUE"""),4790.0)</f>
        <v>4790</v>
      </c>
      <c r="C323" s="1">
        <f>IFERROR(__xludf.DUMMYFUNCTION("""COMPUTED_VALUE"""),4795.0)</f>
        <v>4795</v>
      </c>
      <c r="D323" s="1">
        <f>IFERROR(__xludf.DUMMYFUNCTION("""COMPUTED_VALUE"""),4620.0)</f>
        <v>4620</v>
      </c>
      <c r="E323" s="1">
        <f>IFERROR(__xludf.DUMMYFUNCTION("""COMPUTED_VALUE"""),4650.0)</f>
        <v>4650</v>
      </c>
      <c r="F323" s="1">
        <f>IFERROR(__xludf.DUMMYFUNCTION("""COMPUTED_VALUE"""),41360.0)</f>
        <v>41360</v>
      </c>
    </row>
    <row r="324">
      <c r="A324" s="2">
        <f>IFERROR(__xludf.DUMMYFUNCTION("""COMPUTED_VALUE"""),41382.645833333336)</f>
        <v>41382.64583</v>
      </c>
      <c r="B324" s="1">
        <f>IFERROR(__xludf.DUMMYFUNCTION("""COMPUTED_VALUE"""),4650.0)</f>
        <v>4650</v>
      </c>
      <c r="C324" s="1">
        <f>IFERROR(__xludf.DUMMYFUNCTION("""COMPUTED_VALUE"""),4735.0)</f>
        <v>4735</v>
      </c>
      <c r="D324" s="1">
        <f>IFERROR(__xludf.DUMMYFUNCTION("""COMPUTED_VALUE"""),4610.0)</f>
        <v>4610</v>
      </c>
      <c r="E324" s="1">
        <f>IFERROR(__xludf.DUMMYFUNCTION("""COMPUTED_VALUE"""),4660.0)</f>
        <v>4660</v>
      </c>
      <c r="F324" s="1">
        <f>IFERROR(__xludf.DUMMYFUNCTION("""COMPUTED_VALUE"""),45542.0)</f>
        <v>45542</v>
      </c>
    </row>
    <row r="325">
      <c r="A325" s="2">
        <f>IFERROR(__xludf.DUMMYFUNCTION("""COMPUTED_VALUE"""),41383.645833333336)</f>
        <v>41383.64583</v>
      </c>
      <c r="B325" s="1">
        <f>IFERROR(__xludf.DUMMYFUNCTION("""COMPUTED_VALUE"""),4660.0)</f>
        <v>4660</v>
      </c>
      <c r="C325" s="1">
        <f>IFERROR(__xludf.DUMMYFUNCTION("""COMPUTED_VALUE"""),4775.0)</f>
        <v>4775</v>
      </c>
      <c r="D325" s="1">
        <f>IFERROR(__xludf.DUMMYFUNCTION("""COMPUTED_VALUE"""),4640.0)</f>
        <v>4640</v>
      </c>
      <c r="E325" s="1">
        <f>IFERROR(__xludf.DUMMYFUNCTION("""COMPUTED_VALUE"""),4650.0)</f>
        <v>4650</v>
      </c>
      <c r="F325" s="1">
        <f>IFERROR(__xludf.DUMMYFUNCTION("""COMPUTED_VALUE"""),73895.0)</f>
        <v>73895</v>
      </c>
    </row>
    <row r="326">
      <c r="A326" s="2">
        <f>IFERROR(__xludf.DUMMYFUNCTION("""COMPUTED_VALUE"""),41386.645833333336)</f>
        <v>41386.64583</v>
      </c>
      <c r="B326" s="1">
        <f>IFERROR(__xludf.DUMMYFUNCTION("""COMPUTED_VALUE"""),4725.0)</f>
        <v>4725</v>
      </c>
      <c r="C326" s="1">
        <f>IFERROR(__xludf.DUMMYFUNCTION("""COMPUTED_VALUE"""),4755.0)</f>
        <v>4755</v>
      </c>
      <c r="D326" s="1">
        <f>IFERROR(__xludf.DUMMYFUNCTION("""COMPUTED_VALUE"""),4640.0)</f>
        <v>4640</v>
      </c>
      <c r="E326" s="1">
        <f>IFERROR(__xludf.DUMMYFUNCTION("""COMPUTED_VALUE"""),4745.0)</f>
        <v>4745</v>
      </c>
      <c r="F326" s="1">
        <f>IFERROR(__xludf.DUMMYFUNCTION("""COMPUTED_VALUE"""),57050.0)</f>
        <v>57050</v>
      </c>
    </row>
    <row r="327">
      <c r="A327" s="2">
        <f>IFERROR(__xludf.DUMMYFUNCTION("""COMPUTED_VALUE"""),41387.645833333336)</f>
        <v>41387.64583</v>
      </c>
      <c r="B327" s="1">
        <f>IFERROR(__xludf.DUMMYFUNCTION("""COMPUTED_VALUE"""),4750.0)</f>
        <v>4750</v>
      </c>
      <c r="C327" s="1">
        <f>IFERROR(__xludf.DUMMYFUNCTION("""COMPUTED_VALUE"""),4780.0)</f>
        <v>4780</v>
      </c>
      <c r="D327" s="1">
        <f>IFERROR(__xludf.DUMMYFUNCTION("""COMPUTED_VALUE"""),4695.0)</f>
        <v>4695</v>
      </c>
      <c r="E327" s="1">
        <f>IFERROR(__xludf.DUMMYFUNCTION("""COMPUTED_VALUE"""),4705.0)</f>
        <v>4705</v>
      </c>
      <c r="F327" s="1">
        <f>IFERROR(__xludf.DUMMYFUNCTION("""COMPUTED_VALUE"""),31752.0)</f>
        <v>31752</v>
      </c>
    </row>
    <row r="328">
      <c r="A328" s="2">
        <f>IFERROR(__xludf.DUMMYFUNCTION("""COMPUTED_VALUE"""),41388.645833333336)</f>
        <v>41388.64583</v>
      </c>
      <c r="B328" s="1">
        <f>IFERROR(__xludf.DUMMYFUNCTION("""COMPUTED_VALUE"""),4710.0)</f>
        <v>4710</v>
      </c>
      <c r="C328" s="1">
        <f>IFERROR(__xludf.DUMMYFUNCTION("""COMPUTED_VALUE"""),5250.0)</f>
        <v>5250</v>
      </c>
      <c r="D328" s="1">
        <f>IFERROR(__xludf.DUMMYFUNCTION("""COMPUTED_VALUE"""),4680.0)</f>
        <v>4680</v>
      </c>
      <c r="E328" s="1">
        <f>IFERROR(__xludf.DUMMYFUNCTION("""COMPUTED_VALUE"""),5130.0)</f>
        <v>5130</v>
      </c>
      <c r="F328" s="1">
        <f>IFERROR(__xludf.DUMMYFUNCTION("""COMPUTED_VALUE"""),223403.0)</f>
        <v>223403</v>
      </c>
    </row>
    <row r="329">
      <c r="A329" s="2">
        <f>IFERROR(__xludf.DUMMYFUNCTION("""COMPUTED_VALUE"""),41389.645833333336)</f>
        <v>41389.64583</v>
      </c>
      <c r="B329" s="1">
        <f>IFERROR(__xludf.DUMMYFUNCTION("""COMPUTED_VALUE"""),5100.0)</f>
        <v>5100</v>
      </c>
      <c r="C329" s="1">
        <f>IFERROR(__xludf.DUMMYFUNCTION("""COMPUTED_VALUE"""),5180.0)</f>
        <v>5180</v>
      </c>
      <c r="D329" s="1">
        <f>IFERROR(__xludf.DUMMYFUNCTION("""COMPUTED_VALUE"""),4955.0)</f>
        <v>4955</v>
      </c>
      <c r="E329" s="1">
        <f>IFERROR(__xludf.DUMMYFUNCTION("""COMPUTED_VALUE"""),5160.0)</f>
        <v>5160</v>
      </c>
      <c r="F329" s="1">
        <f>IFERROR(__xludf.DUMMYFUNCTION("""COMPUTED_VALUE"""),95350.0)</f>
        <v>95350</v>
      </c>
    </row>
    <row r="330">
      <c r="A330" s="2">
        <f>IFERROR(__xludf.DUMMYFUNCTION("""COMPUTED_VALUE"""),41390.645833333336)</f>
        <v>41390.64583</v>
      </c>
      <c r="B330" s="1">
        <f>IFERROR(__xludf.DUMMYFUNCTION("""COMPUTED_VALUE"""),5180.0)</f>
        <v>5180</v>
      </c>
      <c r="C330" s="1">
        <f>IFERROR(__xludf.DUMMYFUNCTION("""COMPUTED_VALUE"""),5190.0)</f>
        <v>5190</v>
      </c>
      <c r="D330" s="1">
        <f>IFERROR(__xludf.DUMMYFUNCTION("""COMPUTED_VALUE"""),4980.0)</f>
        <v>4980</v>
      </c>
      <c r="E330" s="1">
        <f>IFERROR(__xludf.DUMMYFUNCTION("""COMPUTED_VALUE"""),5190.0)</f>
        <v>5190</v>
      </c>
      <c r="F330" s="1">
        <f>IFERROR(__xludf.DUMMYFUNCTION("""COMPUTED_VALUE"""),53725.0)</f>
        <v>53725</v>
      </c>
    </row>
    <row r="331">
      <c r="A331" s="2">
        <f>IFERROR(__xludf.DUMMYFUNCTION("""COMPUTED_VALUE"""),41393.645833333336)</f>
        <v>41393.64583</v>
      </c>
      <c r="B331" s="1">
        <f>IFERROR(__xludf.DUMMYFUNCTION("""COMPUTED_VALUE"""),5180.0)</f>
        <v>5180</v>
      </c>
      <c r="C331" s="1">
        <f>IFERROR(__xludf.DUMMYFUNCTION("""COMPUTED_VALUE"""),5390.0)</f>
        <v>5390</v>
      </c>
      <c r="D331" s="1">
        <f>IFERROR(__xludf.DUMMYFUNCTION("""COMPUTED_VALUE"""),5100.0)</f>
        <v>5100</v>
      </c>
      <c r="E331" s="1">
        <f>IFERROR(__xludf.DUMMYFUNCTION("""COMPUTED_VALUE"""),5300.0)</f>
        <v>5300</v>
      </c>
      <c r="F331" s="1">
        <f>IFERROR(__xludf.DUMMYFUNCTION("""COMPUTED_VALUE"""),94389.0)</f>
        <v>94389</v>
      </c>
    </row>
    <row r="332">
      <c r="A332" s="2">
        <f>IFERROR(__xludf.DUMMYFUNCTION("""COMPUTED_VALUE"""),41394.645833333336)</f>
        <v>41394.64583</v>
      </c>
      <c r="B332" s="1">
        <f>IFERROR(__xludf.DUMMYFUNCTION("""COMPUTED_VALUE"""),5300.0)</f>
        <v>5300</v>
      </c>
      <c r="C332" s="1">
        <f>IFERROR(__xludf.DUMMYFUNCTION("""COMPUTED_VALUE"""),5390.0)</f>
        <v>5390</v>
      </c>
      <c r="D332" s="1">
        <f>IFERROR(__xludf.DUMMYFUNCTION("""COMPUTED_VALUE"""),5120.0)</f>
        <v>5120</v>
      </c>
      <c r="E332" s="1">
        <f>IFERROR(__xludf.DUMMYFUNCTION("""COMPUTED_VALUE"""),5270.0)</f>
        <v>5270</v>
      </c>
      <c r="F332" s="1">
        <f>IFERROR(__xludf.DUMMYFUNCTION("""COMPUTED_VALUE"""),82931.0)</f>
        <v>82931</v>
      </c>
    </row>
    <row r="333">
      <c r="A333" s="2">
        <f>IFERROR(__xludf.DUMMYFUNCTION("""COMPUTED_VALUE"""),41396.645833333336)</f>
        <v>41396.64583</v>
      </c>
      <c r="B333" s="1">
        <f>IFERROR(__xludf.DUMMYFUNCTION("""COMPUTED_VALUE"""),5380.0)</f>
        <v>5380</v>
      </c>
      <c r="C333" s="1">
        <f>IFERROR(__xludf.DUMMYFUNCTION("""COMPUTED_VALUE"""),5380.0)</f>
        <v>5380</v>
      </c>
      <c r="D333" s="1">
        <f>IFERROR(__xludf.DUMMYFUNCTION("""COMPUTED_VALUE"""),4895.0)</f>
        <v>4895</v>
      </c>
      <c r="E333" s="1">
        <f>IFERROR(__xludf.DUMMYFUNCTION("""COMPUTED_VALUE"""),5200.0)</f>
        <v>5200</v>
      </c>
      <c r="F333" s="1">
        <f>IFERROR(__xludf.DUMMYFUNCTION("""COMPUTED_VALUE"""),109067.0)</f>
        <v>109067</v>
      </c>
    </row>
    <row r="334">
      <c r="A334" s="2">
        <f>IFERROR(__xludf.DUMMYFUNCTION("""COMPUTED_VALUE"""),41397.645833333336)</f>
        <v>41397.64583</v>
      </c>
      <c r="B334" s="1">
        <f>IFERROR(__xludf.DUMMYFUNCTION("""COMPUTED_VALUE"""),5200.0)</f>
        <v>5200</v>
      </c>
      <c r="C334" s="1">
        <f>IFERROR(__xludf.DUMMYFUNCTION("""COMPUTED_VALUE"""),5200.0)</f>
        <v>5200</v>
      </c>
      <c r="D334" s="1">
        <f>IFERROR(__xludf.DUMMYFUNCTION("""COMPUTED_VALUE"""),5050.0)</f>
        <v>5050</v>
      </c>
      <c r="E334" s="1">
        <f>IFERROR(__xludf.DUMMYFUNCTION("""COMPUTED_VALUE"""),5090.0)</f>
        <v>5090</v>
      </c>
      <c r="F334" s="1">
        <f>IFERROR(__xludf.DUMMYFUNCTION("""COMPUTED_VALUE"""),57667.0)</f>
        <v>57667</v>
      </c>
    </row>
    <row r="335">
      <c r="A335" s="2">
        <f>IFERROR(__xludf.DUMMYFUNCTION("""COMPUTED_VALUE"""),41400.645833333336)</f>
        <v>41400.64583</v>
      </c>
      <c r="B335" s="1">
        <f>IFERROR(__xludf.DUMMYFUNCTION("""COMPUTED_VALUE"""),5140.0)</f>
        <v>5140</v>
      </c>
      <c r="C335" s="1">
        <f>IFERROR(__xludf.DUMMYFUNCTION("""COMPUTED_VALUE"""),5190.0)</f>
        <v>5190</v>
      </c>
      <c r="D335" s="1">
        <f>IFERROR(__xludf.DUMMYFUNCTION("""COMPUTED_VALUE"""),4970.0)</f>
        <v>4970</v>
      </c>
      <c r="E335" s="1">
        <f>IFERROR(__xludf.DUMMYFUNCTION("""COMPUTED_VALUE"""),5140.0)</f>
        <v>5140</v>
      </c>
      <c r="F335" s="1">
        <f>IFERROR(__xludf.DUMMYFUNCTION("""COMPUTED_VALUE"""),71273.0)</f>
        <v>71273</v>
      </c>
    </row>
    <row r="336">
      <c r="A336" s="2">
        <f>IFERROR(__xludf.DUMMYFUNCTION("""COMPUTED_VALUE"""),41401.645833333336)</f>
        <v>41401.64583</v>
      </c>
      <c r="B336" s="1">
        <f>IFERROR(__xludf.DUMMYFUNCTION("""COMPUTED_VALUE"""),5140.0)</f>
        <v>5140</v>
      </c>
      <c r="C336" s="1">
        <f>IFERROR(__xludf.DUMMYFUNCTION("""COMPUTED_VALUE"""),5190.0)</f>
        <v>5190</v>
      </c>
      <c r="D336" s="1">
        <f>IFERROR(__xludf.DUMMYFUNCTION("""COMPUTED_VALUE"""),5050.0)</f>
        <v>5050</v>
      </c>
      <c r="E336" s="1">
        <f>IFERROR(__xludf.DUMMYFUNCTION("""COMPUTED_VALUE"""),5130.0)</f>
        <v>5130</v>
      </c>
      <c r="F336" s="1">
        <f>IFERROR(__xludf.DUMMYFUNCTION("""COMPUTED_VALUE"""),43543.0)</f>
        <v>43543</v>
      </c>
    </row>
    <row r="337">
      <c r="A337" s="2">
        <f>IFERROR(__xludf.DUMMYFUNCTION("""COMPUTED_VALUE"""),41402.645833333336)</f>
        <v>41402.64583</v>
      </c>
      <c r="B337" s="1">
        <f>IFERROR(__xludf.DUMMYFUNCTION("""COMPUTED_VALUE"""),5020.0)</f>
        <v>5020</v>
      </c>
      <c r="C337" s="1">
        <f>IFERROR(__xludf.DUMMYFUNCTION("""COMPUTED_VALUE"""),5130.0)</f>
        <v>5130</v>
      </c>
      <c r="D337" s="1">
        <f>IFERROR(__xludf.DUMMYFUNCTION("""COMPUTED_VALUE"""),4990.0)</f>
        <v>4990</v>
      </c>
      <c r="E337" s="1">
        <f>IFERROR(__xludf.DUMMYFUNCTION("""COMPUTED_VALUE"""),5000.0)</f>
        <v>5000</v>
      </c>
      <c r="F337" s="1">
        <f>IFERROR(__xludf.DUMMYFUNCTION("""COMPUTED_VALUE"""),63947.0)</f>
        <v>63947</v>
      </c>
    </row>
    <row r="338">
      <c r="A338" s="2">
        <f>IFERROR(__xludf.DUMMYFUNCTION("""COMPUTED_VALUE"""),41403.645833333336)</f>
        <v>41403.64583</v>
      </c>
      <c r="B338" s="1">
        <f>IFERROR(__xludf.DUMMYFUNCTION("""COMPUTED_VALUE"""),5000.0)</f>
        <v>5000</v>
      </c>
      <c r="C338" s="1">
        <f>IFERROR(__xludf.DUMMYFUNCTION("""COMPUTED_VALUE"""),5070.0)</f>
        <v>5070</v>
      </c>
      <c r="D338" s="1">
        <f>IFERROR(__xludf.DUMMYFUNCTION("""COMPUTED_VALUE"""),4925.0)</f>
        <v>4925</v>
      </c>
      <c r="E338" s="1">
        <f>IFERROR(__xludf.DUMMYFUNCTION("""COMPUTED_VALUE"""),5050.0)</f>
        <v>5050</v>
      </c>
      <c r="F338" s="1">
        <f>IFERROR(__xludf.DUMMYFUNCTION("""COMPUTED_VALUE"""),69380.0)</f>
        <v>69380</v>
      </c>
    </row>
    <row r="339">
      <c r="A339" s="2">
        <f>IFERROR(__xludf.DUMMYFUNCTION("""COMPUTED_VALUE"""),41404.645833333336)</f>
        <v>41404.64583</v>
      </c>
      <c r="B339" s="1">
        <f>IFERROR(__xludf.DUMMYFUNCTION("""COMPUTED_VALUE"""),5050.0)</f>
        <v>5050</v>
      </c>
      <c r="C339" s="1">
        <f>IFERROR(__xludf.DUMMYFUNCTION("""COMPUTED_VALUE"""),5080.0)</f>
        <v>5080</v>
      </c>
      <c r="D339" s="1">
        <f>IFERROR(__xludf.DUMMYFUNCTION("""COMPUTED_VALUE"""),4940.0)</f>
        <v>4940</v>
      </c>
      <c r="E339" s="1">
        <f>IFERROR(__xludf.DUMMYFUNCTION("""COMPUTED_VALUE"""),4965.0)</f>
        <v>4965</v>
      </c>
      <c r="F339" s="1">
        <f>IFERROR(__xludf.DUMMYFUNCTION("""COMPUTED_VALUE"""),28261.0)</f>
        <v>28261</v>
      </c>
    </row>
    <row r="340">
      <c r="A340" s="2">
        <f>IFERROR(__xludf.DUMMYFUNCTION("""COMPUTED_VALUE"""),41407.645833333336)</f>
        <v>41407.64583</v>
      </c>
      <c r="B340" s="1">
        <f>IFERROR(__xludf.DUMMYFUNCTION("""COMPUTED_VALUE"""),4965.0)</f>
        <v>4965</v>
      </c>
      <c r="C340" s="1">
        <f>IFERROR(__xludf.DUMMYFUNCTION("""COMPUTED_VALUE"""),5090.0)</f>
        <v>5090</v>
      </c>
      <c r="D340" s="1">
        <f>IFERROR(__xludf.DUMMYFUNCTION("""COMPUTED_VALUE"""),4775.0)</f>
        <v>4775</v>
      </c>
      <c r="E340" s="1">
        <f>IFERROR(__xludf.DUMMYFUNCTION("""COMPUTED_VALUE"""),4780.0)</f>
        <v>4780</v>
      </c>
      <c r="F340" s="1">
        <f>IFERROR(__xludf.DUMMYFUNCTION("""COMPUTED_VALUE"""),60134.0)</f>
        <v>60134</v>
      </c>
    </row>
    <row r="341">
      <c r="A341" s="2">
        <f>IFERROR(__xludf.DUMMYFUNCTION("""COMPUTED_VALUE"""),41408.645833333336)</f>
        <v>41408.64583</v>
      </c>
      <c r="B341" s="1">
        <f>IFERROR(__xludf.DUMMYFUNCTION("""COMPUTED_VALUE"""),4780.0)</f>
        <v>4780</v>
      </c>
      <c r="C341" s="1">
        <f>IFERROR(__xludf.DUMMYFUNCTION("""COMPUTED_VALUE"""),4870.0)</f>
        <v>4870</v>
      </c>
      <c r="D341" s="1">
        <f>IFERROR(__xludf.DUMMYFUNCTION("""COMPUTED_VALUE"""),4635.0)</f>
        <v>4635</v>
      </c>
      <c r="E341" s="1">
        <f>IFERROR(__xludf.DUMMYFUNCTION("""COMPUTED_VALUE"""),4635.0)</f>
        <v>4635</v>
      </c>
      <c r="F341" s="1">
        <f>IFERROR(__xludf.DUMMYFUNCTION("""COMPUTED_VALUE"""),50110.0)</f>
        <v>50110</v>
      </c>
    </row>
    <row r="342">
      <c r="A342" s="2">
        <f>IFERROR(__xludf.DUMMYFUNCTION("""COMPUTED_VALUE"""),41409.645833333336)</f>
        <v>41409.64583</v>
      </c>
      <c r="B342" s="1">
        <f>IFERROR(__xludf.DUMMYFUNCTION("""COMPUTED_VALUE"""),4610.0)</f>
        <v>4610</v>
      </c>
      <c r="C342" s="1">
        <f>IFERROR(__xludf.DUMMYFUNCTION("""COMPUTED_VALUE"""),4860.0)</f>
        <v>4860</v>
      </c>
      <c r="D342" s="1">
        <f>IFERROR(__xludf.DUMMYFUNCTION("""COMPUTED_VALUE"""),4610.0)</f>
        <v>4610</v>
      </c>
      <c r="E342" s="1">
        <f>IFERROR(__xludf.DUMMYFUNCTION("""COMPUTED_VALUE"""),4830.0)</f>
        <v>4830</v>
      </c>
      <c r="F342" s="1">
        <f>IFERROR(__xludf.DUMMYFUNCTION("""COMPUTED_VALUE"""),37002.0)</f>
        <v>37002</v>
      </c>
    </row>
    <row r="343">
      <c r="A343" s="2">
        <f>IFERROR(__xludf.DUMMYFUNCTION("""COMPUTED_VALUE"""),41410.645833333336)</f>
        <v>41410.64583</v>
      </c>
      <c r="B343" s="1">
        <f>IFERROR(__xludf.DUMMYFUNCTION("""COMPUTED_VALUE"""),4830.0)</f>
        <v>4830</v>
      </c>
      <c r="C343" s="1">
        <f>IFERROR(__xludf.DUMMYFUNCTION("""COMPUTED_VALUE"""),4940.0)</f>
        <v>4940</v>
      </c>
      <c r="D343" s="1">
        <f>IFERROR(__xludf.DUMMYFUNCTION("""COMPUTED_VALUE"""),4715.0)</f>
        <v>4715</v>
      </c>
      <c r="E343" s="1">
        <f>IFERROR(__xludf.DUMMYFUNCTION("""COMPUTED_VALUE"""),4780.0)</f>
        <v>4780</v>
      </c>
      <c r="F343" s="1">
        <f>IFERROR(__xludf.DUMMYFUNCTION("""COMPUTED_VALUE"""),20900.0)</f>
        <v>20900</v>
      </c>
    </row>
    <row r="344">
      <c r="A344" s="2">
        <f>IFERROR(__xludf.DUMMYFUNCTION("""COMPUTED_VALUE"""),41414.645833333336)</f>
        <v>41414.64583</v>
      </c>
      <c r="B344" s="1">
        <f>IFERROR(__xludf.DUMMYFUNCTION("""COMPUTED_VALUE"""),4780.0)</f>
        <v>4780</v>
      </c>
      <c r="C344" s="1">
        <f>IFERROR(__xludf.DUMMYFUNCTION("""COMPUTED_VALUE"""),4950.0)</f>
        <v>4950</v>
      </c>
      <c r="D344" s="1">
        <f>IFERROR(__xludf.DUMMYFUNCTION("""COMPUTED_VALUE"""),4740.0)</f>
        <v>4740</v>
      </c>
      <c r="E344" s="1">
        <f>IFERROR(__xludf.DUMMYFUNCTION("""COMPUTED_VALUE"""),4785.0)</f>
        <v>4785</v>
      </c>
      <c r="F344" s="1">
        <f>IFERROR(__xludf.DUMMYFUNCTION("""COMPUTED_VALUE"""),31131.0)</f>
        <v>31131</v>
      </c>
    </row>
    <row r="345">
      <c r="A345" s="2">
        <f>IFERROR(__xludf.DUMMYFUNCTION("""COMPUTED_VALUE"""),41415.645833333336)</f>
        <v>41415.64583</v>
      </c>
      <c r="B345" s="1">
        <f>IFERROR(__xludf.DUMMYFUNCTION("""COMPUTED_VALUE"""),4860.0)</f>
        <v>4860</v>
      </c>
      <c r="C345" s="1">
        <f>IFERROR(__xludf.DUMMYFUNCTION("""COMPUTED_VALUE"""),4860.0)</f>
        <v>4860</v>
      </c>
      <c r="D345" s="1">
        <f>IFERROR(__xludf.DUMMYFUNCTION("""COMPUTED_VALUE"""),4650.0)</f>
        <v>4650</v>
      </c>
      <c r="E345" s="1">
        <f>IFERROR(__xludf.DUMMYFUNCTION("""COMPUTED_VALUE"""),4760.0)</f>
        <v>4760</v>
      </c>
      <c r="F345" s="1">
        <f>IFERROR(__xludf.DUMMYFUNCTION("""COMPUTED_VALUE"""),34810.0)</f>
        <v>34810</v>
      </c>
    </row>
    <row r="346">
      <c r="A346" s="2">
        <f>IFERROR(__xludf.DUMMYFUNCTION("""COMPUTED_VALUE"""),41416.645833333336)</f>
        <v>41416.64583</v>
      </c>
      <c r="B346" s="1">
        <f>IFERROR(__xludf.DUMMYFUNCTION("""COMPUTED_VALUE"""),4750.0)</f>
        <v>4750</v>
      </c>
      <c r="C346" s="1">
        <f>IFERROR(__xludf.DUMMYFUNCTION("""COMPUTED_VALUE"""),4850.0)</f>
        <v>4850</v>
      </c>
      <c r="D346" s="1">
        <f>IFERROR(__xludf.DUMMYFUNCTION("""COMPUTED_VALUE"""),4735.0)</f>
        <v>4735</v>
      </c>
      <c r="E346" s="1">
        <f>IFERROR(__xludf.DUMMYFUNCTION("""COMPUTED_VALUE"""),4780.0)</f>
        <v>4780</v>
      </c>
      <c r="F346" s="1">
        <f>IFERROR(__xludf.DUMMYFUNCTION("""COMPUTED_VALUE"""),26530.0)</f>
        <v>26530</v>
      </c>
    </row>
    <row r="347">
      <c r="A347" s="2">
        <f>IFERROR(__xludf.DUMMYFUNCTION("""COMPUTED_VALUE"""),41417.645833333336)</f>
        <v>41417.64583</v>
      </c>
      <c r="B347" s="1">
        <f>IFERROR(__xludf.DUMMYFUNCTION("""COMPUTED_VALUE"""),4800.0)</f>
        <v>4800</v>
      </c>
      <c r="C347" s="1">
        <f>IFERROR(__xludf.DUMMYFUNCTION("""COMPUTED_VALUE"""),4885.0)</f>
        <v>4885</v>
      </c>
      <c r="D347" s="1">
        <f>IFERROR(__xludf.DUMMYFUNCTION("""COMPUTED_VALUE"""),4780.0)</f>
        <v>4780</v>
      </c>
      <c r="E347" s="1">
        <f>IFERROR(__xludf.DUMMYFUNCTION("""COMPUTED_VALUE"""),4860.0)</f>
        <v>4860</v>
      </c>
      <c r="F347" s="1">
        <f>IFERROR(__xludf.DUMMYFUNCTION("""COMPUTED_VALUE"""),52610.0)</f>
        <v>52610</v>
      </c>
    </row>
    <row r="348">
      <c r="A348" s="2">
        <f>IFERROR(__xludf.DUMMYFUNCTION("""COMPUTED_VALUE"""),41418.645833333336)</f>
        <v>41418.64583</v>
      </c>
      <c r="B348" s="1">
        <f>IFERROR(__xludf.DUMMYFUNCTION("""COMPUTED_VALUE"""),4930.0)</f>
        <v>4930</v>
      </c>
      <c r="C348" s="1">
        <f>IFERROR(__xludf.DUMMYFUNCTION("""COMPUTED_VALUE"""),4930.0)</f>
        <v>4930</v>
      </c>
      <c r="D348" s="1">
        <f>IFERROR(__xludf.DUMMYFUNCTION("""COMPUTED_VALUE"""),4750.0)</f>
        <v>4750</v>
      </c>
      <c r="E348" s="1">
        <f>IFERROR(__xludf.DUMMYFUNCTION("""COMPUTED_VALUE"""),4860.0)</f>
        <v>4860</v>
      </c>
      <c r="F348" s="1">
        <f>IFERROR(__xludf.DUMMYFUNCTION("""COMPUTED_VALUE"""),16725.0)</f>
        <v>16725</v>
      </c>
    </row>
    <row r="349">
      <c r="A349" s="2">
        <f>IFERROR(__xludf.DUMMYFUNCTION("""COMPUTED_VALUE"""),41421.645833333336)</f>
        <v>41421.64583</v>
      </c>
      <c r="B349" s="1">
        <f>IFERROR(__xludf.DUMMYFUNCTION("""COMPUTED_VALUE"""),4810.0)</f>
        <v>4810</v>
      </c>
      <c r="C349" s="1">
        <f>IFERROR(__xludf.DUMMYFUNCTION("""COMPUTED_VALUE"""),4810.0)</f>
        <v>4810</v>
      </c>
      <c r="D349" s="1">
        <f>IFERROR(__xludf.DUMMYFUNCTION("""COMPUTED_VALUE"""),4700.0)</f>
        <v>4700</v>
      </c>
      <c r="E349" s="1">
        <f>IFERROR(__xludf.DUMMYFUNCTION("""COMPUTED_VALUE"""),4715.0)</f>
        <v>4715</v>
      </c>
      <c r="F349" s="1">
        <f>IFERROR(__xludf.DUMMYFUNCTION("""COMPUTED_VALUE"""),34493.0)</f>
        <v>34493</v>
      </c>
    </row>
    <row r="350">
      <c r="A350" s="2">
        <f>IFERROR(__xludf.DUMMYFUNCTION("""COMPUTED_VALUE"""),41422.645833333336)</f>
        <v>41422.64583</v>
      </c>
      <c r="B350" s="1">
        <f>IFERROR(__xludf.DUMMYFUNCTION("""COMPUTED_VALUE"""),4720.0)</f>
        <v>4720</v>
      </c>
      <c r="C350" s="1">
        <f>IFERROR(__xludf.DUMMYFUNCTION("""COMPUTED_VALUE"""),4820.0)</f>
        <v>4820</v>
      </c>
      <c r="D350" s="1">
        <f>IFERROR(__xludf.DUMMYFUNCTION("""COMPUTED_VALUE"""),4665.0)</f>
        <v>4665</v>
      </c>
      <c r="E350" s="1">
        <f>IFERROR(__xludf.DUMMYFUNCTION("""COMPUTED_VALUE"""),4670.0)</f>
        <v>4670</v>
      </c>
      <c r="F350" s="1">
        <f>IFERROR(__xludf.DUMMYFUNCTION("""COMPUTED_VALUE"""),33360.0)</f>
        <v>33360</v>
      </c>
    </row>
    <row r="351">
      <c r="A351" s="2">
        <f>IFERROR(__xludf.DUMMYFUNCTION("""COMPUTED_VALUE"""),41423.645833333336)</f>
        <v>41423.64583</v>
      </c>
      <c r="B351" s="1">
        <f>IFERROR(__xludf.DUMMYFUNCTION("""COMPUTED_VALUE"""),4645.0)</f>
        <v>4645</v>
      </c>
      <c r="C351" s="1">
        <f>IFERROR(__xludf.DUMMYFUNCTION("""COMPUTED_VALUE"""),4710.0)</f>
        <v>4710</v>
      </c>
      <c r="D351" s="1">
        <f>IFERROR(__xludf.DUMMYFUNCTION("""COMPUTED_VALUE"""),4625.0)</f>
        <v>4625</v>
      </c>
      <c r="E351" s="1">
        <f>IFERROR(__xludf.DUMMYFUNCTION("""COMPUTED_VALUE"""),4635.0)</f>
        <v>4635</v>
      </c>
      <c r="F351" s="1">
        <f>IFERROR(__xludf.DUMMYFUNCTION("""COMPUTED_VALUE"""),25080.0)</f>
        <v>25080</v>
      </c>
    </row>
    <row r="352">
      <c r="A352" s="2">
        <f>IFERROR(__xludf.DUMMYFUNCTION("""COMPUTED_VALUE"""),41424.645833333336)</f>
        <v>41424.64583</v>
      </c>
      <c r="B352" s="1">
        <f>IFERROR(__xludf.DUMMYFUNCTION("""COMPUTED_VALUE"""),4775.0)</f>
        <v>4775</v>
      </c>
      <c r="C352" s="1">
        <f>IFERROR(__xludf.DUMMYFUNCTION("""COMPUTED_VALUE"""),5040.0)</f>
        <v>5040</v>
      </c>
      <c r="D352" s="1">
        <f>IFERROR(__xludf.DUMMYFUNCTION("""COMPUTED_VALUE"""),4625.0)</f>
        <v>4625</v>
      </c>
      <c r="E352" s="1">
        <f>IFERROR(__xludf.DUMMYFUNCTION("""COMPUTED_VALUE"""),4940.0)</f>
        <v>4940</v>
      </c>
      <c r="F352" s="1">
        <f>IFERROR(__xludf.DUMMYFUNCTION("""COMPUTED_VALUE"""),145160.0)</f>
        <v>145160</v>
      </c>
    </row>
    <row r="353">
      <c r="A353" s="2">
        <f>IFERROR(__xludf.DUMMYFUNCTION("""COMPUTED_VALUE"""),41425.645833333336)</f>
        <v>41425.64583</v>
      </c>
      <c r="B353" s="1">
        <f>IFERROR(__xludf.DUMMYFUNCTION("""COMPUTED_VALUE"""),4940.0)</f>
        <v>4940</v>
      </c>
      <c r="C353" s="1">
        <f>IFERROR(__xludf.DUMMYFUNCTION("""COMPUTED_VALUE"""),5000.0)</f>
        <v>5000</v>
      </c>
      <c r="D353" s="1">
        <f>IFERROR(__xludf.DUMMYFUNCTION("""COMPUTED_VALUE"""),4735.0)</f>
        <v>4735</v>
      </c>
      <c r="E353" s="1">
        <f>IFERROR(__xludf.DUMMYFUNCTION("""COMPUTED_VALUE"""),4915.0)</f>
        <v>4915</v>
      </c>
      <c r="F353" s="1">
        <f>IFERROR(__xludf.DUMMYFUNCTION("""COMPUTED_VALUE"""),29890.0)</f>
        <v>29890</v>
      </c>
    </row>
    <row r="354">
      <c r="A354" s="2">
        <f>IFERROR(__xludf.DUMMYFUNCTION("""COMPUTED_VALUE"""),41428.645833333336)</f>
        <v>41428.64583</v>
      </c>
      <c r="B354" s="1">
        <f>IFERROR(__xludf.DUMMYFUNCTION("""COMPUTED_VALUE"""),4935.0)</f>
        <v>4935</v>
      </c>
      <c r="C354" s="1">
        <f>IFERROR(__xludf.DUMMYFUNCTION("""COMPUTED_VALUE"""),5090.0)</f>
        <v>5090</v>
      </c>
      <c r="D354" s="1">
        <f>IFERROR(__xludf.DUMMYFUNCTION("""COMPUTED_VALUE"""),4920.0)</f>
        <v>4920</v>
      </c>
      <c r="E354" s="1">
        <f>IFERROR(__xludf.DUMMYFUNCTION("""COMPUTED_VALUE"""),4960.0)</f>
        <v>4960</v>
      </c>
      <c r="F354" s="1">
        <f>IFERROR(__xludf.DUMMYFUNCTION("""COMPUTED_VALUE"""),63482.0)</f>
        <v>63482</v>
      </c>
    </row>
    <row r="355">
      <c r="A355" s="2">
        <f>IFERROR(__xludf.DUMMYFUNCTION("""COMPUTED_VALUE"""),41429.645833333336)</f>
        <v>41429.64583</v>
      </c>
      <c r="B355" s="1">
        <f>IFERROR(__xludf.DUMMYFUNCTION("""COMPUTED_VALUE"""),5020.0)</f>
        <v>5020</v>
      </c>
      <c r="C355" s="1">
        <f>IFERROR(__xludf.DUMMYFUNCTION("""COMPUTED_VALUE"""),5070.0)</f>
        <v>5070</v>
      </c>
      <c r="D355" s="1">
        <f>IFERROR(__xludf.DUMMYFUNCTION("""COMPUTED_VALUE"""),4785.0)</f>
        <v>4785</v>
      </c>
      <c r="E355" s="1">
        <f>IFERROR(__xludf.DUMMYFUNCTION("""COMPUTED_VALUE"""),4785.0)</f>
        <v>4785</v>
      </c>
      <c r="F355" s="1">
        <f>IFERROR(__xludf.DUMMYFUNCTION("""COMPUTED_VALUE"""),30070.0)</f>
        <v>30070</v>
      </c>
    </row>
    <row r="356">
      <c r="A356" s="2">
        <f>IFERROR(__xludf.DUMMYFUNCTION("""COMPUTED_VALUE"""),41430.645833333336)</f>
        <v>41430.64583</v>
      </c>
      <c r="B356" s="1">
        <f>IFERROR(__xludf.DUMMYFUNCTION("""COMPUTED_VALUE"""),4790.0)</f>
        <v>4790</v>
      </c>
      <c r="C356" s="1">
        <f>IFERROR(__xludf.DUMMYFUNCTION("""COMPUTED_VALUE"""),4985.0)</f>
        <v>4985</v>
      </c>
      <c r="D356" s="1">
        <f>IFERROR(__xludf.DUMMYFUNCTION("""COMPUTED_VALUE"""),4750.0)</f>
        <v>4750</v>
      </c>
      <c r="E356" s="1">
        <f>IFERROR(__xludf.DUMMYFUNCTION("""COMPUTED_VALUE"""),4850.0)</f>
        <v>4850</v>
      </c>
      <c r="F356" s="1">
        <f>IFERROR(__xludf.DUMMYFUNCTION("""COMPUTED_VALUE"""),62870.0)</f>
        <v>62870</v>
      </c>
    </row>
    <row r="357">
      <c r="A357" s="2">
        <f>IFERROR(__xludf.DUMMYFUNCTION("""COMPUTED_VALUE"""),41432.645833333336)</f>
        <v>41432.64583</v>
      </c>
      <c r="B357" s="1">
        <f>IFERROR(__xludf.DUMMYFUNCTION("""COMPUTED_VALUE"""),4750.0)</f>
        <v>4750</v>
      </c>
      <c r="C357" s="1">
        <f>IFERROR(__xludf.DUMMYFUNCTION("""COMPUTED_VALUE"""),4985.0)</f>
        <v>4985</v>
      </c>
      <c r="D357" s="1">
        <f>IFERROR(__xludf.DUMMYFUNCTION("""COMPUTED_VALUE"""),4630.0)</f>
        <v>4630</v>
      </c>
      <c r="E357" s="1">
        <f>IFERROR(__xludf.DUMMYFUNCTION("""COMPUTED_VALUE"""),4755.0)</f>
        <v>4755</v>
      </c>
      <c r="F357" s="1">
        <f>IFERROR(__xludf.DUMMYFUNCTION("""COMPUTED_VALUE"""),62530.0)</f>
        <v>62530</v>
      </c>
    </row>
    <row r="358">
      <c r="A358" s="2">
        <f>IFERROR(__xludf.DUMMYFUNCTION("""COMPUTED_VALUE"""),41435.645833333336)</f>
        <v>41435.64583</v>
      </c>
      <c r="B358" s="1">
        <f>IFERROR(__xludf.DUMMYFUNCTION("""COMPUTED_VALUE"""),4750.0)</f>
        <v>4750</v>
      </c>
      <c r="C358" s="1">
        <f>IFERROR(__xludf.DUMMYFUNCTION("""COMPUTED_VALUE"""),4930.0)</f>
        <v>4930</v>
      </c>
      <c r="D358" s="1">
        <f>IFERROR(__xludf.DUMMYFUNCTION("""COMPUTED_VALUE"""),4725.0)</f>
        <v>4725</v>
      </c>
      <c r="E358" s="1">
        <f>IFERROR(__xludf.DUMMYFUNCTION("""COMPUTED_VALUE"""),4895.0)</f>
        <v>4895</v>
      </c>
      <c r="F358" s="1">
        <f>IFERROR(__xludf.DUMMYFUNCTION("""COMPUTED_VALUE"""),50640.0)</f>
        <v>50640</v>
      </c>
    </row>
    <row r="359">
      <c r="A359" s="2">
        <f>IFERROR(__xludf.DUMMYFUNCTION("""COMPUTED_VALUE"""),41436.645833333336)</f>
        <v>41436.64583</v>
      </c>
      <c r="B359" s="1">
        <f>IFERROR(__xludf.DUMMYFUNCTION("""COMPUTED_VALUE"""),4895.0)</f>
        <v>4895</v>
      </c>
      <c r="C359" s="1">
        <f>IFERROR(__xludf.DUMMYFUNCTION("""COMPUTED_VALUE"""),4895.0)</f>
        <v>4895</v>
      </c>
      <c r="D359" s="1">
        <f>IFERROR(__xludf.DUMMYFUNCTION("""COMPUTED_VALUE"""),4750.0)</f>
        <v>4750</v>
      </c>
      <c r="E359" s="1">
        <f>IFERROR(__xludf.DUMMYFUNCTION("""COMPUTED_VALUE"""),4840.0)</f>
        <v>4840</v>
      </c>
      <c r="F359" s="1">
        <f>IFERROR(__xludf.DUMMYFUNCTION("""COMPUTED_VALUE"""),48781.0)</f>
        <v>48781</v>
      </c>
    </row>
    <row r="360">
      <c r="A360" s="2">
        <f>IFERROR(__xludf.DUMMYFUNCTION("""COMPUTED_VALUE"""),41437.645833333336)</f>
        <v>41437.64583</v>
      </c>
      <c r="B360" s="1">
        <f>IFERROR(__xludf.DUMMYFUNCTION("""COMPUTED_VALUE"""),4740.0)</f>
        <v>4740</v>
      </c>
      <c r="C360" s="1">
        <f>IFERROR(__xludf.DUMMYFUNCTION("""COMPUTED_VALUE"""),4890.0)</f>
        <v>4890</v>
      </c>
      <c r="D360" s="1">
        <f>IFERROR(__xludf.DUMMYFUNCTION("""COMPUTED_VALUE"""),4725.0)</f>
        <v>4725</v>
      </c>
      <c r="E360" s="1">
        <f>IFERROR(__xludf.DUMMYFUNCTION("""COMPUTED_VALUE"""),4885.0)</f>
        <v>4885</v>
      </c>
      <c r="F360" s="1">
        <f>IFERROR(__xludf.DUMMYFUNCTION("""COMPUTED_VALUE"""),44162.0)</f>
        <v>44162</v>
      </c>
    </row>
    <row r="361">
      <c r="A361" s="2">
        <f>IFERROR(__xludf.DUMMYFUNCTION("""COMPUTED_VALUE"""),41438.645833333336)</f>
        <v>41438.64583</v>
      </c>
      <c r="B361" s="1">
        <f>IFERROR(__xludf.DUMMYFUNCTION("""COMPUTED_VALUE"""),4810.0)</f>
        <v>4810</v>
      </c>
      <c r="C361" s="1">
        <f>IFERROR(__xludf.DUMMYFUNCTION("""COMPUTED_VALUE"""),4885.0)</f>
        <v>4885</v>
      </c>
      <c r="D361" s="1">
        <f>IFERROR(__xludf.DUMMYFUNCTION("""COMPUTED_VALUE"""),4755.0)</f>
        <v>4755</v>
      </c>
      <c r="E361" s="1">
        <f>IFERROR(__xludf.DUMMYFUNCTION("""COMPUTED_VALUE"""),4865.0)</f>
        <v>4865</v>
      </c>
      <c r="F361" s="1">
        <f>IFERROR(__xludf.DUMMYFUNCTION("""COMPUTED_VALUE"""),48350.0)</f>
        <v>48350</v>
      </c>
    </row>
    <row r="362">
      <c r="A362" s="2">
        <f>IFERROR(__xludf.DUMMYFUNCTION("""COMPUTED_VALUE"""),41439.645833333336)</f>
        <v>41439.64583</v>
      </c>
      <c r="B362" s="1">
        <f>IFERROR(__xludf.DUMMYFUNCTION("""COMPUTED_VALUE"""),4820.0)</f>
        <v>4820</v>
      </c>
      <c r="C362" s="1">
        <f>IFERROR(__xludf.DUMMYFUNCTION("""COMPUTED_VALUE"""),4955.0)</f>
        <v>4955</v>
      </c>
      <c r="D362" s="1">
        <f>IFERROR(__xludf.DUMMYFUNCTION("""COMPUTED_VALUE"""),4820.0)</f>
        <v>4820</v>
      </c>
      <c r="E362" s="1">
        <f>IFERROR(__xludf.DUMMYFUNCTION("""COMPUTED_VALUE"""),4895.0)</f>
        <v>4895</v>
      </c>
      <c r="F362" s="1">
        <f>IFERROR(__xludf.DUMMYFUNCTION("""COMPUTED_VALUE"""),61270.0)</f>
        <v>61270</v>
      </c>
    </row>
    <row r="363">
      <c r="A363" s="2">
        <f>IFERROR(__xludf.DUMMYFUNCTION("""COMPUTED_VALUE"""),41442.645833333336)</f>
        <v>41442.64583</v>
      </c>
      <c r="B363" s="1">
        <f>IFERROR(__xludf.DUMMYFUNCTION("""COMPUTED_VALUE"""),4840.0)</f>
        <v>4840</v>
      </c>
      <c r="C363" s="1">
        <f>IFERROR(__xludf.DUMMYFUNCTION("""COMPUTED_VALUE"""),4890.0)</f>
        <v>4890</v>
      </c>
      <c r="D363" s="1">
        <f>IFERROR(__xludf.DUMMYFUNCTION("""COMPUTED_VALUE"""),4695.0)</f>
        <v>4695</v>
      </c>
      <c r="E363" s="1">
        <f>IFERROR(__xludf.DUMMYFUNCTION("""COMPUTED_VALUE"""),4730.0)</f>
        <v>4730</v>
      </c>
      <c r="F363" s="1">
        <f>IFERROR(__xludf.DUMMYFUNCTION("""COMPUTED_VALUE"""),52443.0)</f>
        <v>52443</v>
      </c>
    </row>
    <row r="364">
      <c r="A364" s="2">
        <f>IFERROR(__xludf.DUMMYFUNCTION("""COMPUTED_VALUE"""),41443.645833333336)</f>
        <v>41443.64583</v>
      </c>
      <c r="B364" s="1">
        <f>IFERROR(__xludf.DUMMYFUNCTION("""COMPUTED_VALUE"""),4740.0)</f>
        <v>4740</v>
      </c>
      <c r="C364" s="1">
        <f>IFERROR(__xludf.DUMMYFUNCTION("""COMPUTED_VALUE"""),4815.0)</f>
        <v>4815</v>
      </c>
      <c r="D364" s="1">
        <f>IFERROR(__xludf.DUMMYFUNCTION("""COMPUTED_VALUE"""),4740.0)</f>
        <v>4740</v>
      </c>
      <c r="E364" s="1">
        <f>IFERROR(__xludf.DUMMYFUNCTION("""COMPUTED_VALUE"""),4800.0)</f>
        <v>4800</v>
      </c>
      <c r="F364" s="1">
        <f>IFERROR(__xludf.DUMMYFUNCTION("""COMPUTED_VALUE"""),33610.0)</f>
        <v>33610</v>
      </c>
    </row>
    <row r="365">
      <c r="A365" s="2">
        <f>IFERROR(__xludf.DUMMYFUNCTION("""COMPUTED_VALUE"""),41444.645833333336)</f>
        <v>41444.64583</v>
      </c>
      <c r="B365" s="1">
        <f>IFERROR(__xludf.DUMMYFUNCTION("""COMPUTED_VALUE"""),4800.0)</f>
        <v>4800</v>
      </c>
      <c r="C365" s="1">
        <f>IFERROR(__xludf.DUMMYFUNCTION("""COMPUTED_VALUE"""),5000.0)</f>
        <v>5000</v>
      </c>
      <c r="D365" s="1">
        <f>IFERROR(__xludf.DUMMYFUNCTION("""COMPUTED_VALUE"""),4800.0)</f>
        <v>4800</v>
      </c>
      <c r="E365" s="1">
        <f>IFERROR(__xludf.DUMMYFUNCTION("""COMPUTED_VALUE"""),4975.0)</f>
        <v>4975</v>
      </c>
      <c r="F365" s="1">
        <f>IFERROR(__xludf.DUMMYFUNCTION("""COMPUTED_VALUE"""),70330.0)</f>
        <v>70330</v>
      </c>
    </row>
    <row r="366">
      <c r="A366" s="2">
        <f>IFERROR(__xludf.DUMMYFUNCTION("""COMPUTED_VALUE"""),41445.645833333336)</f>
        <v>41445.64583</v>
      </c>
      <c r="B366" s="1">
        <f>IFERROR(__xludf.DUMMYFUNCTION("""COMPUTED_VALUE"""),4920.0)</f>
        <v>4920</v>
      </c>
      <c r="C366" s="1">
        <f>IFERROR(__xludf.DUMMYFUNCTION("""COMPUTED_VALUE"""),5190.0)</f>
        <v>5190</v>
      </c>
      <c r="D366" s="1">
        <f>IFERROR(__xludf.DUMMYFUNCTION("""COMPUTED_VALUE"""),4805.0)</f>
        <v>4805</v>
      </c>
      <c r="E366" s="1">
        <f>IFERROR(__xludf.DUMMYFUNCTION("""COMPUTED_VALUE"""),5120.0)</f>
        <v>5120</v>
      </c>
      <c r="F366" s="1">
        <f>IFERROR(__xludf.DUMMYFUNCTION("""COMPUTED_VALUE"""),125520.0)</f>
        <v>125520</v>
      </c>
    </row>
    <row r="367">
      <c r="A367" s="2">
        <f>IFERROR(__xludf.DUMMYFUNCTION("""COMPUTED_VALUE"""),41446.645833333336)</f>
        <v>41446.64583</v>
      </c>
      <c r="B367" s="1">
        <f>IFERROR(__xludf.DUMMYFUNCTION("""COMPUTED_VALUE"""),5000.0)</f>
        <v>5000</v>
      </c>
      <c r="C367" s="1">
        <f>IFERROR(__xludf.DUMMYFUNCTION("""COMPUTED_VALUE"""),5070.0)</f>
        <v>5070</v>
      </c>
      <c r="D367" s="1">
        <f>IFERROR(__xludf.DUMMYFUNCTION("""COMPUTED_VALUE"""),4895.0)</f>
        <v>4895</v>
      </c>
      <c r="E367" s="1">
        <f>IFERROR(__xludf.DUMMYFUNCTION("""COMPUTED_VALUE"""),5020.0)</f>
        <v>5020</v>
      </c>
      <c r="F367" s="1">
        <f>IFERROR(__xludf.DUMMYFUNCTION("""COMPUTED_VALUE"""),55931.0)</f>
        <v>55931</v>
      </c>
    </row>
    <row r="368">
      <c r="A368" s="2">
        <f>IFERROR(__xludf.DUMMYFUNCTION("""COMPUTED_VALUE"""),41449.645833333336)</f>
        <v>41449.64583</v>
      </c>
      <c r="B368" s="1">
        <f>IFERROR(__xludf.DUMMYFUNCTION("""COMPUTED_VALUE"""),4990.0)</f>
        <v>4990</v>
      </c>
      <c r="C368" s="1">
        <f>IFERROR(__xludf.DUMMYFUNCTION("""COMPUTED_VALUE"""),5080.0)</f>
        <v>5080</v>
      </c>
      <c r="D368" s="1">
        <f>IFERROR(__xludf.DUMMYFUNCTION("""COMPUTED_VALUE"""),4870.0)</f>
        <v>4870</v>
      </c>
      <c r="E368" s="1">
        <f>IFERROR(__xludf.DUMMYFUNCTION("""COMPUTED_VALUE"""),4890.0)</f>
        <v>4890</v>
      </c>
      <c r="F368" s="1">
        <f>IFERROR(__xludf.DUMMYFUNCTION("""COMPUTED_VALUE"""),25210.0)</f>
        <v>25210</v>
      </c>
    </row>
    <row r="369">
      <c r="A369" s="2">
        <f>IFERROR(__xludf.DUMMYFUNCTION("""COMPUTED_VALUE"""),41450.645833333336)</f>
        <v>41450.64583</v>
      </c>
      <c r="B369" s="1">
        <f>IFERROR(__xludf.DUMMYFUNCTION("""COMPUTED_VALUE"""),4805.0)</f>
        <v>4805</v>
      </c>
      <c r="C369" s="1">
        <f>IFERROR(__xludf.DUMMYFUNCTION("""COMPUTED_VALUE"""),4865.0)</f>
        <v>4865</v>
      </c>
      <c r="D369" s="1">
        <f>IFERROR(__xludf.DUMMYFUNCTION("""COMPUTED_VALUE"""),4350.0)</f>
        <v>4350</v>
      </c>
      <c r="E369" s="1">
        <f>IFERROR(__xludf.DUMMYFUNCTION("""COMPUTED_VALUE"""),4485.0)</f>
        <v>4485</v>
      </c>
      <c r="F369" s="1">
        <f>IFERROR(__xludf.DUMMYFUNCTION("""COMPUTED_VALUE"""),100000.0)</f>
        <v>100000</v>
      </c>
    </row>
    <row r="370">
      <c r="A370" s="2">
        <f>IFERROR(__xludf.DUMMYFUNCTION("""COMPUTED_VALUE"""),41451.645833333336)</f>
        <v>41451.64583</v>
      </c>
      <c r="B370" s="1">
        <f>IFERROR(__xludf.DUMMYFUNCTION("""COMPUTED_VALUE"""),4645.0)</f>
        <v>4645</v>
      </c>
      <c r="C370" s="1">
        <f>IFERROR(__xludf.DUMMYFUNCTION("""COMPUTED_VALUE"""),4665.0)</f>
        <v>4665</v>
      </c>
      <c r="D370" s="1">
        <f>IFERROR(__xludf.DUMMYFUNCTION("""COMPUTED_VALUE"""),4530.0)</f>
        <v>4530</v>
      </c>
      <c r="E370" s="1">
        <f>IFERROR(__xludf.DUMMYFUNCTION("""COMPUTED_VALUE"""),4655.0)</f>
        <v>4655</v>
      </c>
      <c r="F370" s="1">
        <f>IFERROR(__xludf.DUMMYFUNCTION("""COMPUTED_VALUE"""),33650.0)</f>
        <v>33650</v>
      </c>
    </row>
    <row r="371">
      <c r="A371" s="2">
        <f>IFERROR(__xludf.DUMMYFUNCTION("""COMPUTED_VALUE"""),41452.645833333336)</f>
        <v>41452.64583</v>
      </c>
      <c r="B371" s="1">
        <f>IFERROR(__xludf.DUMMYFUNCTION("""COMPUTED_VALUE"""),4770.0)</f>
        <v>4770</v>
      </c>
      <c r="C371" s="1">
        <f>IFERROR(__xludf.DUMMYFUNCTION("""COMPUTED_VALUE"""),4800.0)</f>
        <v>4800</v>
      </c>
      <c r="D371" s="1">
        <f>IFERROR(__xludf.DUMMYFUNCTION("""COMPUTED_VALUE"""),4700.0)</f>
        <v>4700</v>
      </c>
      <c r="E371" s="1">
        <f>IFERROR(__xludf.DUMMYFUNCTION("""COMPUTED_VALUE"""),4755.0)</f>
        <v>4755</v>
      </c>
      <c r="F371" s="1">
        <f>IFERROR(__xludf.DUMMYFUNCTION("""COMPUTED_VALUE"""),36570.0)</f>
        <v>36570</v>
      </c>
    </row>
    <row r="372">
      <c r="A372" s="2">
        <f>IFERROR(__xludf.DUMMYFUNCTION("""COMPUTED_VALUE"""),41453.645833333336)</f>
        <v>41453.64583</v>
      </c>
      <c r="B372" s="1">
        <f>IFERROR(__xludf.DUMMYFUNCTION("""COMPUTED_VALUE"""),4800.0)</f>
        <v>4800</v>
      </c>
      <c r="C372" s="1">
        <f>IFERROR(__xludf.DUMMYFUNCTION("""COMPUTED_VALUE"""),5230.0)</f>
        <v>5230</v>
      </c>
      <c r="D372" s="1">
        <f>IFERROR(__xludf.DUMMYFUNCTION("""COMPUTED_VALUE"""),4800.0)</f>
        <v>4800</v>
      </c>
      <c r="E372" s="1">
        <f>IFERROR(__xludf.DUMMYFUNCTION("""COMPUTED_VALUE"""),5000.0)</f>
        <v>5000</v>
      </c>
      <c r="F372" s="1">
        <f>IFERROR(__xludf.DUMMYFUNCTION("""COMPUTED_VALUE"""),72422.0)</f>
        <v>72422</v>
      </c>
    </row>
    <row r="373">
      <c r="A373" s="2">
        <f>IFERROR(__xludf.DUMMYFUNCTION("""COMPUTED_VALUE"""),41456.645833333336)</f>
        <v>41456.64583</v>
      </c>
      <c r="B373" s="1">
        <f>IFERROR(__xludf.DUMMYFUNCTION("""COMPUTED_VALUE"""),5050.0)</f>
        <v>5050</v>
      </c>
      <c r="C373" s="1">
        <f>IFERROR(__xludf.DUMMYFUNCTION("""COMPUTED_VALUE"""),5100.0)</f>
        <v>5100</v>
      </c>
      <c r="D373" s="1">
        <f>IFERROR(__xludf.DUMMYFUNCTION("""COMPUTED_VALUE"""),5000.0)</f>
        <v>5000</v>
      </c>
      <c r="E373" s="1">
        <f>IFERROR(__xludf.DUMMYFUNCTION("""COMPUTED_VALUE"""),5000.0)</f>
        <v>5000</v>
      </c>
      <c r="F373" s="1">
        <f>IFERROR(__xludf.DUMMYFUNCTION("""COMPUTED_VALUE"""),19345.0)</f>
        <v>19345</v>
      </c>
    </row>
    <row r="374">
      <c r="A374" s="2">
        <f>IFERROR(__xludf.DUMMYFUNCTION("""COMPUTED_VALUE"""),41457.645833333336)</f>
        <v>41457.64583</v>
      </c>
      <c r="B374" s="1">
        <f>IFERROR(__xludf.DUMMYFUNCTION("""COMPUTED_VALUE"""),5020.0)</f>
        <v>5020</v>
      </c>
      <c r="C374" s="1">
        <f>IFERROR(__xludf.DUMMYFUNCTION("""COMPUTED_VALUE"""),5100.0)</f>
        <v>5100</v>
      </c>
      <c r="D374" s="1">
        <f>IFERROR(__xludf.DUMMYFUNCTION("""COMPUTED_VALUE"""),4970.0)</f>
        <v>4970</v>
      </c>
      <c r="E374" s="1">
        <f>IFERROR(__xludf.DUMMYFUNCTION("""COMPUTED_VALUE"""),5000.0)</f>
        <v>5000</v>
      </c>
      <c r="F374" s="1">
        <f>IFERROR(__xludf.DUMMYFUNCTION("""COMPUTED_VALUE"""),35393.0)</f>
        <v>35393</v>
      </c>
    </row>
    <row r="375">
      <c r="A375" s="2">
        <f>IFERROR(__xludf.DUMMYFUNCTION("""COMPUTED_VALUE"""),41458.645833333336)</f>
        <v>41458.64583</v>
      </c>
      <c r="B375" s="1">
        <f>IFERROR(__xludf.DUMMYFUNCTION("""COMPUTED_VALUE"""),5000.0)</f>
        <v>5000</v>
      </c>
      <c r="C375" s="1">
        <f>IFERROR(__xludf.DUMMYFUNCTION("""COMPUTED_VALUE"""),5100.0)</f>
        <v>5100</v>
      </c>
      <c r="D375" s="1">
        <f>IFERROR(__xludf.DUMMYFUNCTION("""COMPUTED_VALUE"""),4900.0)</f>
        <v>4900</v>
      </c>
      <c r="E375" s="1">
        <f>IFERROR(__xludf.DUMMYFUNCTION("""COMPUTED_VALUE"""),4970.0)</f>
        <v>4970</v>
      </c>
      <c r="F375" s="1">
        <f>IFERROR(__xludf.DUMMYFUNCTION("""COMPUTED_VALUE"""),33215.0)</f>
        <v>33215</v>
      </c>
    </row>
    <row r="376">
      <c r="A376" s="2">
        <f>IFERROR(__xludf.DUMMYFUNCTION("""COMPUTED_VALUE"""),41459.645833333336)</f>
        <v>41459.64583</v>
      </c>
      <c r="B376" s="1">
        <f>IFERROR(__xludf.DUMMYFUNCTION("""COMPUTED_VALUE"""),4970.0)</f>
        <v>4970</v>
      </c>
      <c r="C376" s="1">
        <f>IFERROR(__xludf.DUMMYFUNCTION("""COMPUTED_VALUE"""),5030.0)</f>
        <v>5030</v>
      </c>
      <c r="D376" s="1">
        <f>IFERROR(__xludf.DUMMYFUNCTION("""COMPUTED_VALUE"""),4450.0)</f>
        <v>4450</v>
      </c>
      <c r="E376" s="1">
        <f>IFERROR(__xludf.DUMMYFUNCTION("""COMPUTED_VALUE"""),4850.0)</f>
        <v>4850</v>
      </c>
      <c r="F376" s="1">
        <f>IFERROR(__xludf.DUMMYFUNCTION("""COMPUTED_VALUE"""),53990.0)</f>
        <v>53990</v>
      </c>
    </row>
    <row r="377">
      <c r="A377" s="2">
        <f>IFERROR(__xludf.DUMMYFUNCTION("""COMPUTED_VALUE"""),41460.645833333336)</f>
        <v>41460.64583</v>
      </c>
      <c r="B377" s="1">
        <f>IFERROR(__xludf.DUMMYFUNCTION("""COMPUTED_VALUE"""),4850.0)</f>
        <v>4850</v>
      </c>
      <c r="C377" s="1">
        <f>IFERROR(__xludf.DUMMYFUNCTION("""COMPUTED_VALUE"""),4950.0)</f>
        <v>4950</v>
      </c>
      <c r="D377" s="1">
        <f>IFERROR(__xludf.DUMMYFUNCTION("""COMPUTED_VALUE"""),4660.0)</f>
        <v>4660</v>
      </c>
      <c r="E377" s="1">
        <f>IFERROR(__xludf.DUMMYFUNCTION("""COMPUTED_VALUE"""),4700.0)</f>
        <v>4700</v>
      </c>
      <c r="F377" s="1">
        <f>IFERROR(__xludf.DUMMYFUNCTION("""COMPUTED_VALUE"""),55160.0)</f>
        <v>55160</v>
      </c>
    </row>
    <row r="378">
      <c r="A378" s="2">
        <f>IFERROR(__xludf.DUMMYFUNCTION("""COMPUTED_VALUE"""),41463.645833333336)</f>
        <v>41463.64583</v>
      </c>
      <c r="B378" s="1">
        <f>IFERROR(__xludf.DUMMYFUNCTION("""COMPUTED_VALUE"""),4700.0)</f>
        <v>4700</v>
      </c>
      <c r="C378" s="1">
        <f>IFERROR(__xludf.DUMMYFUNCTION("""COMPUTED_VALUE"""),4845.0)</f>
        <v>4845</v>
      </c>
      <c r="D378" s="1">
        <f>IFERROR(__xludf.DUMMYFUNCTION("""COMPUTED_VALUE"""),4700.0)</f>
        <v>4700</v>
      </c>
      <c r="E378" s="1">
        <f>IFERROR(__xludf.DUMMYFUNCTION("""COMPUTED_VALUE"""),4800.0)</f>
        <v>4800</v>
      </c>
      <c r="F378" s="1">
        <f>IFERROR(__xludf.DUMMYFUNCTION("""COMPUTED_VALUE"""),27766.0)</f>
        <v>27766</v>
      </c>
    </row>
    <row r="379">
      <c r="A379" s="2">
        <f>IFERROR(__xludf.DUMMYFUNCTION("""COMPUTED_VALUE"""),41464.645833333336)</f>
        <v>41464.64583</v>
      </c>
      <c r="B379" s="1">
        <f>IFERROR(__xludf.DUMMYFUNCTION("""COMPUTED_VALUE"""),4850.0)</f>
        <v>4850</v>
      </c>
      <c r="C379" s="1">
        <f>IFERROR(__xludf.DUMMYFUNCTION("""COMPUTED_VALUE"""),4900.0)</f>
        <v>4900</v>
      </c>
      <c r="D379" s="1">
        <f>IFERROR(__xludf.DUMMYFUNCTION("""COMPUTED_VALUE"""),4600.0)</f>
        <v>4600</v>
      </c>
      <c r="E379" s="1">
        <f>IFERROR(__xludf.DUMMYFUNCTION("""COMPUTED_VALUE"""),4850.0)</f>
        <v>4850</v>
      </c>
      <c r="F379" s="1">
        <f>IFERROR(__xludf.DUMMYFUNCTION("""COMPUTED_VALUE"""),32160.0)</f>
        <v>32160</v>
      </c>
    </row>
    <row r="380">
      <c r="A380" s="2">
        <f>IFERROR(__xludf.DUMMYFUNCTION("""COMPUTED_VALUE"""),41465.645833333336)</f>
        <v>41465.64583</v>
      </c>
      <c r="B380" s="1">
        <f>IFERROR(__xludf.DUMMYFUNCTION("""COMPUTED_VALUE"""),4850.0)</f>
        <v>4850</v>
      </c>
      <c r="C380" s="1">
        <f>IFERROR(__xludf.DUMMYFUNCTION("""COMPUTED_VALUE"""),4885.0)</f>
        <v>4885</v>
      </c>
      <c r="D380" s="1">
        <f>IFERROR(__xludf.DUMMYFUNCTION("""COMPUTED_VALUE"""),4825.0)</f>
        <v>4825</v>
      </c>
      <c r="E380" s="1">
        <f>IFERROR(__xludf.DUMMYFUNCTION("""COMPUTED_VALUE"""),4830.0)</f>
        <v>4830</v>
      </c>
      <c r="F380" s="1">
        <f>IFERROR(__xludf.DUMMYFUNCTION("""COMPUTED_VALUE"""),14400.0)</f>
        <v>14400</v>
      </c>
    </row>
    <row r="381">
      <c r="A381" s="2">
        <f>IFERROR(__xludf.DUMMYFUNCTION("""COMPUTED_VALUE"""),41466.645833333336)</f>
        <v>41466.64583</v>
      </c>
      <c r="B381" s="1">
        <f>IFERROR(__xludf.DUMMYFUNCTION("""COMPUTED_VALUE"""),4830.0)</f>
        <v>4830</v>
      </c>
      <c r="C381" s="1">
        <f>IFERROR(__xludf.DUMMYFUNCTION("""COMPUTED_VALUE"""),4890.0)</f>
        <v>4890</v>
      </c>
      <c r="D381" s="1">
        <f>IFERROR(__xludf.DUMMYFUNCTION("""COMPUTED_VALUE"""),4700.0)</f>
        <v>4700</v>
      </c>
      <c r="E381" s="1">
        <f>IFERROR(__xludf.DUMMYFUNCTION("""COMPUTED_VALUE"""),4840.0)</f>
        <v>4840</v>
      </c>
      <c r="F381" s="1">
        <f>IFERROR(__xludf.DUMMYFUNCTION("""COMPUTED_VALUE"""),30300.0)</f>
        <v>30300</v>
      </c>
    </row>
    <row r="382">
      <c r="A382" s="2">
        <f>IFERROR(__xludf.DUMMYFUNCTION("""COMPUTED_VALUE"""),41467.645833333336)</f>
        <v>41467.64583</v>
      </c>
      <c r="B382" s="1">
        <f>IFERROR(__xludf.DUMMYFUNCTION("""COMPUTED_VALUE"""),4820.0)</f>
        <v>4820</v>
      </c>
      <c r="C382" s="1">
        <f>IFERROR(__xludf.DUMMYFUNCTION("""COMPUTED_VALUE"""),4905.0)</f>
        <v>4905</v>
      </c>
      <c r="D382" s="1">
        <f>IFERROR(__xludf.DUMMYFUNCTION("""COMPUTED_VALUE"""),4820.0)</f>
        <v>4820</v>
      </c>
      <c r="E382" s="1">
        <f>IFERROR(__xludf.DUMMYFUNCTION("""COMPUTED_VALUE"""),4845.0)</f>
        <v>4845</v>
      </c>
      <c r="F382" s="1">
        <f>IFERROR(__xludf.DUMMYFUNCTION("""COMPUTED_VALUE"""),10320.0)</f>
        <v>10320</v>
      </c>
    </row>
    <row r="383">
      <c r="A383" s="2">
        <f>IFERROR(__xludf.DUMMYFUNCTION("""COMPUTED_VALUE"""),41470.645833333336)</f>
        <v>41470.64583</v>
      </c>
      <c r="B383" s="1">
        <f>IFERROR(__xludf.DUMMYFUNCTION("""COMPUTED_VALUE"""),4850.0)</f>
        <v>4850</v>
      </c>
      <c r="C383" s="1">
        <f>IFERROR(__xludf.DUMMYFUNCTION("""COMPUTED_VALUE"""),5040.0)</f>
        <v>5040</v>
      </c>
      <c r="D383" s="1">
        <f>IFERROR(__xludf.DUMMYFUNCTION("""COMPUTED_VALUE"""),4850.0)</f>
        <v>4850</v>
      </c>
      <c r="E383" s="1">
        <f>IFERROR(__xludf.DUMMYFUNCTION("""COMPUTED_VALUE"""),5020.0)</f>
        <v>5020</v>
      </c>
      <c r="F383" s="1">
        <f>IFERROR(__xludf.DUMMYFUNCTION("""COMPUTED_VALUE"""),38760.0)</f>
        <v>38760</v>
      </c>
    </row>
    <row r="384">
      <c r="A384" s="2">
        <f>IFERROR(__xludf.DUMMYFUNCTION("""COMPUTED_VALUE"""),41471.645833333336)</f>
        <v>41471.64583</v>
      </c>
      <c r="B384" s="1">
        <f>IFERROR(__xludf.DUMMYFUNCTION("""COMPUTED_VALUE"""),5180.0)</f>
        <v>5180</v>
      </c>
      <c r="C384" s="1">
        <f>IFERROR(__xludf.DUMMYFUNCTION("""COMPUTED_VALUE"""),5180.0)</f>
        <v>5180</v>
      </c>
      <c r="D384" s="1">
        <f>IFERROR(__xludf.DUMMYFUNCTION("""COMPUTED_VALUE"""),5020.0)</f>
        <v>5020</v>
      </c>
      <c r="E384" s="1">
        <f>IFERROR(__xludf.DUMMYFUNCTION("""COMPUTED_VALUE"""),5160.0)</f>
        <v>5160</v>
      </c>
      <c r="F384" s="1">
        <f>IFERROR(__xludf.DUMMYFUNCTION("""COMPUTED_VALUE"""),52375.0)</f>
        <v>52375</v>
      </c>
    </row>
    <row r="385">
      <c r="A385" s="2">
        <f>IFERROR(__xludf.DUMMYFUNCTION("""COMPUTED_VALUE"""),41472.645833333336)</f>
        <v>41472.64583</v>
      </c>
      <c r="B385" s="1">
        <f>IFERROR(__xludf.DUMMYFUNCTION("""COMPUTED_VALUE"""),5130.0)</f>
        <v>5130</v>
      </c>
      <c r="C385" s="1">
        <f>IFERROR(__xludf.DUMMYFUNCTION("""COMPUTED_VALUE"""),5430.0)</f>
        <v>5430</v>
      </c>
      <c r="D385" s="1">
        <f>IFERROR(__xludf.DUMMYFUNCTION("""COMPUTED_VALUE"""),5130.0)</f>
        <v>5130</v>
      </c>
      <c r="E385" s="1">
        <f>IFERROR(__xludf.DUMMYFUNCTION("""COMPUTED_VALUE"""),5340.0)</f>
        <v>5340</v>
      </c>
      <c r="F385" s="1">
        <f>IFERROR(__xludf.DUMMYFUNCTION("""COMPUTED_VALUE"""),122739.0)</f>
        <v>122739</v>
      </c>
    </row>
    <row r="386">
      <c r="A386" s="2">
        <f>IFERROR(__xludf.DUMMYFUNCTION("""COMPUTED_VALUE"""),41473.645833333336)</f>
        <v>41473.64583</v>
      </c>
      <c r="B386" s="1">
        <f>IFERROR(__xludf.DUMMYFUNCTION("""COMPUTED_VALUE"""),5390.0)</f>
        <v>5390</v>
      </c>
      <c r="C386" s="1">
        <f>IFERROR(__xludf.DUMMYFUNCTION("""COMPUTED_VALUE"""),5800.0)</f>
        <v>5800</v>
      </c>
      <c r="D386" s="1">
        <f>IFERROR(__xludf.DUMMYFUNCTION("""COMPUTED_VALUE"""),5250.0)</f>
        <v>5250</v>
      </c>
      <c r="E386" s="1">
        <f>IFERROR(__xludf.DUMMYFUNCTION("""COMPUTED_VALUE"""),5800.0)</f>
        <v>5800</v>
      </c>
      <c r="F386" s="1">
        <f>IFERROR(__xludf.DUMMYFUNCTION("""COMPUTED_VALUE"""),188936.0)</f>
        <v>188936</v>
      </c>
    </row>
    <row r="387">
      <c r="A387" s="2">
        <f>IFERROR(__xludf.DUMMYFUNCTION("""COMPUTED_VALUE"""),41474.645833333336)</f>
        <v>41474.64583</v>
      </c>
      <c r="B387" s="1">
        <f>IFERROR(__xludf.DUMMYFUNCTION("""COMPUTED_VALUE"""),5910.0)</f>
        <v>5910</v>
      </c>
      <c r="C387" s="1">
        <f>IFERROR(__xludf.DUMMYFUNCTION("""COMPUTED_VALUE"""),5910.0)</f>
        <v>5910</v>
      </c>
      <c r="D387" s="1">
        <f>IFERROR(__xludf.DUMMYFUNCTION("""COMPUTED_VALUE"""),5700.0)</f>
        <v>5700</v>
      </c>
      <c r="E387" s="1">
        <f>IFERROR(__xludf.DUMMYFUNCTION("""COMPUTED_VALUE"""),5800.0)</f>
        <v>5800</v>
      </c>
      <c r="F387" s="1">
        <f>IFERROR(__xludf.DUMMYFUNCTION("""COMPUTED_VALUE"""),156919.0)</f>
        <v>156919</v>
      </c>
    </row>
    <row r="388">
      <c r="A388" s="2">
        <f>IFERROR(__xludf.DUMMYFUNCTION("""COMPUTED_VALUE"""),41477.645833333336)</f>
        <v>41477.64583</v>
      </c>
      <c r="B388" s="1">
        <f>IFERROR(__xludf.DUMMYFUNCTION("""COMPUTED_VALUE"""),5760.0)</f>
        <v>5760</v>
      </c>
      <c r="C388" s="1">
        <f>IFERROR(__xludf.DUMMYFUNCTION("""COMPUTED_VALUE"""),5880.0)</f>
        <v>5880</v>
      </c>
      <c r="D388" s="1">
        <f>IFERROR(__xludf.DUMMYFUNCTION("""COMPUTED_VALUE"""),5670.0)</f>
        <v>5670</v>
      </c>
      <c r="E388" s="1">
        <f>IFERROR(__xludf.DUMMYFUNCTION("""COMPUTED_VALUE"""),5770.0)</f>
        <v>5770</v>
      </c>
      <c r="F388" s="1">
        <f>IFERROR(__xludf.DUMMYFUNCTION("""COMPUTED_VALUE"""),65550.0)</f>
        <v>65550</v>
      </c>
    </row>
    <row r="389">
      <c r="A389" s="2">
        <f>IFERROR(__xludf.DUMMYFUNCTION("""COMPUTED_VALUE"""),41478.645833333336)</f>
        <v>41478.64583</v>
      </c>
      <c r="B389" s="1">
        <f>IFERROR(__xludf.DUMMYFUNCTION("""COMPUTED_VALUE"""),5800.0)</f>
        <v>5800</v>
      </c>
      <c r="C389" s="1">
        <f>IFERROR(__xludf.DUMMYFUNCTION("""COMPUTED_VALUE"""),5920.0)</f>
        <v>5920</v>
      </c>
      <c r="D389" s="1">
        <f>IFERROR(__xludf.DUMMYFUNCTION("""COMPUTED_VALUE"""),5710.0)</f>
        <v>5710</v>
      </c>
      <c r="E389" s="1">
        <f>IFERROR(__xludf.DUMMYFUNCTION("""COMPUTED_VALUE"""),5790.0)</f>
        <v>5790</v>
      </c>
      <c r="F389" s="1">
        <f>IFERROR(__xludf.DUMMYFUNCTION("""COMPUTED_VALUE"""),91341.0)</f>
        <v>91341</v>
      </c>
    </row>
    <row r="390">
      <c r="A390" s="2">
        <f>IFERROR(__xludf.DUMMYFUNCTION("""COMPUTED_VALUE"""),41479.645833333336)</f>
        <v>41479.64583</v>
      </c>
      <c r="B390" s="1">
        <f>IFERROR(__xludf.DUMMYFUNCTION("""COMPUTED_VALUE"""),5900.0)</f>
        <v>5900</v>
      </c>
      <c r="C390" s="1">
        <f>IFERROR(__xludf.DUMMYFUNCTION("""COMPUTED_VALUE"""),5910.0)</f>
        <v>5910</v>
      </c>
      <c r="D390" s="1">
        <f>IFERROR(__xludf.DUMMYFUNCTION("""COMPUTED_VALUE"""),5760.0)</f>
        <v>5760</v>
      </c>
      <c r="E390" s="1">
        <f>IFERROR(__xludf.DUMMYFUNCTION("""COMPUTED_VALUE"""),5850.0)</f>
        <v>5850</v>
      </c>
      <c r="F390" s="1">
        <f>IFERROR(__xludf.DUMMYFUNCTION("""COMPUTED_VALUE"""),42852.0)</f>
        <v>42852</v>
      </c>
    </row>
    <row r="391">
      <c r="A391" s="2">
        <f>IFERROR(__xludf.DUMMYFUNCTION("""COMPUTED_VALUE"""),41480.645833333336)</f>
        <v>41480.64583</v>
      </c>
      <c r="B391" s="1">
        <f>IFERROR(__xludf.DUMMYFUNCTION("""COMPUTED_VALUE"""),5860.0)</f>
        <v>5860</v>
      </c>
      <c r="C391" s="1">
        <f>IFERROR(__xludf.DUMMYFUNCTION("""COMPUTED_VALUE"""),5860.0)</f>
        <v>5860</v>
      </c>
      <c r="D391" s="1">
        <f>IFERROR(__xludf.DUMMYFUNCTION("""COMPUTED_VALUE"""),5620.0)</f>
        <v>5620</v>
      </c>
      <c r="E391" s="1">
        <f>IFERROR(__xludf.DUMMYFUNCTION("""COMPUTED_VALUE"""),5780.0)</f>
        <v>5780</v>
      </c>
      <c r="F391" s="1">
        <f>IFERROR(__xludf.DUMMYFUNCTION("""COMPUTED_VALUE"""),72015.0)</f>
        <v>72015</v>
      </c>
    </row>
    <row r="392">
      <c r="A392" s="2">
        <f>IFERROR(__xludf.DUMMYFUNCTION("""COMPUTED_VALUE"""),41481.645833333336)</f>
        <v>41481.64583</v>
      </c>
      <c r="B392" s="1">
        <f>IFERROR(__xludf.DUMMYFUNCTION("""COMPUTED_VALUE"""),5800.0)</f>
        <v>5800</v>
      </c>
      <c r="C392" s="1">
        <f>IFERROR(__xludf.DUMMYFUNCTION("""COMPUTED_VALUE"""),6180.0)</f>
        <v>6180</v>
      </c>
      <c r="D392" s="1">
        <f>IFERROR(__xludf.DUMMYFUNCTION("""COMPUTED_VALUE"""),5770.0)</f>
        <v>5770</v>
      </c>
      <c r="E392" s="1">
        <f>IFERROR(__xludf.DUMMYFUNCTION("""COMPUTED_VALUE"""),6100.0)</f>
        <v>6100</v>
      </c>
      <c r="F392" s="1">
        <f>IFERROR(__xludf.DUMMYFUNCTION("""COMPUTED_VALUE"""),150358.0)</f>
        <v>150358</v>
      </c>
    </row>
    <row r="393">
      <c r="A393" s="2">
        <f>IFERROR(__xludf.DUMMYFUNCTION("""COMPUTED_VALUE"""),41484.645833333336)</f>
        <v>41484.64583</v>
      </c>
      <c r="B393" s="1">
        <f>IFERROR(__xludf.DUMMYFUNCTION("""COMPUTED_VALUE"""),6100.0)</f>
        <v>6100</v>
      </c>
      <c r="C393" s="1">
        <f>IFERROR(__xludf.DUMMYFUNCTION("""COMPUTED_VALUE"""),6150.0)</f>
        <v>6150</v>
      </c>
      <c r="D393" s="1">
        <f>IFERROR(__xludf.DUMMYFUNCTION("""COMPUTED_VALUE"""),5950.0)</f>
        <v>5950</v>
      </c>
      <c r="E393" s="1">
        <f>IFERROR(__xludf.DUMMYFUNCTION("""COMPUTED_VALUE"""),6050.0)</f>
        <v>6050</v>
      </c>
      <c r="F393" s="1">
        <f>IFERROR(__xludf.DUMMYFUNCTION("""COMPUTED_VALUE"""),69954.0)</f>
        <v>69954</v>
      </c>
    </row>
    <row r="394">
      <c r="A394" s="2">
        <f>IFERROR(__xludf.DUMMYFUNCTION("""COMPUTED_VALUE"""),41485.645833333336)</f>
        <v>41485.64583</v>
      </c>
      <c r="B394" s="1">
        <f>IFERROR(__xludf.DUMMYFUNCTION("""COMPUTED_VALUE"""),6150.0)</f>
        <v>6150</v>
      </c>
      <c r="C394" s="1">
        <f>IFERROR(__xludf.DUMMYFUNCTION("""COMPUTED_VALUE"""),6150.0)</f>
        <v>6150</v>
      </c>
      <c r="D394" s="1">
        <f>IFERROR(__xludf.DUMMYFUNCTION("""COMPUTED_VALUE"""),5980.0)</f>
        <v>5980</v>
      </c>
      <c r="E394" s="1">
        <f>IFERROR(__xludf.DUMMYFUNCTION("""COMPUTED_VALUE"""),6060.0)</f>
        <v>6060</v>
      </c>
      <c r="F394" s="1">
        <f>IFERROR(__xludf.DUMMYFUNCTION("""COMPUTED_VALUE"""),47103.0)</f>
        <v>47103</v>
      </c>
    </row>
    <row r="395">
      <c r="A395" s="2">
        <f>IFERROR(__xludf.DUMMYFUNCTION("""COMPUTED_VALUE"""),41486.645833333336)</f>
        <v>41486.64583</v>
      </c>
      <c r="B395" s="1">
        <f>IFERROR(__xludf.DUMMYFUNCTION("""COMPUTED_VALUE"""),6010.0)</f>
        <v>6010</v>
      </c>
      <c r="C395" s="1">
        <f>IFERROR(__xludf.DUMMYFUNCTION("""COMPUTED_VALUE"""),6080.0)</f>
        <v>6080</v>
      </c>
      <c r="D395" s="1">
        <f>IFERROR(__xludf.DUMMYFUNCTION("""COMPUTED_VALUE"""),5850.0)</f>
        <v>5850</v>
      </c>
      <c r="E395" s="1">
        <f>IFERROR(__xludf.DUMMYFUNCTION("""COMPUTED_VALUE"""),5850.0)</f>
        <v>5850</v>
      </c>
      <c r="F395" s="1">
        <f>IFERROR(__xludf.DUMMYFUNCTION("""COMPUTED_VALUE"""),121154.0)</f>
        <v>121154</v>
      </c>
    </row>
    <row r="396">
      <c r="A396" s="2">
        <f>IFERROR(__xludf.DUMMYFUNCTION("""COMPUTED_VALUE"""),41487.645833333336)</f>
        <v>41487.64583</v>
      </c>
      <c r="B396" s="1">
        <f>IFERROR(__xludf.DUMMYFUNCTION("""COMPUTED_VALUE"""),5850.0)</f>
        <v>5850</v>
      </c>
      <c r="C396" s="1">
        <f>IFERROR(__xludf.DUMMYFUNCTION("""COMPUTED_VALUE"""),6030.0)</f>
        <v>6030</v>
      </c>
      <c r="D396" s="1">
        <f>IFERROR(__xludf.DUMMYFUNCTION("""COMPUTED_VALUE"""),5800.0)</f>
        <v>5800</v>
      </c>
      <c r="E396" s="1">
        <f>IFERROR(__xludf.DUMMYFUNCTION("""COMPUTED_VALUE"""),5800.0)</f>
        <v>5800</v>
      </c>
      <c r="F396" s="1">
        <f>IFERROR(__xludf.DUMMYFUNCTION("""COMPUTED_VALUE"""),135731.0)</f>
        <v>135731</v>
      </c>
    </row>
    <row r="397">
      <c r="A397" s="2">
        <f>IFERROR(__xludf.DUMMYFUNCTION("""COMPUTED_VALUE"""),41488.645833333336)</f>
        <v>41488.64583</v>
      </c>
      <c r="B397" s="1">
        <f>IFERROR(__xludf.DUMMYFUNCTION("""COMPUTED_VALUE"""),5810.0)</f>
        <v>5810</v>
      </c>
      <c r="C397" s="1">
        <f>IFERROR(__xludf.DUMMYFUNCTION("""COMPUTED_VALUE"""),5900.0)</f>
        <v>5900</v>
      </c>
      <c r="D397" s="1">
        <f>IFERROR(__xludf.DUMMYFUNCTION("""COMPUTED_VALUE"""),5720.0)</f>
        <v>5720</v>
      </c>
      <c r="E397" s="1">
        <f>IFERROR(__xludf.DUMMYFUNCTION("""COMPUTED_VALUE"""),5900.0)</f>
        <v>5900</v>
      </c>
      <c r="F397" s="1">
        <f>IFERROR(__xludf.DUMMYFUNCTION("""COMPUTED_VALUE"""),79202.0)</f>
        <v>79202</v>
      </c>
    </row>
    <row r="398">
      <c r="A398" s="2">
        <f>IFERROR(__xludf.DUMMYFUNCTION("""COMPUTED_VALUE"""),41491.645833333336)</f>
        <v>41491.64583</v>
      </c>
      <c r="B398" s="1">
        <f>IFERROR(__xludf.DUMMYFUNCTION("""COMPUTED_VALUE"""),5820.0)</f>
        <v>5820</v>
      </c>
      <c r="C398" s="1">
        <f>IFERROR(__xludf.DUMMYFUNCTION("""COMPUTED_VALUE"""),5930.0)</f>
        <v>5930</v>
      </c>
      <c r="D398" s="1">
        <f>IFERROR(__xludf.DUMMYFUNCTION("""COMPUTED_VALUE"""),5800.0)</f>
        <v>5800</v>
      </c>
      <c r="E398" s="1">
        <f>IFERROR(__xludf.DUMMYFUNCTION("""COMPUTED_VALUE"""),5900.0)</f>
        <v>5900</v>
      </c>
      <c r="F398" s="1">
        <f>IFERROR(__xludf.DUMMYFUNCTION("""COMPUTED_VALUE"""),46369.0)</f>
        <v>46369</v>
      </c>
    </row>
    <row r="399">
      <c r="A399" s="2">
        <f>IFERROR(__xludf.DUMMYFUNCTION("""COMPUTED_VALUE"""),41492.645833333336)</f>
        <v>41492.64583</v>
      </c>
      <c r="B399" s="1">
        <f>IFERROR(__xludf.DUMMYFUNCTION("""COMPUTED_VALUE"""),5900.0)</f>
        <v>5900</v>
      </c>
      <c r="C399" s="1">
        <f>IFERROR(__xludf.DUMMYFUNCTION("""COMPUTED_VALUE"""),6000.0)</f>
        <v>6000</v>
      </c>
      <c r="D399" s="1">
        <f>IFERROR(__xludf.DUMMYFUNCTION("""COMPUTED_VALUE"""),5850.0)</f>
        <v>5850</v>
      </c>
      <c r="E399" s="1">
        <f>IFERROR(__xludf.DUMMYFUNCTION("""COMPUTED_VALUE"""),5910.0)</f>
        <v>5910</v>
      </c>
      <c r="F399" s="1">
        <f>IFERROR(__xludf.DUMMYFUNCTION("""COMPUTED_VALUE"""),43281.0)</f>
        <v>43281</v>
      </c>
    </row>
    <row r="400">
      <c r="A400" s="2">
        <f>IFERROR(__xludf.DUMMYFUNCTION("""COMPUTED_VALUE"""),41493.645833333336)</f>
        <v>41493.64583</v>
      </c>
      <c r="B400" s="1">
        <f>IFERROR(__xludf.DUMMYFUNCTION("""COMPUTED_VALUE"""),5820.0)</f>
        <v>5820</v>
      </c>
      <c r="C400" s="1">
        <f>IFERROR(__xludf.DUMMYFUNCTION("""COMPUTED_VALUE"""),5900.0)</f>
        <v>5900</v>
      </c>
      <c r="D400" s="1">
        <f>IFERROR(__xludf.DUMMYFUNCTION("""COMPUTED_VALUE"""),5750.0)</f>
        <v>5750</v>
      </c>
      <c r="E400" s="1">
        <f>IFERROR(__xludf.DUMMYFUNCTION("""COMPUTED_VALUE"""),5810.0)</f>
        <v>5810</v>
      </c>
      <c r="F400" s="1">
        <f>IFERROR(__xludf.DUMMYFUNCTION("""COMPUTED_VALUE"""),61071.0)</f>
        <v>61071</v>
      </c>
    </row>
    <row r="401">
      <c r="A401" s="2">
        <f>IFERROR(__xludf.DUMMYFUNCTION("""COMPUTED_VALUE"""),41494.645833333336)</f>
        <v>41494.64583</v>
      </c>
      <c r="B401" s="1">
        <f>IFERROR(__xludf.DUMMYFUNCTION("""COMPUTED_VALUE"""),5840.0)</f>
        <v>5840</v>
      </c>
      <c r="C401" s="1">
        <f>IFERROR(__xludf.DUMMYFUNCTION("""COMPUTED_VALUE"""),5910.0)</f>
        <v>5910</v>
      </c>
      <c r="D401" s="1">
        <f>IFERROR(__xludf.DUMMYFUNCTION("""COMPUTED_VALUE"""),5670.0)</f>
        <v>5670</v>
      </c>
      <c r="E401" s="1">
        <f>IFERROR(__xludf.DUMMYFUNCTION("""COMPUTED_VALUE"""),5910.0)</f>
        <v>5910</v>
      </c>
      <c r="F401" s="1">
        <f>IFERROR(__xludf.DUMMYFUNCTION("""COMPUTED_VALUE"""),71453.0)</f>
        <v>71453</v>
      </c>
    </row>
    <row r="402">
      <c r="A402" s="2">
        <f>IFERROR(__xludf.DUMMYFUNCTION("""COMPUTED_VALUE"""),41495.645833333336)</f>
        <v>41495.64583</v>
      </c>
      <c r="B402" s="1">
        <f>IFERROR(__xludf.DUMMYFUNCTION("""COMPUTED_VALUE"""),5900.0)</f>
        <v>5900</v>
      </c>
      <c r="C402" s="1">
        <f>IFERROR(__xludf.DUMMYFUNCTION("""COMPUTED_VALUE"""),5960.0)</f>
        <v>5960</v>
      </c>
      <c r="D402" s="1">
        <f>IFERROR(__xludf.DUMMYFUNCTION("""COMPUTED_VALUE"""),5790.0)</f>
        <v>5790</v>
      </c>
      <c r="E402" s="1">
        <f>IFERROR(__xludf.DUMMYFUNCTION("""COMPUTED_VALUE"""),5960.0)</f>
        <v>5960</v>
      </c>
      <c r="F402" s="1">
        <f>IFERROR(__xludf.DUMMYFUNCTION("""COMPUTED_VALUE"""),52920.0)</f>
        <v>52920</v>
      </c>
    </row>
    <row r="403">
      <c r="A403" s="2">
        <f>IFERROR(__xludf.DUMMYFUNCTION("""COMPUTED_VALUE"""),41498.645833333336)</f>
        <v>41498.64583</v>
      </c>
      <c r="B403" s="1">
        <f>IFERROR(__xludf.DUMMYFUNCTION("""COMPUTED_VALUE"""),5910.0)</f>
        <v>5910</v>
      </c>
      <c r="C403" s="1">
        <f>IFERROR(__xludf.DUMMYFUNCTION("""COMPUTED_VALUE"""),6180.0)</f>
        <v>6180</v>
      </c>
      <c r="D403" s="1">
        <f>IFERROR(__xludf.DUMMYFUNCTION("""COMPUTED_VALUE"""),5910.0)</f>
        <v>5910</v>
      </c>
      <c r="E403" s="1">
        <f>IFERROR(__xludf.DUMMYFUNCTION("""COMPUTED_VALUE"""),6100.0)</f>
        <v>6100</v>
      </c>
      <c r="F403" s="1">
        <f>IFERROR(__xludf.DUMMYFUNCTION("""COMPUTED_VALUE"""),109952.0)</f>
        <v>109952</v>
      </c>
    </row>
    <row r="404">
      <c r="A404" s="2">
        <f>IFERROR(__xludf.DUMMYFUNCTION("""COMPUTED_VALUE"""),41499.645833333336)</f>
        <v>41499.64583</v>
      </c>
      <c r="B404" s="1">
        <f>IFERROR(__xludf.DUMMYFUNCTION("""COMPUTED_VALUE"""),6200.0)</f>
        <v>6200</v>
      </c>
      <c r="C404" s="1">
        <f>IFERROR(__xludf.DUMMYFUNCTION("""COMPUTED_VALUE"""),6210.0)</f>
        <v>6210</v>
      </c>
      <c r="D404" s="1">
        <f>IFERROR(__xludf.DUMMYFUNCTION("""COMPUTED_VALUE"""),6080.0)</f>
        <v>6080</v>
      </c>
      <c r="E404" s="1">
        <f>IFERROR(__xludf.DUMMYFUNCTION("""COMPUTED_VALUE"""),6150.0)</f>
        <v>6150</v>
      </c>
      <c r="F404" s="1">
        <f>IFERROR(__xludf.DUMMYFUNCTION("""COMPUTED_VALUE"""),149919.0)</f>
        <v>149919</v>
      </c>
    </row>
    <row r="405">
      <c r="A405" s="2">
        <f>IFERROR(__xludf.DUMMYFUNCTION("""COMPUTED_VALUE"""),41500.645833333336)</f>
        <v>41500.64583</v>
      </c>
      <c r="B405" s="1">
        <f>IFERROR(__xludf.DUMMYFUNCTION("""COMPUTED_VALUE"""),6240.0)</f>
        <v>6240</v>
      </c>
      <c r="C405" s="1">
        <f>IFERROR(__xludf.DUMMYFUNCTION("""COMPUTED_VALUE"""),6240.0)</f>
        <v>6240</v>
      </c>
      <c r="D405" s="1">
        <f>IFERROR(__xludf.DUMMYFUNCTION("""COMPUTED_VALUE"""),6080.0)</f>
        <v>6080</v>
      </c>
      <c r="E405" s="1">
        <f>IFERROR(__xludf.DUMMYFUNCTION("""COMPUTED_VALUE"""),6120.0)</f>
        <v>6120</v>
      </c>
      <c r="F405" s="1">
        <f>IFERROR(__xludf.DUMMYFUNCTION("""COMPUTED_VALUE"""),67700.0)</f>
        <v>67700</v>
      </c>
    </row>
    <row r="406">
      <c r="A406" s="2">
        <f>IFERROR(__xludf.DUMMYFUNCTION("""COMPUTED_VALUE"""),41502.645833333336)</f>
        <v>41502.64583</v>
      </c>
      <c r="B406" s="1">
        <f>IFERROR(__xludf.DUMMYFUNCTION("""COMPUTED_VALUE"""),5980.0)</f>
        <v>5980</v>
      </c>
      <c r="C406" s="1">
        <f>IFERROR(__xludf.DUMMYFUNCTION("""COMPUTED_VALUE"""),6200.0)</f>
        <v>6200</v>
      </c>
      <c r="D406" s="1">
        <f>IFERROR(__xludf.DUMMYFUNCTION("""COMPUTED_VALUE"""),5930.0)</f>
        <v>5930</v>
      </c>
      <c r="E406" s="1">
        <f>IFERROR(__xludf.DUMMYFUNCTION("""COMPUTED_VALUE"""),6090.0)</f>
        <v>6090</v>
      </c>
      <c r="F406" s="1">
        <f>IFERROR(__xludf.DUMMYFUNCTION("""COMPUTED_VALUE"""),79005.0)</f>
        <v>79005</v>
      </c>
    </row>
    <row r="407">
      <c r="A407" s="2">
        <f>IFERROR(__xludf.DUMMYFUNCTION("""COMPUTED_VALUE"""),41505.645833333336)</f>
        <v>41505.64583</v>
      </c>
      <c r="B407" s="1">
        <f>IFERROR(__xludf.DUMMYFUNCTION("""COMPUTED_VALUE"""),6000.0)</f>
        <v>6000</v>
      </c>
      <c r="C407" s="1">
        <f>IFERROR(__xludf.DUMMYFUNCTION("""COMPUTED_VALUE"""),6130.0)</f>
        <v>6130</v>
      </c>
      <c r="D407" s="1">
        <f>IFERROR(__xludf.DUMMYFUNCTION("""COMPUTED_VALUE"""),5910.0)</f>
        <v>5910</v>
      </c>
      <c r="E407" s="1">
        <f>IFERROR(__xludf.DUMMYFUNCTION("""COMPUTED_VALUE"""),5940.0)</f>
        <v>5940</v>
      </c>
      <c r="F407" s="1">
        <f>IFERROR(__xludf.DUMMYFUNCTION("""COMPUTED_VALUE"""),53475.0)</f>
        <v>53475</v>
      </c>
    </row>
    <row r="408">
      <c r="A408" s="2">
        <f>IFERROR(__xludf.DUMMYFUNCTION("""COMPUTED_VALUE"""),41506.645833333336)</f>
        <v>41506.64583</v>
      </c>
      <c r="B408" s="1">
        <f>IFERROR(__xludf.DUMMYFUNCTION("""COMPUTED_VALUE"""),5890.0)</f>
        <v>5890</v>
      </c>
      <c r="C408" s="1">
        <f>IFERROR(__xludf.DUMMYFUNCTION("""COMPUTED_VALUE"""),5940.0)</f>
        <v>5940</v>
      </c>
      <c r="D408" s="1">
        <f>IFERROR(__xludf.DUMMYFUNCTION("""COMPUTED_VALUE"""),5580.0)</f>
        <v>5580</v>
      </c>
      <c r="E408" s="1">
        <f>IFERROR(__xludf.DUMMYFUNCTION("""COMPUTED_VALUE"""),5710.0)</f>
        <v>5710</v>
      </c>
      <c r="F408" s="1">
        <f>IFERROR(__xludf.DUMMYFUNCTION("""COMPUTED_VALUE"""),109720.0)</f>
        <v>109720</v>
      </c>
    </row>
    <row r="409">
      <c r="A409" s="2">
        <f>IFERROR(__xludf.DUMMYFUNCTION("""COMPUTED_VALUE"""),41507.645833333336)</f>
        <v>41507.64583</v>
      </c>
      <c r="B409" s="1">
        <f>IFERROR(__xludf.DUMMYFUNCTION("""COMPUTED_VALUE"""),5700.0)</f>
        <v>5700</v>
      </c>
      <c r="C409" s="1">
        <f>IFERROR(__xludf.DUMMYFUNCTION("""COMPUTED_VALUE"""),5700.0)</f>
        <v>5700</v>
      </c>
      <c r="D409" s="1">
        <f>IFERROR(__xludf.DUMMYFUNCTION("""COMPUTED_VALUE"""),5420.0)</f>
        <v>5420</v>
      </c>
      <c r="E409" s="1">
        <f>IFERROR(__xludf.DUMMYFUNCTION("""COMPUTED_VALUE"""),5600.0)</f>
        <v>5600</v>
      </c>
      <c r="F409" s="1">
        <f>IFERROR(__xludf.DUMMYFUNCTION("""COMPUTED_VALUE"""),116490.0)</f>
        <v>116490</v>
      </c>
    </row>
    <row r="410">
      <c r="A410" s="2">
        <f>IFERROR(__xludf.DUMMYFUNCTION("""COMPUTED_VALUE"""),41508.645833333336)</f>
        <v>41508.64583</v>
      </c>
      <c r="B410" s="1">
        <f>IFERROR(__xludf.DUMMYFUNCTION("""COMPUTED_VALUE"""),5500.0)</f>
        <v>5500</v>
      </c>
      <c r="C410" s="1">
        <f>IFERROR(__xludf.DUMMYFUNCTION("""COMPUTED_VALUE"""),5660.0)</f>
        <v>5660</v>
      </c>
      <c r="D410" s="1">
        <f>IFERROR(__xludf.DUMMYFUNCTION("""COMPUTED_VALUE"""),5410.0)</f>
        <v>5410</v>
      </c>
      <c r="E410" s="1">
        <f>IFERROR(__xludf.DUMMYFUNCTION("""COMPUTED_VALUE"""),5500.0)</f>
        <v>5500</v>
      </c>
      <c r="F410" s="1">
        <f>IFERROR(__xludf.DUMMYFUNCTION("""COMPUTED_VALUE"""),45018.0)</f>
        <v>45018</v>
      </c>
    </row>
    <row r="411">
      <c r="A411" s="2">
        <f>IFERROR(__xludf.DUMMYFUNCTION("""COMPUTED_VALUE"""),41509.645833333336)</f>
        <v>41509.64583</v>
      </c>
      <c r="B411" s="1">
        <f>IFERROR(__xludf.DUMMYFUNCTION("""COMPUTED_VALUE"""),5520.0)</f>
        <v>5520</v>
      </c>
      <c r="C411" s="1">
        <f>IFERROR(__xludf.DUMMYFUNCTION("""COMPUTED_VALUE"""),5760.0)</f>
        <v>5760</v>
      </c>
      <c r="D411" s="1">
        <f>IFERROR(__xludf.DUMMYFUNCTION("""COMPUTED_VALUE"""),5520.0)</f>
        <v>5520</v>
      </c>
      <c r="E411" s="1">
        <f>IFERROR(__xludf.DUMMYFUNCTION("""COMPUTED_VALUE"""),5710.0)</f>
        <v>5710</v>
      </c>
      <c r="F411" s="1">
        <f>IFERROR(__xludf.DUMMYFUNCTION("""COMPUTED_VALUE"""),49450.0)</f>
        <v>49450</v>
      </c>
    </row>
    <row r="412">
      <c r="A412" s="2">
        <f>IFERROR(__xludf.DUMMYFUNCTION("""COMPUTED_VALUE"""),41512.645833333336)</f>
        <v>41512.64583</v>
      </c>
      <c r="B412" s="1">
        <f>IFERROR(__xludf.DUMMYFUNCTION("""COMPUTED_VALUE"""),5710.0)</f>
        <v>5710</v>
      </c>
      <c r="C412" s="1">
        <f>IFERROR(__xludf.DUMMYFUNCTION("""COMPUTED_VALUE"""),5800.0)</f>
        <v>5800</v>
      </c>
      <c r="D412" s="1">
        <f>IFERROR(__xludf.DUMMYFUNCTION("""COMPUTED_VALUE"""),5700.0)</f>
        <v>5700</v>
      </c>
      <c r="E412" s="1">
        <f>IFERROR(__xludf.DUMMYFUNCTION("""COMPUTED_VALUE"""),5700.0)</f>
        <v>5700</v>
      </c>
      <c r="F412" s="1">
        <f>IFERROR(__xludf.DUMMYFUNCTION("""COMPUTED_VALUE"""),15050.0)</f>
        <v>15050</v>
      </c>
    </row>
    <row r="413">
      <c r="A413" s="2">
        <f>IFERROR(__xludf.DUMMYFUNCTION("""COMPUTED_VALUE"""),41513.645833333336)</f>
        <v>41513.64583</v>
      </c>
      <c r="B413" s="1">
        <f>IFERROR(__xludf.DUMMYFUNCTION("""COMPUTED_VALUE"""),5700.0)</f>
        <v>5700</v>
      </c>
      <c r="C413" s="1">
        <f>IFERROR(__xludf.DUMMYFUNCTION("""COMPUTED_VALUE"""),5890.0)</f>
        <v>5890</v>
      </c>
      <c r="D413" s="1">
        <f>IFERROR(__xludf.DUMMYFUNCTION("""COMPUTED_VALUE"""),5620.0)</f>
        <v>5620</v>
      </c>
      <c r="E413" s="1">
        <f>IFERROR(__xludf.DUMMYFUNCTION("""COMPUTED_VALUE"""),5890.0)</f>
        <v>5890</v>
      </c>
      <c r="F413" s="1">
        <f>IFERROR(__xludf.DUMMYFUNCTION("""COMPUTED_VALUE"""),46220.0)</f>
        <v>46220</v>
      </c>
    </row>
    <row r="414">
      <c r="A414" s="2">
        <f>IFERROR(__xludf.DUMMYFUNCTION("""COMPUTED_VALUE"""),41514.645833333336)</f>
        <v>41514.64583</v>
      </c>
      <c r="B414" s="1">
        <f>IFERROR(__xludf.DUMMYFUNCTION("""COMPUTED_VALUE"""),5880.0)</f>
        <v>5880</v>
      </c>
      <c r="C414" s="1">
        <f>IFERROR(__xludf.DUMMYFUNCTION("""COMPUTED_VALUE"""),5960.0)</f>
        <v>5960</v>
      </c>
      <c r="D414" s="1">
        <f>IFERROR(__xludf.DUMMYFUNCTION("""COMPUTED_VALUE"""),5620.0)</f>
        <v>5620</v>
      </c>
      <c r="E414" s="1">
        <f>IFERROR(__xludf.DUMMYFUNCTION("""COMPUTED_VALUE"""),5840.0)</f>
        <v>5840</v>
      </c>
      <c r="F414" s="1">
        <f>IFERROR(__xludf.DUMMYFUNCTION("""COMPUTED_VALUE"""),71212.0)</f>
        <v>71212</v>
      </c>
    </row>
    <row r="415">
      <c r="A415" s="2">
        <f>IFERROR(__xludf.DUMMYFUNCTION("""COMPUTED_VALUE"""),41515.645833333336)</f>
        <v>41515.64583</v>
      </c>
      <c r="B415" s="1">
        <f>IFERROR(__xludf.DUMMYFUNCTION("""COMPUTED_VALUE"""),5900.0)</f>
        <v>5900</v>
      </c>
      <c r="C415" s="1">
        <f>IFERROR(__xludf.DUMMYFUNCTION("""COMPUTED_VALUE"""),6100.0)</f>
        <v>6100</v>
      </c>
      <c r="D415" s="1">
        <f>IFERROR(__xludf.DUMMYFUNCTION("""COMPUTED_VALUE"""),5840.0)</f>
        <v>5840</v>
      </c>
      <c r="E415" s="1">
        <f>IFERROR(__xludf.DUMMYFUNCTION("""COMPUTED_VALUE"""),6050.0)</f>
        <v>6050</v>
      </c>
      <c r="F415" s="1">
        <f>IFERROR(__xludf.DUMMYFUNCTION("""COMPUTED_VALUE"""),103823.0)</f>
        <v>103823</v>
      </c>
    </row>
    <row r="416">
      <c r="A416" s="2">
        <f>IFERROR(__xludf.DUMMYFUNCTION("""COMPUTED_VALUE"""),41516.645833333336)</f>
        <v>41516.64583</v>
      </c>
      <c r="B416" s="1">
        <f>IFERROR(__xludf.DUMMYFUNCTION("""COMPUTED_VALUE"""),6050.0)</f>
        <v>6050</v>
      </c>
      <c r="C416" s="1">
        <f>IFERROR(__xludf.DUMMYFUNCTION("""COMPUTED_VALUE"""),6160.0)</f>
        <v>6160</v>
      </c>
      <c r="D416" s="1">
        <f>IFERROR(__xludf.DUMMYFUNCTION("""COMPUTED_VALUE"""),6010.0)</f>
        <v>6010</v>
      </c>
      <c r="E416" s="1">
        <f>IFERROR(__xludf.DUMMYFUNCTION("""COMPUTED_VALUE"""),6090.0)</f>
        <v>6090</v>
      </c>
      <c r="F416" s="1">
        <f>IFERROR(__xludf.DUMMYFUNCTION("""COMPUTED_VALUE"""),73644.0)</f>
        <v>73644</v>
      </c>
    </row>
    <row r="417">
      <c r="A417" s="2">
        <f>IFERROR(__xludf.DUMMYFUNCTION("""COMPUTED_VALUE"""),41519.645833333336)</f>
        <v>41519.64583</v>
      </c>
      <c r="B417" s="1">
        <f>IFERROR(__xludf.DUMMYFUNCTION("""COMPUTED_VALUE"""),6050.0)</f>
        <v>6050</v>
      </c>
      <c r="C417" s="1">
        <f>IFERROR(__xludf.DUMMYFUNCTION("""COMPUTED_VALUE"""),6050.0)</f>
        <v>6050</v>
      </c>
      <c r="D417" s="1">
        <f>IFERROR(__xludf.DUMMYFUNCTION("""COMPUTED_VALUE"""),5900.0)</f>
        <v>5900</v>
      </c>
      <c r="E417" s="1">
        <f>IFERROR(__xludf.DUMMYFUNCTION("""COMPUTED_VALUE"""),5970.0)</f>
        <v>5970</v>
      </c>
      <c r="F417" s="1">
        <f>IFERROR(__xludf.DUMMYFUNCTION("""COMPUTED_VALUE"""),23505.0)</f>
        <v>23505</v>
      </c>
    </row>
    <row r="418">
      <c r="A418" s="2">
        <f>IFERROR(__xludf.DUMMYFUNCTION("""COMPUTED_VALUE"""),41520.645833333336)</f>
        <v>41520.64583</v>
      </c>
      <c r="B418" s="1">
        <f>IFERROR(__xludf.DUMMYFUNCTION("""COMPUTED_VALUE"""),5970.0)</f>
        <v>5970</v>
      </c>
      <c r="C418" s="1">
        <f>IFERROR(__xludf.DUMMYFUNCTION("""COMPUTED_VALUE"""),6070.0)</f>
        <v>6070</v>
      </c>
      <c r="D418" s="1">
        <f>IFERROR(__xludf.DUMMYFUNCTION("""COMPUTED_VALUE"""),5800.0)</f>
        <v>5800</v>
      </c>
      <c r="E418" s="1">
        <f>IFERROR(__xludf.DUMMYFUNCTION("""COMPUTED_VALUE"""),5930.0)</f>
        <v>5930</v>
      </c>
      <c r="F418" s="1">
        <f>IFERROR(__xludf.DUMMYFUNCTION("""COMPUTED_VALUE"""),54126.0)</f>
        <v>54126</v>
      </c>
    </row>
    <row r="419">
      <c r="A419" s="2">
        <f>IFERROR(__xludf.DUMMYFUNCTION("""COMPUTED_VALUE"""),41521.645833333336)</f>
        <v>41521.64583</v>
      </c>
      <c r="B419" s="1">
        <f>IFERROR(__xludf.DUMMYFUNCTION("""COMPUTED_VALUE"""),5770.0)</f>
        <v>5770</v>
      </c>
      <c r="C419" s="1">
        <f>IFERROR(__xludf.DUMMYFUNCTION("""COMPUTED_VALUE"""),6250.0)</f>
        <v>6250</v>
      </c>
      <c r="D419" s="1">
        <f>IFERROR(__xludf.DUMMYFUNCTION("""COMPUTED_VALUE"""),5770.0)</f>
        <v>5770</v>
      </c>
      <c r="E419" s="1">
        <f>IFERROR(__xludf.DUMMYFUNCTION("""COMPUTED_VALUE"""),6230.0)</f>
        <v>6230</v>
      </c>
      <c r="F419" s="1">
        <f>IFERROR(__xludf.DUMMYFUNCTION("""COMPUTED_VALUE"""),103284.0)</f>
        <v>103284</v>
      </c>
    </row>
    <row r="420">
      <c r="A420" s="2">
        <f>IFERROR(__xludf.DUMMYFUNCTION("""COMPUTED_VALUE"""),41522.645833333336)</f>
        <v>41522.64583</v>
      </c>
      <c r="B420" s="1">
        <f>IFERROR(__xludf.DUMMYFUNCTION("""COMPUTED_VALUE"""),6250.0)</f>
        <v>6250</v>
      </c>
      <c r="C420" s="1">
        <f>IFERROR(__xludf.DUMMYFUNCTION("""COMPUTED_VALUE"""),6470.0)</f>
        <v>6470</v>
      </c>
      <c r="D420" s="1">
        <f>IFERROR(__xludf.DUMMYFUNCTION("""COMPUTED_VALUE"""),6250.0)</f>
        <v>6250</v>
      </c>
      <c r="E420" s="1">
        <f>IFERROR(__xludf.DUMMYFUNCTION("""COMPUTED_VALUE"""),6280.0)</f>
        <v>6280</v>
      </c>
      <c r="F420" s="1">
        <f>IFERROR(__xludf.DUMMYFUNCTION("""COMPUTED_VALUE"""),111260.0)</f>
        <v>111260</v>
      </c>
    </row>
    <row r="421">
      <c r="A421" s="2">
        <f>IFERROR(__xludf.DUMMYFUNCTION("""COMPUTED_VALUE"""),41523.645833333336)</f>
        <v>41523.64583</v>
      </c>
      <c r="B421" s="1">
        <f>IFERROR(__xludf.DUMMYFUNCTION("""COMPUTED_VALUE"""),6270.0)</f>
        <v>6270</v>
      </c>
      <c r="C421" s="1">
        <f>IFERROR(__xludf.DUMMYFUNCTION("""COMPUTED_VALUE"""),6300.0)</f>
        <v>6300</v>
      </c>
      <c r="D421" s="1">
        <f>IFERROR(__xludf.DUMMYFUNCTION("""COMPUTED_VALUE"""),6130.0)</f>
        <v>6130</v>
      </c>
      <c r="E421" s="1">
        <f>IFERROR(__xludf.DUMMYFUNCTION("""COMPUTED_VALUE"""),6150.0)</f>
        <v>6150</v>
      </c>
      <c r="F421" s="1">
        <f>IFERROR(__xludf.DUMMYFUNCTION("""COMPUTED_VALUE"""),47789.0)</f>
        <v>47789</v>
      </c>
    </row>
    <row r="422">
      <c r="A422" s="2">
        <f>IFERROR(__xludf.DUMMYFUNCTION("""COMPUTED_VALUE"""),41526.645833333336)</f>
        <v>41526.64583</v>
      </c>
      <c r="B422" s="1">
        <f>IFERROR(__xludf.DUMMYFUNCTION("""COMPUTED_VALUE"""),6070.0)</f>
        <v>6070</v>
      </c>
      <c r="C422" s="1">
        <f>IFERROR(__xludf.DUMMYFUNCTION("""COMPUTED_VALUE"""),6300.0)</f>
        <v>6300</v>
      </c>
      <c r="D422" s="1">
        <f>IFERROR(__xludf.DUMMYFUNCTION("""COMPUTED_VALUE"""),6070.0)</f>
        <v>6070</v>
      </c>
      <c r="E422" s="1">
        <f>IFERROR(__xludf.DUMMYFUNCTION("""COMPUTED_VALUE"""),6100.0)</f>
        <v>6100</v>
      </c>
      <c r="F422" s="1">
        <f>IFERROR(__xludf.DUMMYFUNCTION("""COMPUTED_VALUE"""),24347.0)</f>
        <v>24347</v>
      </c>
    </row>
    <row r="423">
      <c r="A423" s="2">
        <f>IFERROR(__xludf.DUMMYFUNCTION("""COMPUTED_VALUE"""),41527.645833333336)</f>
        <v>41527.64583</v>
      </c>
      <c r="B423" s="1">
        <f>IFERROR(__xludf.DUMMYFUNCTION("""COMPUTED_VALUE"""),6100.0)</f>
        <v>6100</v>
      </c>
      <c r="C423" s="1">
        <f>IFERROR(__xludf.DUMMYFUNCTION("""COMPUTED_VALUE"""),6200.0)</f>
        <v>6200</v>
      </c>
      <c r="D423" s="1">
        <f>IFERROR(__xludf.DUMMYFUNCTION("""COMPUTED_VALUE"""),6020.0)</f>
        <v>6020</v>
      </c>
      <c r="E423" s="1">
        <f>IFERROR(__xludf.DUMMYFUNCTION("""COMPUTED_VALUE"""),6200.0)</f>
        <v>6200</v>
      </c>
      <c r="F423" s="1">
        <f>IFERROR(__xludf.DUMMYFUNCTION("""COMPUTED_VALUE"""),31680.0)</f>
        <v>31680</v>
      </c>
    </row>
    <row r="424">
      <c r="A424" s="2">
        <f>IFERROR(__xludf.DUMMYFUNCTION("""COMPUTED_VALUE"""),41528.645833333336)</f>
        <v>41528.64583</v>
      </c>
      <c r="B424" s="1">
        <f>IFERROR(__xludf.DUMMYFUNCTION("""COMPUTED_VALUE"""),6310.0)</f>
        <v>6310</v>
      </c>
      <c r="C424" s="1">
        <f>IFERROR(__xludf.DUMMYFUNCTION("""COMPUTED_VALUE"""),6310.0)</f>
        <v>6310</v>
      </c>
      <c r="D424" s="1">
        <f>IFERROR(__xludf.DUMMYFUNCTION("""COMPUTED_VALUE"""),6150.0)</f>
        <v>6150</v>
      </c>
      <c r="E424" s="1">
        <f>IFERROR(__xludf.DUMMYFUNCTION("""COMPUTED_VALUE"""),6170.0)</f>
        <v>6170</v>
      </c>
      <c r="F424" s="1">
        <f>IFERROR(__xludf.DUMMYFUNCTION("""COMPUTED_VALUE"""),29254.0)</f>
        <v>29254</v>
      </c>
    </row>
    <row r="425">
      <c r="A425" s="2">
        <f>IFERROR(__xludf.DUMMYFUNCTION("""COMPUTED_VALUE"""),41529.645833333336)</f>
        <v>41529.64583</v>
      </c>
      <c r="B425" s="1">
        <f>IFERROR(__xludf.DUMMYFUNCTION("""COMPUTED_VALUE"""),6120.0)</f>
        <v>6120</v>
      </c>
      <c r="C425" s="1">
        <f>IFERROR(__xludf.DUMMYFUNCTION("""COMPUTED_VALUE"""),6170.0)</f>
        <v>6170</v>
      </c>
      <c r="D425" s="1">
        <f>IFERROR(__xludf.DUMMYFUNCTION("""COMPUTED_VALUE"""),5890.0)</f>
        <v>5890</v>
      </c>
      <c r="E425" s="1">
        <f>IFERROR(__xludf.DUMMYFUNCTION("""COMPUTED_VALUE"""),5990.0)</f>
        <v>5990</v>
      </c>
      <c r="F425" s="1">
        <f>IFERROR(__xludf.DUMMYFUNCTION("""COMPUTED_VALUE"""),103091.0)</f>
        <v>103091</v>
      </c>
    </row>
    <row r="426">
      <c r="A426" s="2">
        <f>IFERROR(__xludf.DUMMYFUNCTION("""COMPUTED_VALUE"""),41530.645833333336)</f>
        <v>41530.64583</v>
      </c>
      <c r="B426" s="1">
        <f>IFERROR(__xludf.DUMMYFUNCTION("""COMPUTED_VALUE"""),6000.0)</f>
        <v>6000</v>
      </c>
      <c r="C426" s="1">
        <f>IFERROR(__xludf.DUMMYFUNCTION("""COMPUTED_VALUE"""),6010.0)</f>
        <v>6010</v>
      </c>
      <c r="D426" s="1">
        <f>IFERROR(__xludf.DUMMYFUNCTION("""COMPUTED_VALUE"""),5800.0)</f>
        <v>5800</v>
      </c>
      <c r="E426" s="1">
        <f>IFERROR(__xludf.DUMMYFUNCTION("""COMPUTED_VALUE"""),5980.0)</f>
        <v>5980</v>
      </c>
      <c r="F426" s="1">
        <f>IFERROR(__xludf.DUMMYFUNCTION("""COMPUTED_VALUE"""),84472.0)</f>
        <v>84472</v>
      </c>
    </row>
    <row r="427">
      <c r="A427" s="2">
        <f>IFERROR(__xludf.DUMMYFUNCTION("""COMPUTED_VALUE"""),41533.645833333336)</f>
        <v>41533.64583</v>
      </c>
      <c r="B427" s="1">
        <f>IFERROR(__xludf.DUMMYFUNCTION("""COMPUTED_VALUE"""),5910.0)</f>
        <v>5910</v>
      </c>
      <c r="C427" s="1">
        <f>IFERROR(__xludf.DUMMYFUNCTION("""COMPUTED_VALUE"""),5980.0)</f>
        <v>5980</v>
      </c>
      <c r="D427" s="1">
        <f>IFERROR(__xludf.DUMMYFUNCTION("""COMPUTED_VALUE"""),5810.0)</f>
        <v>5810</v>
      </c>
      <c r="E427" s="1">
        <f>IFERROR(__xludf.DUMMYFUNCTION("""COMPUTED_VALUE"""),5960.0)</f>
        <v>5960</v>
      </c>
      <c r="F427" s="1">
        <f>IFERROR(__xludf.DUMMYFUNCTION("""COMPUTED_VALUE"""),27010.0)</f>
        <v>27010</v>
      </c>
    </row>
    <row r="428">
      <c r="A428" s="2">
        <f>IFERROR(__xludf.DUMMYFUNCTION("""COMPUTED_VALUE"""),41534.645833333336)</f>
        <v>41534.64583</v>
      </c>
      <c r="B428" s="1">
        <f>IFERROR(__xludf.DUMMYFUNCTION("""COMPUTED_VALUE"""),6000.0)</f>
        <v>6000</v>
      </c>
      <c r="C428" s="1">
        <f>IFERROR(__xludf.DUMMYFUNCTION("""COMPUTED_VALUE"""),6000.0)</f>
        <v>6000</v>
      </c>
      <c r="D428" s="1">
        <f>IFERROR(__xludf.DUMMYFUNCTION("""COMPUTED_VALUE"""),5790.0)</f>
        <v>5790</v>
      </c>
      <c r="E428" s="1">
        <f>IFERROR(__xludf.DUMMYFUNCTION("""COMPUTED_VALUE"""),5870.0)</f>
        <v>5870</v>
      </c>
      <c r="F428" s="1">
        <f>IFERROR(__xludf.DUMMYFUNCTION("""COMPUTED_VALUE"""),36180.0)</f>
        <v>36180</v>
      </c>
    </row>
    <row r="429">
      <c r="A429" s="2">
        <f>IFERROR(__xludf.DUMMYFUNCTION("""COMPUTED_VALUE"""),41540.645833333336)</f>
        <v>41540.64583</v>
      </c>
      <c r="B429" s="1">
        <f>IFERROR(__xludf.DUMMYFUNCTION("""COMPUTED_VALUE"""),6010.0)</f>
        <v>6010</v>
      </c>
      <c r="C429" s="1">
        <f>IFERROR(__xludf.DUMMYFUNCTION("""COMPUTED_VALUE"""),6010.0)</f>
        <v>6010</v>
      </c>
      <c r="D429" s="1">
        <f>IFERROR(__xludf.DUMMYFUNCTION("""COMPUTED_VALUE"""),5820.0)</f>
        <v>5820</v>
      </c>
      <c r="E429" s="1">
        <f>IFERROR(__xludf.DUMMYFUNCTION("""COMPUTED_VALUE"""),5930.0)</f>
        <v>5930</v>
      </c>
      <c r="F429" s="1">
        <f>IFERROR(__xludf.DUMMYFUNCTION("""COMPUTED_VALUE"""),57936.0)</f>
        <v>57936</v>
      </c>
    </row>
    <row r="430">
      <c r="A430" s="2">
        <f>IFERROR(__xludf.DUMMYFUNCTION("""COMPUTED_VALUE"""),41541.645833333336)</f>
        <v>41541.64583</v>
      </c>
      <c r="B430" s="1">
        <f>IFERROR(__xludf.DUMMYFUNCTION("""COMPUTED_VALUE"""),5860.0)</f>
        <v>5860</v>
      </c>
      <c r="C430" s="1">
        <f>IFERROR(__xludf.DUMMYFUNCTION("""COMPUTED_VALUE"""),6160.0)</f>
        <v>6160</v>
      </c>
      <c r="D430" s="1">
        <f>IFERROR(__xludf.DUMMYFUNCTION("""COMPUTED_VALUE"""),5850.0)</f>
        <v>5850</v>
      </c>
      <c r="E430" s="1">
        <f>IFERROR(__xludf.DUMMYFUNCTION("""COMPUTED_VALUE"""),6110.0)</f>
        <v>6110</v>
      </c>
      <c r="F430" s="1">
        <f>IFERROR(__xludf.DUMMYFUNCTION("""COMPUTED_VALUE"""),30860.0)</f>
        <v>30860</v>
      </c>
    </row>
    <row r="431">
      <c r="A431" s="2">
        <f>IFERROR(__xludf.DUMMYFUNCTION("""COMPUTED_VALUE"""),41542.645833333336)</f>
        <v>41542.64583</v>
      </c>
      <c r="B431" s="1">
        <f>IFERROR(__xludf.DUMMYFUNCTION("""COMPUTED_VALUE"""),6010.0)</f>
        <v>6010</v>
      </c>
      <c r="C431" s="1">
        <f>IFERROR(__xludf.DUMMYFUNCTION("""COMPUTED_VALUE"""),6180.0)</f>
        <v>6180</v>
      </c>
      <c r="D431" s="1">
        <f>IFERROR(__xludf.DUMMYFUNCTION("""COMPUTED_VALUE"""),6010.0)</f>
        <v>6010</v>
      </c>
      <c r="E431" s="1">
        <f>IFERROR(__xludf.DUMMYFUNCTION("""COMPUTED_VALUE"""),6120.0)</f>
        <v>6120</v>
      </c>
      <c r="F431" s="1">
        <f>IFERROR(__xludf.DUMMYFUNCTION("""COMPUTED_VALUE"""),15169.0)</f>
        <v>15169</v>
      </c>
    </row>
    <row r="432">
      <c r="A432" s="2">
        <f>IFERROR(__xludf.DUMMYFUNCTION("""COMPUTED_VALUE"""),41543.645833333336)</f>
        <v>41543.64583</v>
      </c>
      <c r="B432" s="1">
        <f>IFERROR(__xludf.DUMMYFUNCTION("""COMPUTED_VALUE"""),6120.0)</f>
        <v>6120</v>
      </c>
      <c r="C432" s="1">
        <f>IFERROR(__xludf.DUMMYFUNCTION("""COMPUTED_VALUE"""),6120.0)</f>
        <v>6120</v>
      </c>
      <c r="D432" s="1">
        <f>IFERROR(__xludf.DUMMYFUNCTION("""COMPUTED_VALUE"""),5920.0)</f>
        <v>5920</v>
      </c>
      <c r="E432" s="1">
        <f>IFERROR(__xludf.DUMMYFUNCTION("""COMPUTED_VALUE"""),6050.0)</f>
        <v>6050</v>
      </c>
      <c r="F432" s="1">
        <f>IFERROR(__xludf.DUMMYFUNCTION("""COMPUTED_VALUE"""),26709.0)</f>
        <v>26709</v>
      </c>
    </row>
    <row r="433">
      <c r="A433" s="2">
        <f>IFERROR(__xludf.DUMMYFUNCTION("""COMPUTED_VALUE"""),41544.645833333336)</f>
        <v>41544.64583</v>
      </c>
      <c r="B433" s="1">
        <f>IFERROR(__xludf.DUMMYFUNCTION("""COMPUTED_VALUE"""),5990.0)</f>
        <v>5990</v>
      </c>
      <c r="C433" s="1">
        <f>IFERROR(__xludf.DUMMYFUNCTION("""COMPUTED_VALUE"""),6090.0)</f>
        <v>6090</v>
      </c>
      <c r="D433" s="1">
        <f>IFERROR(__xludf.DUMMYFUNCTION("""COMPUTED_VALUE"""),5890.0)</f>
        <v>5890</v>
      </c>
      <c r="E433" s="1">
        <f>IFERROR(__xludf.DUMMYFUNCTION("""COMPUTED_VALUE"""),5890.0)</f>
        <v>5890</v>
      </c>
      <c r="F433" s="1">
        <f>IFERROR(__xludf.DUMMYFUNCTION("""COMPUTED_VALUE"""),34720.0)</f>
        <v>34720</v>
      </c>
    </row>
    <row r="434">
      <c r="A434" s="2">
        <f>IFERROR(__xludf.DUMMYFUNCTION("""COMPUTED_VALUE"""),41547.645833333336)</f>
        <v>41547.64583</v>
      </c>
      <c r="B434" s="1">
        <f>IFERROR(__xludf.DUMMYFUNCTION("""COMPUTED_VALUE"""),5860.0)</f>
        <v>5860</v>
      </c>
      <c r="C434" s="1">
        <f>IFERROR(__xludf.DUMMYFUNCTION("""COMPUTED_VALUE"""),6030.0)</f>
        <v>6030</v>
      </c>
      <c r="D434" s="1">
        <f>IFERROR(__xludf.DUMMYFUNCTION("""COMPUTED_VALUE"""),5860.0)</f>
        <v>5860</v>
      </c>
      <c r="E434" s="1">
        <f>IFERROR(__xludf.DUMMYFUNCTION("""COMPUTED_VALUE"""),6000.0)</f>
        <v>6000</v>
      </c>
      <c r="F434" s="1">
        <f>IFERROR(__xludf.DUMMYFUNCTION("""COMPUTED_VALUE"""),30000.0)</f>
        <v>30000</v>
      </c>
    </row>
    <row r="435">
      <c r="A435" s="2">
        <f>IFERROR(__xludf.DUMMYFUNCTION("""COMPUTED_VALUE"""),41548.645833333336)</f>
        <v>41548.64583</v>
      </c>
      <c r="B435" s="1">
        <f>IFERROR(__xludf.DUMMYFUNCTION("""COMPUTED_VALUE"""),6060.0)</f>
        <v>6060</v>
      </c>
      <c r="C435" s="1">
        <f>IFERROR(__xludf.DUMMYFUNCTION("""COMPUTED_VALUE"""),6060.0)</f>
        <v>6060</v>
      </c>
      <c r="D435" s="1">
        <f>IFERROR(__xludf.DUMMYFUNCTION("""COMPUTED_VALUE"""),5710.0)</f>
        <v>5710</v>
      </c>
      <c r="E435" s="1">
        <f>IFERROR(__xludf.DUMMYFUNCTION("""COMPUTED_VALUE"""),5920.0)</f>
        <v>5920</v>
      </c>
      <c r="F435" s="1">
        <f>IFERROR(__xludf.DUMMYFUNCTION("""COMPUTED_VALUE"""),34291.0)</f>
        <v>34291</v>
      </c>
    </row>
    <row r="436">
      <c r="A436" s="2">
        <f>IFERROR(__xludf.DUMMYFUNCTION("""COMPUTED_VALUE"""),41549.645833333336)</f>
        <v>41549.64583</v>
      </c>
      <c r="B436" s="1">
        <f>IFERROR(__xludf.DUMMYFUNCTION("""COMPUTED_VALUE"""),5990.0)</f>
        <v>5990</v>
      </c>
      <c r="C436" s="1">
        <f>IFERROR(__xludf.DUMMYFUNCTION("""COMPUTED_VALUE"""),5990.0)</f>
        <v>5990</v>
      </c>
      <c r="D436" s="1">
        <f>IFERROR(__xludf.DUMMYFUNCTION("""COMPUTED_VALUE"""),5810.0)</f>
        <v>5810</v>
      </c>
      <c r="E436" s="1">
        <f>IFERROR(__xludf.DUMMYFUNCTION("""COMPUTED_VALUE"""),5810.0)</f>
        <v>5810</v>
      </c>
      <c r="F436" s="1">
        <f>IFERROR(__xludf.DUMMYFUNCTION("""COMPUTED_VALUE"""),28800.0)</f>
        <v>28800</v>
      </c>
    </row>
    <row r="437">
      <c r="A437" s="2">
        <f>IFERROR(__xludf.DUMMYFUNCTION("""COMPUTED_VALUE"""),41551.645833333336)</f>
        <v>41551.64583</v>
      </c>
      <c r="B437" s="1">
        <f>IFERROR(__xludf.DUMMYFUNCTION("""COMPUTED_VALUE"""),5730.0)</f>
        <v>5730</v>
      </c>
      <c r="C437" s="1">
        <f>IFERROR(__xludf.DUMMYFUNCTION("""COMPUTED_VALUE"""),5880.0)</f>
        <v>5880</v>
      </c>
      <c r="D437" s="1">
        <f>IFERROR(__xludf.DUMMYFUNCTION("""COMPUTED_VALUE"""),5730.0)</f>
        <v>5730</v>
      </c>
      <c r="E437" s="1">
        <f>IFERROR(__xludf.DUMMYFUNCTION("""COMPUTED_VALUE"""),5880.0)</f>
        <v>5880</v>
      </c>
      <c r="F437" s="1">
        <f>IFERROR(__xludf.DUMMYFUNCTION("""COMPUTED_VALUE"""),16940.0)</f>
        <v>16940</v>
      </c>
    </row>
    <row r="438">
      <c r="A438" s="2">
        <f>IFERROR(__xludf.DUMMYFUNCTION("""COMPUTED_VALUE"""),41554.645833333336)</f>
        <v>41554.64583</v>
      </c>
      <c r="B438" s="1">
        <f>IFERROR(__xludf.DUMMYFUNCTION("""COMPUTED_VALUE"""),5830.0)</f>
        <v>5830</v>
      </c>
      <c r="C438" s="1">
        <f>IFERROR(__xludf.DUMMYFUNCTION("""COMPUTED_VALUE"""),5900.0)</f>
        <v>5900</v>
      </c>
      <c r="D438" s="1">
        <f>IFERROR(__xludf.DUMMYFUNCTION("""COMPUTED_VALUE"""),5780.0)</f>
        <v>5780</v>
      </c>
      <c r="E438" s="1">
        <f>IFERROR(__xludf.DUMMYFUNCTION("""COMPUTED_VALUE"""),5880.0)</f>
        <v>5880</v>
      </c>
      <c r="F438" s="1">
        <f>IFERROR(__xludf.DUMMYFUNCTION("""COMPUTED_VALUE"""),11871.0)</f>
        <v>11871</v>
      </c>
    </row>
    <row r="439">
      <c r="A439" s="2">
        <f>IFERROR(__xludf.DUMMYFUNCTION("""COMPUTED_VALUE"""),41555.645833333336)</f>
        <v>41555.64583</v>
      </c>
      <c r="B439" s="1">
        <f>IFERROR(__xludf.DUMMYFUNCTION("""COMPUTED_VALUE"""),5800.0)</f>
        <v>5800</v>
      </c>
      <c r="C439" s="1">
        <f>IFERROR(__xludf.DUMMYFUNCTION("""COMPUTED_VALUE"""),5980.0)</f>
        <v>5980</v>
      </c>
      <c r="D439" s="1">
        <f>IFERROR(__xludf.DUMMYFUNCTION("""COMPUTED_VALUE"""),5710.0)</f>
        <v>5710</v>
      </c>
      <c r="E439" s="1">
        <f>IFERROR(__xludf.DUMMYFUNCTION("""COMPUTED_VALUE"""),5810.0)</f>
        <v>5810</v>
      </c>
      <c r="F439" s="1">
        <f>IFERROR(__xludf.DUMMYFUNCTION("""COMPUTED_VALUE"""),29023.0)</f>
        <v>29023</v>
      </c>
    </row>
    <row r="440">
      <c r="A440" s="2">
        <f>IFERROR(__xludf.DUMMYFUNCTION("""COMPUTED_VALUE"""),41557.645833333336)</f>
        <v>41557.64583</v>
      </c>
      <c r="B440" s="1">
        <f>IFERROR(__xludf.DUMMYFUNCTION("""COMPUTED_VALUE"""),5810.0)</f>
        <v>5810</v>
      </c>
      <c r="C440" s="1">
        <f>IFERROR(__xludf.DUMMYFUNCTION("""COMPUTED_VALUE"""),5900.0)</f>
        <v>5900</v>
      </c>
      <c r="D440" s="1">
        <f>IFERROR(__xludf.DUMMYFUNCTION("""COMPUTED_VALUE"""),5690.0)</f>
        <v>5690</v>
      </c>
      <c r="E440" s="1">
        <f>IFERROR(__xludf.DUMMYFUNCTION("""COMPUTED_VALUE"""),5720.0)</f>
        <v>5720</v>
      </c>
      <c r="F440" s="1">
        <f>IFERROR(__xludf.DUMMYFUNCTION("""COMPUTED_VALUE"""),36000.0)</f>
        <v>36000</v>
      </c>
    </row>
    <row r="441">
      <c r="A441" s="2">
        <f>IFERROR(__xludf.DUMMYFUNCTION("""COMPUTED_VALUE"""),41558.645833333336)</f>
        <v>41558.64583</v>
      </c>
      <c r="B441" s="1">
        <f>IFERROR(__xludf.DUMMYFUNCTION("""COMPUTED_VALUE"""),5720.0)</f>
        <v>5720</v>
      </c>
      <c r="C441" s="1">
        <f>IFERROR(__xludf.DUMMYFUNCTION("""COMPUTED_VALUE"""),5790.0)</f>
        <v>5790</v>
      </c>
      <c r="D441" s="1">
        <f>IFERROR(__xludf.DUMMYFUNCTION("""COMPUTED_VALUE"""),5700.0)</f>
        <v>5700</v>
      </c>
      <c r="E441" s="1">
        <f>IFERROR(__xludf.DUMMYFUNCTION("""COMPUTED_VALUE"""),5790.0)</f>
        <v>5790</v>
      </c>
      <c r="F441" s="1">
        <f>IFERROR(__xludf.DUMMYFUNCTION("""COMPUTED_VALUE"""),27900.0)</f>
        <v>27900</v>
      </c>
    </row>
    <row r="442">
      <c r="A442" s="2">
        <f>IFERROR(__xludf.DUMMYFUNCTION("""COMPUTED_VALUE"""),41561.645833333336)</f>
        <v>41561.64583</v>
      </c>
      <c r="B442" s="1">
        <f>IFERROR(__xludf.DUMMYFUNCTION("""COMPUTED_VALUE"""),5790.0)</f>
        <v>5790</v>
      </c>
      <c r="C442" s="1">
        <f>IFERROR(__xludf.DUMMYFUNCTION("""COMPUTED_VALUE"""),6000.0)</f>
        <v>6000</v>
      </c>
      <c r="D442" s="1">
        <f>IFERROR(__xludf.DUMMYFUNCTION("""COMPUTED_VALUE"""),5790.0)</f>
        <v>5790</v>
      </c>
      <c r="E442" s="1">
        <f>IFERROR(__xludf.DUMMYFUNCTION("""COMPUTED_VALUE"""),5990.0)</f>
        <v>5990</v>
      </c>
      <c r="F442" s="1">
        <f>IFERROR(__xludf.DUMMYFUNCTION("""COMPUTED_VALUE"""),61370.0)</f>
        <v>61370</v>
      </c>
    </row>
    <row r="443">
      <c r="A443" s="2">
        <f>IFERROR(__xludf.DUMMYFUNCTION("""COMPUTED_VALUE"""),41562.645833333336)</f>
        <v>41562.64583</v>
      </c>
      <c r="B443" s="1">
        <f>IFERROR(__xludf.DUMMYFUNCTION("""COMPUTED_VALUE"""),5910.0)</f>
        <v>5910</v>
      </c>
      <c r="C443" s="1">
        <f>IFERROR(__xludf.DUMMYFUNCTION("""COMPUTED_VALUE"""),6120.0)</f>
        <v>6120</v>
      </c>
      <c r="D443" s="1">
        <f>IFERROR(__xludf.DUMMYFUNCTION("""COMPUTED_VALUE"""),5910.0)</f>
        <v>5910</v>
      </c>
      <c r="E443" s="1">
        <f>IFERROR(__xludf.DUMMYFUNCTION("""COMPUTED_VALUE"""),6040.0)</f>
        <v>6040</v>
      </c>
      <c r="F443" s="1">
        <f>IFERROR(__xludf.DUMMYFUNCTION("""COMPUTED_VALUE"""),82491.0)</f>
        <v>82491</v>
      </c>
    </row>
    <row r="444">
      <c r="A444" s="2">
        <f>IFERROR(__xludf.DUMMYFUNCTION("""COMPUTED_VALUE"""),41563.645833333336)</f>
        <v>41563.64583</v>
      </c>
      <c r="B444" s="1">
        <f>IFERROR(__xludf.DUMMYFUNCTION("""COMPUTED_VALUE"""),5990.0)</f>
        <v>5990</v>
      </c>
      <c r="C444" s="1">
        <f>IFERROR(__xludf.DUMMYFUNCTION("""COMPUTED_VALUE"""),6150.0)</f>
        <v>6150</v>
      </c>
      <c r="D444" s="1">
        <f>IFERROR(__xludf.DUMMYFUNCTION("""COMPUTED_VALUE"""),5910.0)</f>
        <v>5910</v>
      </c>
      <c r="E444" s="1">
        <f>IFERROR(__xludf.DUMMYFUNCTION("""COMPUTED_VALUE"""),6040.0)</f>
        <v>6040</v>
      </c>
      <c r="F444" s="1">
        <f>IFERROR(__xludf.DUMMYFUNCTION("""COMPUTED_VALUE"""),43250.0)</f>
        <v>43250</v>
      </c>
    </row>
    <row r="445">
      <c r="A445" s="2">
        <f>IFERROR(__xludf.DUMMYFUNCTION("""COMPUTED_VALUE"""),41564.645833333336)</f>
        <v>41564.64583</v>
      </c>
      <c r="B445" s="1">
        <f>IFERROR(__xludf.DUMMYFUNCTION("""COMPUTED_VALUE"""),6040.0)</f>
        <v>6040</v>
      </c>
      <c r="C445" s="1">
        <f>IFERROR(__xludf.DUMMYFUNCTION("""COMPUTED_VALUE"""),6040.0)</f>
        <v>6040</v>
      </c>
      <c r="D445" s="1">
        <f>IFERROR(__xludf.DUMMYFUNCTION("""COMPUTED_VALUE"""),5900.0)</f>
        <v>5900</v>
      </c>
      <c r="E445" s="1">
        <f>IFERROR(__xludf.DUMMYFUNCTION("""COMPUTED_VALUE"""),5900.0)</f>
        <v>5900</v>
      </c>
      <c r="F445" s="1">
        <f>IFERROR(__xludf.DUMMYFUNCTION("""COMPUTED_VALUE"""),25450.0)</f>
        <v>25450</v>
      </c>
    </row>
    <row r="446">
      <c r="A446" s="2">
        <f>IFERROR(__xludf.DUMMYFUNCTION("""COMPUTED_VALUE"""),41565.645833333336)</f>
        <v>41565.64583</v>
      </c>
      <c r="B446" s="1">
        <f>IFERROR(__xludf.DUMMYFUNCTION("""COMPUTED_VALUE"""),5900.0)</f>
        <v>5900</v>
      </c>
      <c r="C446" s="1">
        <f>IFERROR(__xludf.DUMMYFUNCTION("""COMPUTED_VALUE"""),6030.0)</f>
        <v>6030</v>
      </c>
      <c r="D446" s="1">
        <f>IFERROR(__xludf.DUMMYFUNCTION("""COMPUTED_VALUE"""),5730.0)</f>
        <v>5730</v>
      </c>
      <c r="E446" s="1">
        <f>IFERROR(__xludf.DUMMYFUNCTION("""COMPUTED_VALUE"""),5730.0)</f>
        <v>5730</v>
      </c>
      <c r="F446" s="1">
        <f>IFERROR(__xludf.DUMMYFUNCTION("""COMPUTED_VALUE"""),41723.0)</f>
        <v>41723</v>
      </c>
    </row>
    <row r="447">
      <c r="A447" s="2">
        <f>IFERROR(__xludf.DUMMYFUNCTION("""COMPUTED_VALUE"""),41568.645833333336)</f>
        <v>41568.64583</v>
      </c>
      <c r="B447" s="1">
        <f>IFERROR(__xludf.DUMMYFUNCTION("""COMPUTED_VALUE"""),5670.0)</f>
        <v>5670</v>
      </c>
      <c r="C447" s="1">
        <f>IFERROR(__xludf.DUMMYFUNCTION("""COMPUTED_VALUE"""),5800.0)</f>
        <v>5800</v>
      </c>
      <c r="D447" s="1">
        <f>IFERROR(__xludf.DUMMYFUNCTION("""COMPUTED_VALUE"""),5670.0)</f>
        <v>5670</v>
      </c>
      <c r="E447" s="1">
        <f>IFERROR(__xludf.DUMMYFUNCTION("""COMPUTED_VALUE"""),5760.0)</f>
        <v>5760</v>
      </c>
      <c r="F447" s="1">
        <f>IFERROR(__xludf.DUMMYFUNCTION("""COMPUTED_VALUE"""),22495.0)</f>
        <v>22495</v>
      </c>
    </row>
    <row r="448">
      <c r="A448" s="2">
        <f>IFERROR(__xludf.DUMMYFUNCTION("""COMPUTED_VALUE"""),41569.645833333336)</f>
        <v>41569.64583</v>
      </c>
      <c r="B448" s="1">
        <f>IFERROR(__xludf.DUMMYFUNCTION("""COMPUTED_VALUE"""),5790.0)</f>
        <v>5790</v>
      </c>
      <c r="C448" s="1">
        <f>IFERROR(__xludf.DUMMYFUNCTION("""COMPUTED_VALUE"""),5790.0)</f>
        <v>5790</v>
      </c>
      <c r="D448" s="1">
        <f>IFERROR(__xludf.DUMMYFUNCTION("""COMPUTED_VALUE"""),5660.0)</f>
        <v>5660</v>
      </c>
      <c r="E448" s="1">
        <f>IFERROR(__xludf.DUMMYFUNCTION("""COMPUTED_VALUE"""),5750.0)</f>
        <v>5750</v>
      </c>
      <c r="F448" s="1">
        <f>IFERROR(__xludf.DUMMYFUNCTION("""COMPUTED_VALUE"""),25790.0)</f>
        <v>25790</v>
      </c>
    </row>
    <row r="449">
      <c r="A449" s="2">
        <f>IFERROR(__xludf.DUMMYFUNCTION("""COMPUTED_VALUE"""),41570.645833333336)</f>
        <v>41570.64583</v>
      </c>
      <c r="B449" s="1">
        <f>IFERROR(__xludf.DUMMYFUNCTION("""COMPUTED_VALUE"""),5770.0)</f>
        <v>5770</v>
      </c>
      <c r="C449" s="1">
        <f>IFERROR(__xludf.DUMMYFUNCTION("""COMPUTED_VALUE"""),5950.0)</f>
        <v>5950</v>
      </c>
      <c r="D449" s="1">
        <f>IFERROR(__xludf.DUMMYFUNCTION("""COMPUTED_VALUE"""),5730.0)</f>
        <v>5730</v>
      </c>
      <c r="E449" s="1">
        <f>IFERROR(__xludf.DUMMYFUNCTION("""COMPUTED_VALUE"""),5830.0)</f>
        <v>5830</v>
      </c>
      <c r="F449" s="1">
        <f>IFERROR(__xludf.DUMMYFUNCTION("""COMPUTED_VALUE"""),34630.0)</f>
        <v>34630</v>
      </c>
    </row>
    <row r="450">
      <c r="A450" s="2">
        <f>IFERROR(__xludf.DUMMYFUNCTION("""COMPUTED_VALUE"""),41571.645833333336)</f>
        <v>41571.64583</v>
      </c>
      <c r="B450" s="1">
        <f>IFERROR(__xludf.DUMMYFUNCTION("""COMPUTED_VALUE"""),5760.0)</f>
        <v>5760</v>
      </c>
      <c r="C450" s="1">
        <f>IFERROR(__xludf.DUMMYFUNCTION("""COMPUTED_VALUE"""),5950.0)</f>
        <v>5950</v>
      </c>
      <c r="D450" s="1">
        <f>IFERROR(__xludf.DUMMYFUNCTION("""COMPUTED_VALUE"""),5760.0)</f>
        <v>5760</v>
      </c>
      <c r="E450" s="1">
        <f>IFERROR(__xludf.DUMMYFUNCTION("""COMPUTED_VALUE"""),5940.0)</f>
        <v>5940</v>
      </c>
      <c r="F450" s="1">
        <f>IFERROR(__xludf.DUMMYFUNCTION("""COMPUTED_VALUE"""),34411.0)</f>
        <v>34411</v>
      </c>
    </row>
    <row r="451">
      <c r="A451" s="2">
        <f>IFERROR(__xludf.DUMMYFUNCTION("""COMPUTED_VALUE"""),41572.645833333336)</f>
        <v>41572.64583</v>
      </c>
      <c r="B451" s="1">
        <f>IFERROR(__xludf.DUMMYFUNCTION("""COMPUTED_VALUE"""),5940.0)</f>
        <v>5940</v>
      </c>
      <c r="C451" s="1">
        <f>IFERROR(__xludf.DUMMYFUNCTION("""COMPUTED_VALUE"""),6010.0)</f>
        <v>6010</v>
      </c>
      <c r="D451" s="1">
        <f>IFERROR(__xludf.DUMMYFUNCTION("""COMPUTED_VALUE"""),5880.0)</f>
        <v>5880</v>
      </c>
      <c r="E451" s="1">
        <f>IFERROR(__xludf.DUMMYFUNCTION("""COMPUTED_VALUE"""),5960.0)</f>
        <v>5960</v>
      </c>
      <c r="F451" s="1">
        <f>IFERROR(__xludf.DUMMYFUNCTION("""COMPUTED_VALUE"""),18990.0)</f>
        <v>18990</v>
      </c>
    </row>
    <row r="452">
      <c r="A452" s="2">
        <f>IFERROR(__xludf.DUMMYFUNCTION("""COMPUTED_VALUE"""),41575.645833333336)</f>
        <v>41575.64583</v>
      </c>
      <c r="B452" s="1">
        <f>IFERROR(__xludf.DUMMYFUNCTION("""COMPUTED_VALUE"""),5990.0)</f>
        <v>5990</v>
      </c>
      <c r="C452" s="1">
        <f>IFERROR(__xludf.DUMMYFUNCTION("""COMPUTED_VALUE"""),6000.0)</f>
        <v>6000</v>
      </c>
      <c r="D452" s="1">
        <f>IFERROR(__xludf.DUMMYFUNCTION("""COMPUTED_VALUE"""),5890.0)</f>
        <v>5890</v>
      </c>
      <c r="E452" s="1">
        <f>IFERROR(__xludf.DUMMYFUNCTION("""COMPUTED_VALUE"""),5900.0)</f>
        <v>5900</v>
      </c>
      <c r="F452" s="1">
        <f>IFERROR(__xludf.DUMMYFUNCTION("""COMPUTED_VALUE"""),12650.0)</f>
        <v>12650</v>
      </c>
    </row>
    <row r="453">
      <c r="A453" s="2">
        <f>IFERROR(__xludf.DUMMYFUNCTION("""COMPUTED_VALUE"""),41576.645833333336)</f>
        <v>41576.64583</v>
      </c>
      <c r="B453" s="1">
        <f>IFERROR(__xludf.DUMMYFUNCTION("""COMPUTED_VALUE"""),5900.0)</f>
        <v>5900</v>
      </c>
      <c r="C453" s="1">
        <f>IFERROR(__xludf.DUMMYFUNCTION("""COMPUTED_VALUE"""),5990.0)</f>
        <v>5990</v>
      </c>
      <c r="D453" s="1">
        <f>IFERROR(__xludf.DUMMYFUNCTION("""COMPUTED_VALUE"""),5840.0)</f>
        <v>5840</v>
      </c>
      <c r="E453" s="1">
        <f>IFERROR(__xludf.DUMMYFUNCTION("""COMPUTED_VALUE"""),5930.0)</f>
        <v>5930</v>
      </c>
      <c r="F453" s="1">
        <f>IFERROR(__xludf.DUMMYFUNCTION("""COMPUTED_VALUE"""),39190.0)</f>
        <v>39190</v>
      </c>
    </row>
    <row r="454">
      <c r="A454" s="2">
        <f>IFERROR(__xludf.DUMMYFUNCTION("""COMPUTED_VALUE"""),41577.645833333336)</f>
        <v>41577.64583</v>
      </c>
      <c r="B454" s="1">
        <f>IFERROR(__xludf.DUMMYFUNCTION("""COMPUTED_VALUE"""),5900.0)</f>
        <v>5900</v>
      </c>
      <c r="C454" s="1">
        <f>IFERROR(__xludf.DUMMYFUNCTION("""COMPUTED_VALUE"""),5930.0)</f>
        <v>5930</v>
      </c>
      <c r="D454" s="1">
        <f>IFERROR(__xludf.DUMMYFUNCTION("""COMPUTED_VALUE"""),5760.0)</f>
        <v>5760</v>
      </c>
      <c r="E454" s="1">
        <f>IFERROR(__xludf.DUMMYFUNCTION("""COMPUTED_VALUE"""),5770.0)</f>
        <v>5770</v>
      </c>
      <c r="F454" s="1">
        <f>IFERROR(__xludf.DUMMYFUNCTION("""COMPUTED_VALUE"""),25710.0)</f>
        <v>25710</v>
      </c>
    </row>
    <row r="455">
      <c r="A455" s="2">
        <f>IFERROR(__xludf.DUMMYFUNCTION("""COMPUTED_VALUE"""),41578.645833333336)</f>
        <v>41578.64583</v>
      </c>
      <c r="B455" s="1">
        <f>IFERROR(__xludf.DUMMYFUNCTION("""COMPUTED_VALUE"""),5770.0)</f>
        <v>5770</v>
      </c>
      <c r="C455" s="1">
        <f>IFERROR(__xludf.DUMMYFUNCTION("""COMPUTED_VALUE"""),5770.0)</f>
        <v>5770</v>
      </c>
      <c r="D455" s="1">
        <f>IFERROR(__xludf.DUMMYFUNCTION("""COMPUTED_VALUE"""),5640.0)</f>
        <v>5640</v>
      </c>
      <c r="E455" s="1">
        <f>IFERROR(__xludf.DUMMYFUNCTION("""COMPUTED_VALUE"""),5640.0)</f>
        <v>5640</v>
      </c>
      <c r="F455" s="1">
        <f>IFERROR(__xludf.DUMMYFUNCTION("""COMPUTED_VALUE"""),28930.0)</f>
        <v>28930</v>
      </c>
    </row>
    <row r="456">
      <c r="A456" s="2">
        <f>IFERROR(__xludf.DUMMYFUNCTION("""COMPUTED_VALUE"""),41579.645833333336)</f>
        <v>41579.64583</v>
      </c>
      <c r="B456" s="1">
        <f>IFERROR(__xludf.DUMMYFUNCTION("""COMPUTED_VALUE"""),5670.0)</f>
        <v>5670</v>
      </c>
      <c r="C456" s="1">
        <f>IFERROR(__xludf.DUMMYFUNCTION("""COMPUTED_VALUE"""),5720.0)</f>
        <v>5720</v>
      </c>
      <c r="D456" s="1">
        <f>IFERROR(__xludf.DUMMYFUNCTION("""COMPUTED_VALUE"""),5650.0)</f>
        <v>5650</v>
      </c>
      <c r="E456" s="1">
        <f>IFERROR(__xludf.DUMMYFUNCTION("""COMPUTED_VALUE"""),5700.0)</f>
        <v>5700</v>
      </c>
      <c r="F456" s="1">
        <f>IFERROR(__xludf.DUMMYFUNCTION("""COMPUTED_VALUE"""),9924.0)</f>
        <v>9924</v>
      </c>
    </row>
    <row r="457">
      <c r="A457" s="2">
        <f>IFERROR(__xludf.DUMMYFUNCTION("""COMPUTED_VALUE"""),41582.645833333336)</f>
        <v>41582.64583</v>
      </c>
      <c r="B457" s="1">
        <f>IFERROR(__xludf.DUMMYFUNCTION("""COMPUTED_VALUE"""),5650.0)</f>
        <v>5650</v>
      </c>
      <c r="C457" s="1">
        <f>IFERROR(__xludf.DUMMYFUNCTION("""COMPUTED_VALUE"""),5700.0)</f>
        <v>5700</v>
      </c>
      <c r="D457" s="1">
        <f>IFERROR(__xludf.DUMMYFUNCTION("""COMPUTED_VALUE"""),5360.0)</f>
        <v>5360</v>
      </c>
      <c r="E457" s="1">
        <f>IFERROR(__xludf.DUMMYFUNCTION("""COMPUTED_VALUE"""),5370.0)</f>
        <v>5370</v>
      </c>
      <c r="F457" s="1">
        <f>IFERROR(__xludf.DUMMYFUNCTION("""COMPUTED_VALUE"""),97930.0)</f>
        <v>97930</v>
      </c>
    </row>
    <row r="458">
      <c r="A458" s="2">
        <f>IFERROR(__xludf.DUMMYFUNCTION("""COMPUTED_VALUE"""),41583.645833333336)</f>
        <v>41583.64583</v>
      </c>
      <c r="B458" s="1">
        <f>IFERROR(__xludf.DUMMYFUNCTION("""COMPUTED_VALUE"""),5330.0)</f>
        <v>5330</v>
      </c>
      <c r="C458" s="1">
        <f>IFERROR(__xludf.DUMMYFUNCTION("""COMPUTED_VALUE"""),5330.0)</f>
        <v>5330</v>
      </c>
      <c r="D458" s="1">
        <f>IFERROR(__xludf.DUMMYFUNCTION("""COMPUTED_VALUE"""),5030.0)</f>
        <v>5030</v>
      </c>
      <c r="E458" s="1">
        <f>IFERROR(__xludf.DUMMYFUNCTION("""COMPUTED_VALUE"""),5210.0)</f>
        <v>5210</v>
      </c>
      <c r="F458" s="1">
        <f>IFERROR(__xludf.DUMMYFUNCTION("""COMPUTED_VALUE"""),156151.0)</f>
        <v>156151</v>
      </c>
    </row>
    <row r="459">
      <c r="A459" s="2">
        <f>IFERROR(__xludf.DUMMYFUNCTION("""COMPUTED_VALUE"""),41584.645833333336)</f>
        <v>41584.64583</v>
      </c>
      <c r="B459" s="1">
        <f>IFERROR(__xludf.DUMMYFUNCTION("""COMPUTED_VALUE"""),5160.0)</f>
        <v>5160</v>
      </c>
      <c r="C459" s="1">
        <f>IFERROR(__xludf.DUMMYFUNCTION("""COMPUTED_VALUE"""),5270.0)</f>
        <v>5270</v>
      </c>
      <c r="D459" s="1">
        <f>IFERROR(__xludf.DUMMYFUNCTION("""COMPUTED_VALUE"""),5100.0)</f>
        <v>5100</v>
      </c>
      <c r="E459" s="1">
        <f>IFERROR(__xludf.DUMMYFUNCTION("""COMPUTED_VALUE"""),5270.0)</f>
        <v>5270</v>
      </c>
      <c r="F459" s="1">
        <f>IFERROR(__xludf.DUMMYFUNCTION("""COMPUTED_VALUE"""),31645.0)</f>
        <v>31645</v>
      </c>
    </row>
    <row r="460">
      <c r="A460" s="2">
        <f>IFERROR(__xludf.DUMMYFUNCTION("""COMPUTED_VALUE"""),41585.645833333336)</f>
        <v>41585.64583</v>
      </c>
      <c r="B460" s="1">
        <f>IFERROR(__xludf.DUMMYFUNCTION("""COMPUTED_VALUE"""),5270.0)</f>
        <v>5270</v>
      </c>
      <c r="C460" s="1">
        <f>IFERROR(__xludf.DUMMYFUNCTION("""COMPUTED_VALUE"""),5280.0)</f>
        <v>5280</v>
      </c>
      <c r="D460" s="1">
        <f>IFERROR(__xludf.DUMMYFUNCTION("""COMPUTED_VALUE"""),5130.0)</f>
        <v>5130</v>
      </c>
      <c r="E460" s="1">
        <f>IFERROR(__xludf.DUMMYFUNCTION("""COMPUTED_VALUE"""),5190.0)</f>
        <v>5190</v>
      </c>
      <c r="F460" s="1">
        <f>IFERROR(__xludf.DUMMYFUNCTION("""COMPUTED_VALUE"""),33130.0)</f>
        <v>33130</v>
      </c>
    </row>
    <row r="461">
      <c r="A461" s="2">
        <f>IFERROR(__xludf.DUMMYFUNCTION("""COMPUTED_VALUE"""),41586.645833333336)</f>
        <v>41586.64583</v>
      </c>
      <c r="B461" s="1">
        <f>IFERROR(__xludf.DUMMYFUNCTION("""COMPUTED_VALUE"""),5060.0)</f>
        <v>5060</v>
      </c>
      <c r="C461" s="1">
        <f>IFERROR(__xludf.DUMMYFUNCTION("""COMPUTED_VALUE"""),5190.0)</f>
        <v>5190</v>
      </c>
      <c r="D461" s="1">
        <f>IFERROR(__xludf.DUMMYFUNCTION("""COMPUTED_VALUE"""),5030.0)</f>
        <v>5030</v>
      </c>
      <c r="E461" s="1">
        <f>IFERROR(__xludf.DUMMYFUNCTION("""COMPUTED_VALUE"""),5150.0)</f>
        <v>5150</v>
      </c>
      <c r="F461" s="1">
        <f>IFERROR(__xludf.DUMMYFUNCTION("""COMPUTED_VALUE"""),23780.0)</f>
        <v>23780</v>
      </c>
    </row>
    <row r="462">
      <c r="A462" s="2">
        <f>IFERROR(__xludf.DUMMYFUNCTION("""COMPUTED_VALUE"""),41589.645833333336)</f>
        <v>41589.64583</v>
      </c>
      <c r="B462" s="1">
        <f>IFERROR(__xludf.DUMMYFUNCTION("""COMPUTED_VALUE"""),5150.0)</f>
        <v>5150</v>
      </c>
      <c r="C462" s="1">
        <f>IFERROR(__xludf.DUMMYFUNCTION("""COMPUTED_VALUE"""),5150.0)</f>
        <v>5150</v>
      </c>
      <c r="D462" s="1">
        <f>IFERROR(__xludf.DUMMYFUNCTION("""COMPUTED_VALUE"""),4860.0)</f>
        <v>4860</v>
      </c>
      <c r="E462" s="1">
        <f>IFERROR(__xludf.DUMMYFUNCTION("""COMPUTED_VALUE"""),5050.0)</f>
        <v>5050</v>
      </c>
      <c r="F462" s="1">
        <f>IFERROR(__xludf.DUMMYFUNCTION("""COMPUTED_VALUE"""),38835.0)</f>
        <v>38835</v>
      </c>
    </row>
    <row r="463">
      <c r="A463" s="2">
        <f>IFERROR(__xludf.DUMMYFUNCTION("""COMPUTED_VALUE"""),41590.645833333336)</f>
        <v>41590.64583</v>
      </c>
      <c r="B463" s="1">
        <f>IFERROR(__xludf.DUMMYFUNCTION("""COMPUTED_VALUE"""),5040.0)</f>
        <v>5040</v>
      </c>
      <c r="C463" s="1">
        <f>IFERROR(__xludf.DUMMYFUNCTION("""COMPUTED_VALUE"""),5150.0)</f>
        <v>5150</v>
      </c>
      <c r="D463" s="1">
        <f>IFERROR(__xludf.DUMMYFUNCTION("""COMPUTED_VALUE"""),4975.0)</f>
        <v>4975</v>
      </c>
      <c r="E463" s="1">
        <f>IFERROR(__xludf.DUMMYFUNCTION("""COMPUTED_VALUE"""),5110.0)</f>
        <v>5110</v>
      </c>
      <c r="F463" s="1">
        <f>IFERROR(__xludf.DUMMYFUNCTION("""COMPUTED_VALUE"""),12660.0)</f>
        <v>12660</v>
      </c>
    </row>
    <row r="464">
      <c r="A464" s="2">
        <f>IFERROR(__xludf.DUMMYFUNCTION("""COMPUTED_VALUE"""),41591.645833333336)</f>
        <v>41591.64583</v>
      </c>
      <c r="B464" s="1">
        <f>IFERROR(__xludf.DUMMYFUNCTION("""COMPUTED_VALUE"""),5030.0)</f>
        <v>5030</v>
      </c>
      <c r="C464" s="1">
        <f>IFERROR(__xludf.DUMMYFUNCTION("""COMPUTED_VALUE"""),5130.0)</f>
        <v>5130</v>
      </c>
      <c r="D464" s="1">
        <f>IFERROR(__xludf.DUMMYFUNCTION("""COMPUTED_VALUE"""),4965.0)</f>
        <v>4965</v>
      </c>
      <c r="E464" s="1">
        <f>IFERROR(__xludf.DUMMYFUNCTION("""COMPUTED_VALUE"""),5110.0)</f>
        <v>5110</v>
      </c>
      <c r="F464" s="1">
        <f>IFERROR(__xludf.DUMMYFUNCTION("""COMPUTED_VALUE"""),15343.0)</f>
        <v>15343</v>
      </c>
    </row>
    <row r="465">
      <c r="A465" s="2">
        <f>IFERROR(__xludf.DUMMYFUNCTION("""COMPUTED_VALUE"""),41592.645833333336)</f>
        <v>41592.64583</v>
      </c>
      <c r="B465" s="1">
        <f>IFERROR(__xludf.DUMMYFUNCTION("""COMPUTED_VALUE"""),5100.0)</f>
        <v>5100</v>
      </c>
      <c r="C465" s="1">
        <f>IFERROR(__xludf.DUMMYFUNCTION("""COMPUTED_VALUE"""),5100.0)</f>
        <v>5100</v>
      </c>
      <c r="D465" s="1">
        <f>IFERROR(__xludf.DUMMYFUNCTION("""COMPUTED_VALUE"""),4930.0)</f>
        <v>4930</v>
      </c>
      <c r="E465" s="1">
        <f>IFERROR(__xludf.DUMMYFUNCTION("""COMPUTED_VALUE"""),5070.0)</f>
        <v>5070</v>
      </c>
      <c r="F465" s="1">
        <f>IFERROR(__xludf.DUMMYFUNCTION("""COMPUTED_VALUE"""),24504.0)</f>
        <v>24504</v>
      </c>
    </row>
    <row r="466">
      <c r="A466" s="2">
        <f>IFERROR(__xludf.DUMMYFUNCTION("""COMPUTED_VALUE"""),41593.645833333336)</f>
        <v>41593.64583</v>
      </c>
      <c r="B466" s="1">
        <f>IFERROR(__xludf.DUMMYFUNCTION("""COMPUTED_VALUE"""),5170.0)</f>
        <v>5170</v>
      </c>
      <c r="C466" s="1">
        <f>IFERROR(__xludf.DUMMYFUNCTION("""COMPUTED_VALUE"""),5170.0)</f>
        <v>5170</v>
      </c>
      <c r="D466" s="1">
        <f>IFERROR(__xludf.DUMMYFUNCTION("""COMPUTED_VALUE"""),4940.0)</f>
        <v>4940</v>
      </c>
      <c r="E466" s="1">
        <f>IFERROR(__xludf.DUMMYFUNCTION("""COMPUTED_VALUE"""),5110.0)</f>
        <v>5110</v>
      </c>
      <c r="F466" s="1">
        <f>IFERROR(__xludf.DUMMYFUNCTION("""COMPUTED_VALUE"""),27706.0)</f>
        <v>27706</v>
      </c>
    </row>
    <row r="467">
      <c r="A467" s="2">
        <f>IFERROR(__xludf.DUMMYFUNCTION("""COMPUTED_VALUE"""),41596.645833333336)</f>
        <v>41596.64583</v>
      </c>
      <c r="B467" s="1">
        <f>IFERROR(__xludf.DUMMYFUNCTION("""COMPUTED_VALUE"""),5110.0)</f>
        <v>5110</v>
      </c>
      <c r="C467" s="1">
        <f>IFERROR(__xludf.DUMMYFUNCTION("""COMPUTED_VALUE"""),5250.0)</f>
        <v>5250</v>
      </c>
      <c r="D467" s="1">
        <f>IFERROR(__xludf.DUMMYFUNCTION("""COMPUTED_VALUE"""),5090.0)</f>
        <v>5090</v>
      </c>
      <c r="E467" s="1">
        <f>IFERROR(__xludf.DUMMYFUNCTION("""COMPUTED_VALUE"""),5180.0)</f>
        <v>5180</v>
      </c>
      <c r="F467" s="1">
        <f>IFERROR(__xludf.DUMMYFUNCTION("""COMPUTED_VALUE"""),16990.0)</f>
        <v>16990</v>
      </c>
    </row>
    <row r="468">
      <c r="A468" s="2">
        <f>IFERROR(__xludf.DUMMYFUNCTION("""COMPUTED_VALUE"""),41597.645833333336)</f>
        <v>41597.64583</v>
      </c>
      <c r="B468" s="1">
        <f>IFERROR(__xludf.DUMMYFUNCTION("""COMPUTED_VALUE"""),5180.0)</f>
        <v>5180</v>
      </c>
      <c r="C468" s="1">
        <f>IFERROR(__xludf.DUMMYFUNCTION("""COMPUTED_VALUE"""),5240.0)</f>
        <v>5240</v>
      </c>
      <c r="D468" s="1">
        <f>IFERROR(__xludf.DUMMYFUNCTION("""COMPUTED_VALUE"""),5000.0)</f>
        <v>5000</v>
      </c>
      <c r="E468" s="1">
        <f>IFERROR(__xludf.DUMMYFUNCTION("""COMPUTED_VALUE"""),5100.0)</f>
        <v>5100</v>
      </c>
      <c r="F468" s="1">
        <f>IFERROR(__xludf.DUMMYFUNCTION("""COMPUTED_VALUE"""),42180.0)</f>
        <v>42180</v>
      </c>
    </row>
    <row r="469">
      <c r="A469" s="2">
        <f>IFERROR(__xludf.DUMMYFUNCTION("""COMPUTED_VALUE"""),41598.645833333336)</f>
        <v>41598.64583</v>
      </c>
      <c r="B469" s="1">
        <f>IFERROR(__xludf.DUMMYFUNCTION("""COMPUTED_VALUE"""),5140.0)</f>
        <v>5140</v>
      </c>
      <c r="C469" s="1">
        <f>IFERROR(__xludf.DUMMYFUNCTION("""COMPUTED_VALUE"""),5140.0)</f>
        <v>5140</v>
      </c>
      <c r="D469" s="1">
        <f>IFERROR(__xludf.DUMMYFUNCTION("""COMPUTED_VALUE"""),5000.0)</f>
        <v>5000</v>
      </c>
      <c r="E469" s="1">
        <f>IFERROR(__xludf.DUMMYFUNCTION("""COMPUTED_VALUE"""),5140.0)</f>
        <v>5140</v>
      </c>
      <c r="F469" s="1">
        <f>IFERROR(__xludf.DUMMYFUNCTION("""COMPUTED_VALUE"""),23295.0)</f>
        <v>23295</v>
      </c>
    </row>
    <row r="470">
      <c r="A470" s="2">
        <f>IFERROR(__xludf.DUMMYFUNCTION("""COMPUTED_VALUE"""),41599.645833333336)</f>
        <v>41599.64583</v>
      </c>
      <c r="B470" s="1">
        <f>IFERROR(__xludf.DUMMYFUNCTION("""COMPUTED_VALUE"""),5040.0)</f>
        <v>5040</v>
      </c>
      <c r="C470" s="1">
        <f>IFERROR(__xludf.DUMMYFUNCTION("""COMPUTED_VALUE"""),5120.0)</f>
        <v>5120</v>
      </c>
      <c r="D470" s="1">
        <f>IFERROR(__xludf.DUMMYFUNCTION("""COMPUTED_VALUE"""),4995.0)</f>
        <v>4995</v>
      </c>
      <c r="E470" s="1">
        <f>IFERROR(__xludf.DUMMYFUNCTION("""COMPUTED_VALUE"""),5080.0)</f>
        <v>5080</v>
      </c>
      <c r="F470" s="1">
        <f>IFERROR(__xludf.DUMMYFUNCTION("""COMPUTED_VALUE"""),15251.0)</f>
        <v>15251</v>
      </c>
    </row>
    <row r="471">
      <c r="A471" s="2">
        <f>IFERROR(__xludf.DUMMYFUNCTION("""COMPUTED_VALUE"""),41600.645833333336)</f>
        <v>41600.64583</v>
      </c>
      <c r="B471" s="1">
        <f>IFERROR(__xludf.DUMMYFUNCTION("""COMPUTED_VALUE"""),5110.0)</f>
        <v>5110</v>
      </c>
      <c r="C471" s="1">
        <f>IFERROR(__xludf.DUMMYFUNCTION("""COMPUTED_VALUE"""),5110.0)</f>
        <v>5110</v>
      </c>
      <c r="D471" s="1">
        <f>IFERROR(__xludf.DUMMYFUNCTION("""COMPUTED_VALUE"""),5000.0)</f>
        <v>5000</v>
      </c>
      <c r="E471" s="1">
        <f>IFERROR(__xludf.DUMMYFUNCTION("""COMPUTED_VALUE"""),5010.0)</f>
        <v>5010</v>
      </c>
      <c r="F471" s="1">
        <f>IFERROR(__xludf.DUMMYFUNCTION("""COMPUTED_VALUE"""),12820.0)</f>
        <v>12820</v>
      </c>
    </row>
    <row r="472">
      <c r="A472" s="2">
        <f>IFERROR(__xludf.DUMMYFUNCTION("""COMPUTED_VALUE"""),41603.645833333336)</f>
        <v>41603.64583</v>
      </c>
      <c r="B472" s="1">
        <f>IFERROR(__xludf.DUMMYFUNCTION("""COMPUTED_VALUE"""),5010.0)</f>
        <v>5010</v>
      </c>
      <c r="C472" s="1">
        <f>IFERROR(__xludf.DUMMYFUNCTION("""COMPUTED_VALUE"""),5010.0)</f>
        <v>5010</v>
      </c>
      <c r="D472" s="1">
        <f>IFERROR(__xludf.DUMMYFUNCTION("""COMPUTED_VALUE"""),4880.0)</f>
        <v>4880</v>
      </c>
      <c r="E472" s="1">
        <f>IFERROR(__xludf.DUMMYFUNCTION("""COMPUTED_VALUE"""),4950.0)</f>
        <v>4950</v>
      </c>
      <c r="F472" s="1">
        <f>IFERROR(__xludf.DUMMYFUNCTION("""COMPUTED_VALUE"""),18570.0)</f>
        <v>18570</v>
      </c>
    </row>
    <row r="473">
      <c r="A473" s="2">
        <f>IFERROR(__xludf.DUMMYFUNCTION("""COMPUTED_VALUE"""),41604.645833333336)</f>
        <v>41604.64583</v>
      </c>
      <c r="B473" s="1">
        <f>IFERROR(__xludf.DUMMYFUNCTION("""COMPUTED_VALUE"""),4995.0)</f>
        <v>4995</v>
      </c>
      <c r="C473" s="1">
        <f>IFERROR(__xludf.DUMMYFUNCTION("""COMPUTED_VALUE"""),5120.0)</f>
        <v>5120</v>
      </c>
      <c r="D473" s="1">
        <f>IFERROR(__xludf.DUMMYFUNCTION("""COMPUTED_VALUE"""),4995.0)</f>
        <v>4995</v>
      </c>
      <c r="E473" s="1">
        <f>IFERROR(__xludf.DUMMYFUNCTION("""COMPUTED_VALUE"""),5050.0)</f>
        <v>5050</v>
      </c>
      <c r="F473" s="1">
        <f>IFERROR(__xludf.DUMMYFUNCTION("""COMPUTED_VALUE"""),15352.0)</f>
        <v>15352</v>
      </c>
    </row>
    <row r="474">
      <c r="A474" s="2">
        <f>IFERROR(__xludf.DUMMYFUNCTION("""COMPUTED_VALUE"""),41605.645833333336)</f>
        <v>41605.64583</v>
      </c>
      <c r="B474" s="1">
        <f>IFERROR(__xludf.DUMMYFUNCTION("""COMPUTED_VALUE"""),5040.0)</f>
        <v>5040</v>
      </c>
      <c r="C474" s="1">
        <f>IFERROR(__xludf.DUMMYFUNCTION("""COMPUTED_VALUE"""),5140.0)</f>
        <v>5140</v>
      </c>
      <c r="D474" s="1">
        <f>IFERROR(__xludf.DUMMYFUNCTION("""COMPUTED_VALUE"""),5040.0)</f>
        <v>5040</v>
      </c>
      <c r="E474" s="1">
        <f>IFERROR(__xludf.DUMMYFUNCTION("""COMPUTED_VALUE"""),5110.0)</f>
        <v>5110</v>
      </c>
      <c r="F474" s="1">
        <f>IFERROR(__xludf.DUMMYFUNCTION("""COMPUTED_VALUE"""),12630.0)</f>
        <v>12630</v>
      </c>
    </row>
    <row r="475">
      <c r="A475" s="2">
        <f>IFERROR(__xludf.DUMMYFUNCTION("""COMPUTED_VALUE"""),41606.645833333336)</f>
        <v>41606.64583</v>
      </c>
      <c r="B475" s="1">
        <f>IFERROR(__xludf.DUMMYFUNCTION("""COMPUTED_VALUE"""),5030.0)</f>
        <v>5030</v>
      </c>
      <c r="C475" s="1">
        <f>IFERROR(__xludf.DUMMYFUNCTION("""COMPUTED_VALUE"""),5140.0)</f>
        <v>5140</v>
      </c>
      <c r="D475" s="1">
        <f>IFERROR(__xludf.DUMMYFUNCTION("""COMPUTED_VALUE"""),5030.0)</f>
        <v>5030</v>
      </c>
      <c r="E475" s="1">
        <f>IFERROR(__xludf.DUMMYFUNCTION("""COMPUTED_VALUE"""),5130.0)</f>
        <v>5130</v>
      </c>
      <c r="F475" s="1">
        <f>IFERROR(__xludf.DUMMYFUNCTION("""COMPUTED_VALUE"""),7270.0)</f>
        <v>7270</v>
      </c>
    </row>
    <row r="476">
      <c r="A476" s="2">
        <f>IFERROR(__xludf.DUMMYFUNCTION("""COMPUTED_VALUE"""),41607.645833333336)</f>
        <v>41607.64583</v>
      </c>
      <c r="B476" s="1">
        <f>IFERROR(__xludf.DUMMYFUNCTION("""COMPUTED_VALUE"""),5120.0)</f>
        <v>5120</v>
      </c>
      <c r="C476" s="1">
        <f>IFERROR(__xludf.DUMMYFUNCTION("""COMPUTED_VALUE"""),5120.0)</f>
        <v>5120</v>
      </c>
      <c r="D476" s="1">
        <f>IFERROR(__xludf.DUMMYFUNCTION("""COMPUTED_VALUE"""),4990.0)</f>
        <v>4990</v>
      </c>
      <c r="E476" s="1">
        <f>IFERROR(__xludf.DUMMYFUNCTION("""COMPUTED_VALUE"""),5040.0)</f>
        <v>5040</v>
      </c>
      <c r="F476" s="1">
        <f>IFERROR(__xludf.DUMMYFUNCTION("""COMPUTED_VALUE"""),12262.0)</f>
        <v>12262</v>
      </c>
    </row>
    <row r="477">
      <c r="A477" s="2">
        <f>IFERROR(__xludf.DUMMYFUNCTION("""COMPUTED_VALUE"""),41610.645833333336)</f>
        <v>41610.64583</v>
      </c>
      <c r="B477" s="1">
        <f>IFERROR(__xludf.DUMMYFUNCTION("""COMPUTED_VALUE"""),5040.0)</f>
        <v>5040</v>
      </c>
      <c r="C477" s="1">
        <f>IFERROR(__xludf.DUMMYFUNCTION("""COMPUTED_VALUE"""),5040.0)</f>
        <v>5040</v>
      </c>
      <c r="D477" s="1">
        <f>IFERROR(__xludf.DUMMYFUNCTION("""COMPUTED_VALUE"""),4850.0)</f>
        <v>4850</v>
      </c>
      <c r="E477" s="1">
        <f>IFERROR(__xludf.DUMMYFUNCTION("""COMPUTED_VALUE"""),4975.0)</f>
        <v>4975</v>
      </c>
      <c r="F477" s="1">
        <f>IFERROR(__xludf.DUMMYFUNCTION("""COMPUTED_VALUE"""),23791.0)</f>
        <v>23791</v>
      </c>
    </row>
    <row r="478">
      <c r="A478" s="2">
        <f>IFERROR(__xludf.DUMMYFUNCTION("""COMPUTED_VALUE"""),41611.645833333336)</f>
        <v>41611.64583</v>
      </c>
      <c r="B478" s="1">
        <f>IFERROR(__xludf.DUMMYFUNCTION("""COMPUTED_VALUE"""),4975.0)</f>
        <v>4975</v>
      </c>
      <c r="C478" s="1">
        <f>IFERROR(__xludf.DUMMYFUNCTION("""COMPUTED_VALUE"""),4975.0)</f>
        <v>4975</v>
      </c>
      <c r="D478" s="1">
        <f>IFERROR(__xludf.DUMMYFUNCTION("""COMPUTED_VALUE"""),4770.0)</f>
        <v>4770</v>
      </c>
      <c r="E478" s="1">
        <f>IFERROR(__xludf.DUMMYFUNCTION("""COMPUTED_VALUE"""),4970.0)</f>
        <v>4970</v>
      </c>
      <c r="F478" s="1">
        <f>IFERROR(__xludf.DUMMYFUNCTION("""COMPUTED_VALUE"""),51131.0)</f>
        <v>51131</v>
      </c>
    </row>
    <row r="479">
      <c r="A479" s="2">
        <f>IFERROR(__xludf.DUMMYFUNCTION("""COMPUTED_VALUE"""),41612.645833333336)</f>
        <v>41612.64583</v>
      </c>
      <c r="B479" s="1">
        <f>IFERROR(__xludf.DUMMYFUNCTION("""COMPUTED_VALUE"""),4820.0)</f>
        <v>4820</v>
      </c>
      <c r="C479" s="1">
        <f>IFERROR(__xludf.DUMMYFUNCTION("""COMPUTED_VALUE"""),4920.0)</f>
        <v>4920</v>
      </c>
      <c r="D479" s="1">
        <f>IFERROR(__xludf.DUMMYFUNCTION("""COMPUTED_VALUE"""),4670.0)</f>
        <v>4670</v>
      </c>
      <c r="E479" s="1">
        <f>IFERROR(__xludf.DUMMYFUNCTION("""COMPUTED_VALUE"""),4815.0)</f>
        <v>4815</v>
      </c>
      <c r="F479" s="1">
        <f>IFERROR(__xludf.DUMMYFUNCTION("""COMPUTED_VALUE"""),73080.0)</f>
        <v>73080</v>
      </c>
    </row>
    <row r="480">
      <c r="A480" s="2">
        <f>IFERROR(__xludf.DUMMYFUNCTION("""COMPUTED_VALUE"""),41613.645833333336)</f>
        <v>41613.64583</v>
      </c>
      <c r="B480" s="1">
        <f>IFERROR(__xludf.DUMMYFUNCTION("""COMPUTED_VALUE"""),4820.0)</f>
        <v>4820</v>
      </c>
      <c r="C480" s="1">
        <f>IFERROR(__xludf.DUMMYFUNCTION("""COMPUTED_VALUE"""),4935.0)</f>
        <v>4935</v>
      </c>
      <c r="D480" s="1">
        <f>IFERROR(__xludf.DUMMYFUNCTION("""COMPUTED_VALUE"""),4610.0)</f>
        <v>4610</v>
      </c>
      <c r="E480" s="1">
        <f>IFERROR(__xludf.DUMMYFUNCTION("""COMPUTED_VALUE"""),4720.0)</f>
        <v>4720</v>
      </c>
      <c r="F480" s="1">
        <f>IFERROR(__xludf.DUMMYFUNCTION("""COMPUTED_VALUE"""),45619.0)</f>
        <v>45619</v>
      </c>
    </row>
    <row r="481">
      <c r="A481" s="2">
        <f>IFERROR(__xludf.DUMMYFUNCTION("""COMPUTED_VALUE"""),41614.645833333336)</f>
        <v>41614.64583</v>
      </c>
      <c r="B481" s="1">
        <f>IFERROR(__xludf.DUMMYFUNCTION("""COMPUTED_VALUE"""),4695.0)</f>
        <v>4695</v>
      </c>
      <c r="C481" s="1">
        <f>IFERROR(__xludf.DUMMYFUNCTION("""COMPUTED_VALUE"""),4800.0)</f>
        <v>4800</v>
      </c>
      <c r="D481" s="1">
        <f>IFERROR(__xludf.DUMMYFUNCTION("""COMPUTED_VALUE"""),4665.0)</f>
        <v>4665</v>
      </c>
      <c r="E481" s="1">
        <f>IFERROR(__xludf.DUMMYFUNCTION("""COMPUTED_VALUE"""),4790.0)</f>
        <v>4790</v>
      </c>
      <c r="F481" s="1">
        <f>IFERROR(__xludf.DUMMYFUNCTION("""COMPUTED_VALUE"""),6751.0)</f>
        <v>6751</v>
      </c>
    </row>
    <row r="482">
      <c r="A482" s="2">
        <f>IFERROR(__xludf.DUMMYFUNCTION("""COMPUTED_VALUE"""),41617.645833333336)</f>
        <v>41617.64583</v>
      </c>
      <c r="B482" s="1">
        <f>IFERROR(__xludf.DUMMYFUNCTION("""COMPUTED_VALUE"""),4725.0)</f>
        <v>4725</v>
      </c>
      <c r="C482" s="1">
        <f>IFERROR(__xludf.DUMMYFUNCTION("""COMPUTED_VALUE"""),4790.0)</f>
        <v>4790</v>
      </c>
      <c r="D482" s="1">
        <f>IFERROR(__xludf.DUMMYFUNCTION("""COMPUTED_VALUE"""),4700.0)</f>
        <v>4700</v>
      </c>
      <c r="E482" s="1">
        <f>IFERROR(__xludf.DUMMYFUNCTION("""COMPUTED_VALUE"""),4730.0)</f>
        <v>4730</v>
      </c>
      <c r="F482" s="1">
        <f>IFERROR(__xludf.DUMMYFUNCTION("""COMPUTED_VALUE"""),14341.0)</f>
        <v>14341</v>
      </c>
    </row>
    <row r="483">
      <c r="A483" s="2">
        <f>IFERROR(__xludf.DUMMYFUNCTION("""COMPUTED_VALUE"""),41618.645833333336)</f>
        <v>41618.64583</v>
      </c>
      <c r="B483" s="1">
        <f>IFERROR(__xludf.DUMMYFUNCTION("""COMPUTED_VALUE"""),4700.0)</f>
        <v>4700</v>
      </c>
      <c r="C483" s="1">
        <f>IFERROR(__xludf.DUMMYFUNCTION("""COMPUTED_VALUE"""),4730.0)</f>
        <v>4730</v>
      </c>
      <c r="D483" s="1">
        <f>IFERROR(__xludf.DUMMYFUNCTION("""COMPUTED_VALUE"""),4220.0)</f>
        <v>4220</v>
      </c>
      <c r="E483" s="1">
        <f>IFERROR(__xludf.DUMMYFUNCTION("""COMPUTED_VALUE"""),4460.0)</f>
        <v>4460</v>
      </c>
      <c r="F483" s="1">
        <f>IFERROR(__xludf.DUMMYFUNCTION("""COMPUTED_VALUE"""),217510.0)</f>
        <v>217510</v>
      </c>
    </row>
    <row r="484">
      <c r="A484" s="2">
        <f>IFERROR(__xludf.DUMMYFUNCTION("""COMPUTED_VALUE"""),41619.645833333336)</f>
        <v>41619.64583</v>
      </c>
      <c r="B484" s="1">
        <f>IFERROR(__xludf.DUMMYFUNCTION("""COMPUTED_VALUE"""),4460.0)</f>
        <v>4460</v>
      </c>
      <c r="C484" s="1">
        <f>IFERROR(__xludf.DUMMYFUNCTION("""COMPUTED_VALUE"""),4500.0)</f>
        <v>4500</v>
      </c>
      <c r="D484" s="1">
        <f>IFERROR(__xludf.DUMMYFUNCTION("""COMPUTED_VALUE"""),4070.0)</f>
        <v>4070</v>
      </c>
      <c r="E484" s="1">
        <f>IFERROR(__xludf.DUMMYFUNCTION("""COMPUTED_VALUE"""),4260.0)</f>
        <v>4260</v>
      </c>
      <c r="F484" s="1">
        <f>IFERROR(__xludf.DUMMYFUNCTION("""COMPUTED_VALUE"""),154844.0)</f>
        <v>154844</v>
      </c>
    </row>
    <row r="485">
      <c r="A485" s="2">
        <f>IFERROR(__xludf.DUMMYFUNCTION("""COMPUTED_VALUE"""),41620.645833333336)</f>
        <v>41620.64583</v>
      </c>
      <c r="B485" s="1">
        <f>IFERROR(__xludf.DUMMYFUNCTION("""COMPUTED_VALUE"""),4255.0)</f>
        <v>4255</v>
      </c>
      <c r="C485" s="1">
        <f>IFERROR(__xludf.DUMMYFUNCTION("""COMPUTED_VALUE"""),4255.0)</f>
        <v>4255</v>
      </c>
      <c r="D485" s="1">
        <f>IFERROR(__xludf.DUMMYFUNCTION("""COMPUTED_VALUE"""),4100.0)</f>
        <v>4100</v>
      </c>
      <c r="E485" s="1">
        <f>IFERROR(__xludf.DUMMYFUNCTION("""COMPUTED_VALUE"""),4220.0)</f>
        <v>4220</v>
      </c>
      <c r="F485" s="1">
        <f>IFERROR(__xludf.DUMMYFUNCTION("""COMPUTED_VALUE"""),85990.0)</f>
        <v>85990</v>
      </c>
    </row>
    <row r="486">
      <c r="A486" s="2">
        <f>IFERROR(__xludf.DUMMYFUNCTION("""COMPUTED_VALUE"""),41621.645833333336)</f>
        <v>41621.64583</v>
      </c>
      <c r="B486" s="1">
        <f>IFERROR(__xludf.DUMMYFUNCTION("""COMPUTED_VALUE"""),4230.0)</f>
        <v>4230</v>
      </c>
      <c r="C486" s="1">
        <f>IFERROR(__xludf.DUMMYFUNCTION("""COMPUTED_VALUE"""),4610.0)</f>
        <v>4610</v>
      </c>
      <c r="D486" s="1">
        <f>IFERROR(__xludf.DUMMYFUNCTION("""COMPUTED_VALUE"""),4215.0)</f>
        <v>4215</v>
      </c>
      <c r="E486" s="1">
        <f>IFERROR(__xludf.DUMMYFUNCTION("""COMPUTED_VALUE"""),4500.0)</f>
        <v>4500</v>
      </c>
      <c r="F486" s="1">
        <f>IFERROR(__xludf.DUMMYFUNCTION("""COMPUTED_VALUE"""),54792.0)</f>
        <v>54792</v>
      </c>
    </row>
    <row r="487">
      <c r="A487" s="2">
        <f>IFERROR(__xludf.DUMMYFUNCTION("""COMPUTED_VALUE"""),41624.645833333336)</f>
        <v>41624.64583</v>
      </c>
      <c r="B487" s="1">
        <f>IFERROR(__xludf.DUMMYFUNCTION("""COMPUTED_VALUE"""),4500.0)</f>
        <v>4500</v>
      </c>
      <c r="C487" s="1">
        <f>IFERROR(__xludf.DUMMYFUNCTION("""COMPUTED_VALUE"""),4500.0)</f>
        <v>4500</v>
      </c>
      <c r="D487" s="1">
        <f>IFERROR(__xludf.DUMMYFUNCTION("""COMPUTED_VALUE"""),4335.0)</f>
        <v>4335</v>
      </c>
      <c r="E487" s="1">
        <f>IFERROR(__xludf.DUMMYFUNCTION("""COMPUTED_VALUE"""),4350.0)</f>
        <v>4350</v>
      </c>
      <c r="F487" s="1">
        <f>IFERROR(__xludf.DUMMYFUNCTION("""COMPUTED_VALUE"""),16520.0)</f>
        <v>16520</v>
      </c>
    </row>
    <row r="488">
      <c r="A488" s="2">
        <f>IFERROR(__xludf.DUMMYFUNCTION("""COMPUTED_VALUE"""),41625.645833333336)</f>
        <v>41625.64583</v>
      </c>
      <c r="B488" s="1">
        <f>IFERROR(__xludf.DUMMYFUNCTION("""COMPUTED_VALUE"""),4350.0)</f>
        <v>4350</v>
      </c>
      <c r="C488" s="1">
        <f>IFERROR(__xludf.DUMMYFUNCTION("""COMPUTED_VALUE"""),4450.0)</f>
        <v>4450</v>
      </c>
      <c r="D488" s="1">
        <f>IFERROR(__xludf.DUMMYFUNCTION("""COMPUTED_VALUE"""),4310.0)</f>
        <v>4310</v>
      </c>
      <c r="E488" s="1">
        <f>IFERROR(__xludf.DUMMYFUNCTION("""COMPUTED_VALUE"""),4350.0)</f>
        <v>4350</v>
      </c>
      <c r="F488" s="1">
        <f>IFERROR(__xludf.DUMMYFUNCTION("""COMPUTED_VALUE"""),11630.0)</f>
        <v>11630</v>
      </c>
    </row>
    <row r="489">
      <c r="A489" s="2">
        <f>IFERROR(__xludf.DUMMYFUNCTION("""COMPUTED_VALUE"""),41626.645833333336)</f>
        <v>41626.64583</v>
      </c>
      <c r="B489" s="1">
        <f>IFERROR(__xludf.DUMMYFUNCTION("""COMPUTED_VALUE"""),4360.0)</f>
        <v>4360</v>
      </c>
      <c r="C489" s="1">
        <f>IFERROR(__xludf.DUMMYFUNCTION("""COMPUTED_VALUE"""),4385.0)</f>
        <v>4385</v>
      </c>
      <c r="D489" s="1">
        <f>IFERROR(__xludf.DUMMYFUNCTION("""COMPUTED_VALUE"""),4270.0)</f>
        <v>4270</v>
      </c>
      <c r="E489" s="1">
        <f>IFERROR(__xludf.DUMMYFUNCTION("""COMPUTED_VALUE"""),4270.0)</f>
        <v>4270</v>
      </c>
      <c r="F489" s="1">
        <f>IFERROR(__xludf.DUMMYFUNCTION("""COMPUTED_VALUE"""),4800.0)</f>
        <v>4800</v>
      </c>
    </row>
    <row r="490">
      <c r="A490" s="2">
        <f>IFERROR(__xludf.DUMMYFUNCTION("""COMPUTED_VALUE"""),41627.645833333336)</f>
        <v>41627.64583</v>
      </c>
      <c r="B490" s="1">
        <f>IFERROR(__xludf.DUMMYFUNCTION("""COMPUTED_VALUE"""),4270.0)</f>
        <v>4270</v>
      </c>
      <c r="C490" s="1">
        <f>IFERROR(__xludf.DUMMYFUNCTION("""COMPUTED_VALUE"""),4350.0)</f>
        <v>4350</v>
      </c>
      <c r="D490" s="1">
        <f>IFERROR(__xludf.DUMMYFUNCTION("""COMPUTED_VALUE"""),4200.0)</f>
        <v>4200</v>
      </c>
      <c r="E490" s="1">
        <f>IFERROR(__xludf.DUMMYFUNCTION("""COMPUTED_VALUE"""),4300.0)</f>
        <v>4300</v>
      </c>
      <c r="F490" s="1">
        <f>IFERROR(__xludf.DUMMYFUNCTION("""COMPUTED_VALUE"""),10190.0)</f>
        <v>10190</v>
      </c>
    </row>
    <row r="491">
      <c r="A491" s="2">
        <f>IFERROR(__xludf.DUMMYFUNCTION("""COMPUTED_VALUE"""),41628.645833333336)</f>
        <v>41628.64583</v>
      </c>
      <c r="B491" s="1">
        <f>IFERROR(__xludf.DUMMYFUNCTION("""COMPUTED_VALUE"""),4300.0)</f>
        <v>4300</v>
      </c>
      <c r="C491" s="1">
        <f>IFERROR(__xludf.DUMMYFUNCTION("""COMPUTED_VALUE"""),4310.0)</f>
        <v>4310</v>
      </c>
      <c r="D491" s="1">
        <f>IFERROR(__xludf.DUMMYFUNCTION("""COMPUTED_VALUE"""),4210.0)</f>
        <v>4210</v>
      </c>
      <c r="E491" s="1">
        <f>IFERROR(__xludf.DUMMYFUNCTION("""COMPUTED_VALUE"""),4310.0)</f>
        <v>4310</v>
      </c>
      <c r="F491" s="1">
        <f>IFERROR(__xludf.DUMMYFUNCTION("""COMPUTED_VALUE"""),15550.0)</f>
        <v>15550</v>
      </c>
    </row>
    <row r="492">
      <c r="A492" s="2">
        <f>IFERROR(__xludf.DUMMYFUNCTION("""COMPUTED_VALUE"""),41631.645833333336)</f>
        <v>41631.64583</v>
      </c>
      <c r="B492" s="1">
        <f>IFERROR(__xludf.DUMMYFUNCTION("""COMPUTED_VALUE"""),4305.0)</f>
        <v>4305</v>
      </c>
      <c r="C492" s="1">
        <f>IFERROR(__xludf.DUMMYFUNCTION("""COMPUTED_VALUE"""),4305.0)</f>
        <v>4305</v>
      </c>
      <c r="D492" s="1">
        <f>IFERROR(__xludf.DUMMYFUNCTION("""COMPUTED_VALUE"""),4175.0)</f>
        <v>4175</v>
      </c>
      <c r="E492" s="1">
        <f>IFERROR(__xludf.DUMMYFUNCTION("""COMPUTED_VALUE"""),4290.0)</f>
        <v>4290</v>
      </c>
      <c r="F492" s="1">
        <f>IFERROR(__xludf.DUMMYFUNCTION("""COMPUTED_VALUE"""),8770.0)</f>
        <v>8770</v>
      </c>
    </row>
    <row r="493">
      <c r="A493" s="2">
        <f>IFERROR(__xludf.DUMMYFUNCTION("""COMPUTED_VALUE"""),41632.645833333336)</f>
        <v>41632.64583</v>
      </c>
      <c r="B493" s="1">
        <f>IFERROR(__xludf.DUMMYFUNCTION("""COMPUTED_VALUE"""),4290.0)</f>
        <v>4290</v>
      </c>
      <c r="C493" s="1">
        <f>IFERROR(__xludf.DUMMYFUNCTION("""COMPUTED_VALUE"""),4290.0)</f>
        <v>4290</v>
      </c>
      <c r="D493" s="1">
        <f>IFERROR(__xludf.DUMMYFUNCTION("""COMPUTED_VALUE"""),4205.0)</f>
        <v>4205</v>
      </c>
      <c r="E493" s="1">
        <f>IFERROR(__xludf.DUMMYFUNCTION("""COMPUTED_VALUE"""),4225.0)</f>
        <v>4225</v>
      </c>
      <c r="F493" s="1">
        <f>IFERROR(__xludf.DUMMYFUNCTION("""COMPUTED_VALUE"""),6084.0)</f>
        <v>6084</v>
      </c>
    </row>
    <row r="494">
      <c r="A494" s="2">
        <f>IFERROR(__xludf.DUMMYFUNCTION("""COMPUTED_VALUE"""),41634.645833333336)</f>
        <v>41634.64583</v>
      </c>
      <c r="B494" s="1">
        <f>IFERROR(__xludf.DUMMYFUNCTION("""COMPUTED_VALUE"""),4170.0)</f>
        <v>4170</v>
      </c>
      <c r="C494" s="1">
        <f>IFERROR(__xludf.DUMMYFUNCTION("""COMPUTED_VALUE"""),4260.0)</f>
        <v>4260</v>
      </c>
      <c r="D494" s="1">
        <f>IFERROR(__xludf.DUMMYFUNCTION("""COMPUTED_VALUE"""),4170.0)</f>
        <v>4170</v>
      </c>
      <c r="E494" s="1">
        <f>IFERROR(__xludf.DUMMYFUNCTION("""COMPUTED_VALUE"""),4220.0)</f>
        <v>4220</v>
      </c>
      <c r="F494" s="1">
        <f>IFERROR(__xludf.DUMMYFUNCTION("""COMPUTED_VALUE"""),9576.0)</f>
        <v>9576</v>
      </c>
    </row>
    <row r="495">
      <c r="A495" s="2">
        <f>IFERROR(__xludf.DUMMYFUNCTION("""COMPUTED_VALUE"""),41635.645833333336)</f>
        <v>41635.64583</v>
      </c>
      <c r="B495" s="1">
        <f>IFERROR(__xludf.DUMMYFUNCTION("""COMPUTED_VALUE"""),4115.0)</f>
        <v>4115</v>
      </c>
      <c r="C495" s="1">
        <f>IFERROR(__xludf.DUMMYFUNCTION("""COMPUTED_VALUE"""),4265.0)</f>
        <v>4265</v>
      </c>
      <c r="D495" s="1">
        <f>IFERROR(__xludf.DUMMYFUNCTION("""COMPUTED_VALUE"""),4115.0)</f>
        <v>4115</v>
      </c>
      <c r="E495" s="1">
        <f>IFERROR(__xludf.DUMMYFUNCTION("""COMPUTED_VALUE"""),4250.0)</f>
        <v>4250</v>
      </c>
      <c r="F495" s="1">
        <f>IFERROR(__xludf.DUMMYFUNCTION("""COMPUTED_VALUE"""),6340.0)</f>
        <v>6340</v>
      </c>
    </row>
    <row r="496">
      <c r="A496" s="2">
        <f>IFERROR(__xludf.DUMMYFUNCTION("""COMPUTED_VALUE"""),41638.645833333336)</f>
        <v>41638.64583</v>
      </c>
      <c r="B496" s="1">
        <f>IFERROR(__xludf.DUMMYFUNCTION("""COMPUTED_VALUE"""),4250.0)</f>
        <v>4250</v>
      </c>
      <c r="C496" s="1">
        <f>IFERROR(__xludf.DUMMYFUNCTION("""COMPUTED_VALUE"""),4250.0)</f>
        <v>4250</v>
      </c>
      <c r="D496" s="1">
        <f>IFERROR(__xludf.DUMMYFUNCTION("""COMPUTED_VALUE"""),4165.0)</f>
        <v>4165</v>
      </c>
      <c r="E496" s="1">
        <f>IFERROR(__xludf.DUMMYFUNCTION("""COMPUTED_VALUE"""),4165.0)</f>
        <v>4165</v>
      </c>
      <c r="F496" s="1">
        <f>IFERROR(__xludf.DUMMYFUNCTION("""COMPUTED_VALUE"""),18380.0)</f>
        <v>18380</v>
      </c>
    </row>
    <row r="497">
      <c r="A497" s="2">
        <f>IFERROR(__xludf.DUMMYFUNCTION("""COMPUTED_VALUE"""),41641.645833333336)</f>
        <v>41641.64583</v>
      </c>
      <c r="B497" s="1">
        <f>IFERROR(__xludf.DUMMYFUNCTION("""COMPUTED_VALUE"""),4175.0)</f>
        <v>4175</v>
      </c>
      <c r="C497" s="1">
        <f>IFERROR(__xludf.DUMMYFUNCTION("""COMPUTED_VALUE"""),4250.0)</f>
        <v>4250</v>
      </c>
      <c r="D497" s="1">
        <f>IFERROR(__xludf.DUMMYFUNCTION("""COMPUTED_VALUE"""),4160.0)</f>
        <v>4160</v>
      </c>
      <c r="E497" s="1">
        <f>IFERROR(__xludf.DUMMYFUNCTION("""COMPUTED_VALUE"""),4230.0)</f>
        <v>4230</v>
      </c>
      <c r="F497" s="1">
        <f>IFERROR(__xludf.DUMMYFUNCTION("""COMPUTED_VALUE"""),21890.0)</f>
        <v>21890</v>
      </c>
    </row>
    <row r="498">
      <c r="A498" s="2">
        <f>IFERROR(__xludf.DUMMYFUNCTION("""COMPUTED_VALUE"""),41642.645833333336)</f>
        <v>41642.64583</v>
      </c>
      <c r="B498" s="1">
        <f>IFERROR(__xludf.DUMMYFUNCTION("""COMPUTED_VALUE"""),4205.0)</f>
        <v>4205</v>
      </c>
      <c r="C498" s="1">
        <f>IFERROR(__xludf.DUMMYFUNCTION("""COMPUTED_VALUE"""),4230.0)</f>
        <v>4230</v>
      </c>
      <c r="D498" s="1">
        <f>IFERROR(__xludf.DUMMYFUNCTION("""COMPUTED_VALUE"""),4150.0)</f>
        <v>4150</v>
      </c>
      <c r="E498" s="1">
        <f>IFERROR(__xludf.DUMMYFUNCTION("""COMPUTED_VALUE"""),4185.0)</f>
        <v>4185</v>
      </c>
      <c r="F498" s="1">
        <f>IFERROR(__xludf.DUMMYFUNCTION("""COMPUTED_VALUE"""),10420.0)</f>
        <v>10420</v>
      </c>
    </row>
    <row r="499">
      <c r="A499" s="2">
        <f>IFERROR(__xludf.DUMMYFUNCTION("""COMPUTED_VALUE"""),41645.645833333336)</f>
        <v>41645.64583</v>
      </c>
      <c r="B499" s="1">
        <f>IFERROR(__xludf.DUMMYFUNCTION("""COMPUTED_VALUE"""),4185.0)</f>
        <v>4185</v>
      </c>
      <c r="C499" s="1">
        <f>IFERROR(__xludf.DUMMYFUNCTION("""COMPUTED_VALUE"""),4185.0)</f>
        <v>4185</v>
      </c>
      <c r="D499" s="1">
        <f>IFERROR(__xludf.DUMMYFUNCTION("""COMPUTED_VALUE"""),4110.0)</f>
        <v>4110</v>
      </c>
      <c r="E499" s="1">
        <f>IFERROR(__xludf.DUMMYFUNCTION("""COMPUTED_VALUE"""),4185.0)</f>
        <v>4185</v>
      </c>
      <c r="F499" s="1">
        <f>IFERROR(__xludf.DUMMYFUNCTION("""COMPUTED_VALUE"""),9860.0)</f>
        <v>9860</v>
      </c>
    </row>
    <row r="500">
      <c r="A500" s="2">
        <f>IFERROR(__xludf.DUMMYFUNCTION("""COMPUTED_VALUE"""),41646.645833333336)</f>
        <v>41646.64583</v>
      </c>
      <c r="B500" s="1">
        <f>IFERROR(__xludf.DUMMYFUNCTION("""COMPUTED_VALUE"""),4085.0)</f>
        <v>4085</v>
      </c>
      <c r="C500" s="1">
        <f>IFERROR(__xludf.DUMMYFUNCTION("""COMPUTED_VALUE"""),4185.0)</f>
        <v>4185</v>
      </c>
      <c r="D500" s="1">
        <f>IFERROR(__xludf.DUMMYFUNCTION("""COMPUTED_VALUE"""),4085.0)</f>
        <v>4085</v>
      </c>
      <c r="E500" s="1">
        <f>IFERROR(__xludf.DUMMYFUNCTION("""COMPUTED_VALUE"""),4145.0)</f>
        <v>4145</v>
      </c>
      <c r="F500" s="1">
        <f>IFERROR(__xludf.DUMMYFUNCTION("""COMPUTED_VALUE"""),9811.0)</f>
        <v>9811</v>
      </c>
    </row>
    <row r="501">
      <c r="A501" s="2">
        <f>IFERROR(__xludf.DUMMYFUNCTION("""COMPUTED_VALUE"""),41647.645833333336)</f>
        <v>41647.64583</v>
      </c>
      <c r="B501" s="1">
        <f>IFERROR(__xludf.DUMMYFUNCTION("""COMPUTED_VALUE"""),4195.0)</f>
        <v>4195</v>
      </c>
      <c r="C501" s="1">
        <f>IFERROR(__xludf.DUMMYFUNCTION("""COMPUTED_VALUE"""),4280.0)</f>
        <v>4280</v>
      </c>
      <c r="D501" s="1">
        <f>IFERROR(__xludf.DUMMYFUNCTION("""COMPUTED_VALUE"""),4120.0)</f>
        <v>4120</v>
      </c>
      <c r="E501" s="1">
        <f>IFERROR(__xludf.DUMMYFUNCTION("""COMPUTED_VALUE"""),4240.0)</f>
        <v>4240</v>
      </c>
      <c r="F501" s="1">
        <f>IFERROR(__xludf.DUMMYFUNCTION("""COMPUTED_VALUE"""),23603.0)</f>
        <v>23603</v>
      </c>
    </row>
    <row r="502">
      <c r="A502" s="2">
        <f>IFERROR(__xludf.DUMMYFUNCTION("""COMPUTED_VALUE"""),41648.645833333336)</f>
        <v>41648.64583</v>
      </c>
      <c r="B502" s="1">
        <f>IFERROR(__xludf.DUMMYFUNCTION("""COMPUTED_VALUE"""),4240.0)</f>
        <v>4240</v>
      </c>
      <c r="C502" s="1">
        <f>IFERROR(__xludf.DUMMYFUNCTION("""COMPUTED_VALUE"""),4475.0)</f>
        <v>4475</v>
      </c>
      <c r="D502" s="1">
        <f>IFERROR(__xludf.DUMMYFUNCTION("""COMPUTED_VALUE"""),4240.0)</f>
        <v>4240</v>
      </c>
      <c r="E502" s="1">
        <f>IFERROR(__xludf.DUMMYFUNCTION("""COMPUTED_VALUE"""),4385.0)</f>
        <v>4385</v>
      </c>
      <c r="F502" s="1">
        <f>IFERROR(__xludf.DUMMYFUNCTION("""COMPUTED_VALUE"""),21867.0)</f>
        <v>21867</v>
      </c>
    </row>
    <row r="503">
      <c r="A503" s="2">
        <f>IFERROR(__xludf.DUMMYFUNCTION("""COMPUTED_VALUE"""),41649.645833333336)</f>
        <v>41649.64583</v>
      </c>
      <c r="B503" s="1">
        <f>IFERROR(__xludf.DUMMYFUNCTION("""COMPUTED_VALUE"""),4420.0)</f>
        <v>4420</v>
      </c>
      <c r="C503" s="1">
        <f>IFERROR(__xludf.DUMMYFUNCTION("""COMPUTED_VALUE"""),4490.0)</f>
        <v>4490</v>
      </c>
      <c r="D503" s="1">
        <f>IFERROR(__xludf.DUMMYFUNCTION("""COMPUTED_VALUE"""),4320.0)</f>
        <v>4320</v>
      </c>
      <c r="E503" s="1">
        <f>IFERROR(__xludf.DUMMYFUNCTION("""COMPUTED_VALUE"""),4380.0)</f>
        <v>4380</v>
      </c>
      <c r="F503" s="1">
        <f>IFERROR(__xludf.DUMMYFUNCTION("""COMPUTED_VALUE"""),14800.0)</f>
        <v>14800</v>
      </c>
    </row>
    <row r="504">
      <c r="A504" s="2">
        <f>IFERROR(__xludf.DUMMYFUNCTION("""COMPUTED_VALUE"""),41652.645833333336)</f>
        <v>41652.64583</v>
      </c>
      <c r="B504" s="1">
        <f>IFERROR(__xludf.DUMMYFUNCTION("""COMPUTED_VALUE"""),4275.0)</f>
        <v>4275</v>
      </c>
      <c r="C504" s="1">
        <f>IFERROR(__xludf.DUMMYFUNCTION("""COMPUTED_VALUE"""),4375.0)</f>
        <v>4375</v>
      </c>
      <c r="D504" s="1">
        <f>IFERROR(__xludf.DUMMYFUNCTION("""COMPUTED_VALUE"""),4275.0)</f>
        <v>4275</v>
      </c>
      <c r="E504" s="1">
        <f>IFERROR(__xludf.DUMMYFUNCTION("""COMPUTED_VALUE"""),4360.0)</f>
        <v>4360</v>
      </c>
      <c r="F504" s="1">
        <f>IFERROR(__xludf.DUMMYFUNCTION("""COMPUTED_VALUE"""),5883.0)</f>
        <v>5883</v>
      </c>
    </row>
    <row r="505">
      <c r="A505" s="2">
        <f>IFERROR(__xludf.DUMMYFUNCTION("""COMPUTED_VALUE"""),41653.645833333336)</f>
        <v>41653.64583</v>
      </c>
      <c r="B505" s="1">
        <f>IFERROR(__xludf.DUMMYFUNCTION("""COMPUTED_VALUE"""),4270.0)</f>
        <v>4270</v>
      </c>
      <c r="C505" s="1">
        <f>IFERROR(__xludf.DUMMYFUNCTION("""COMPUTED_VALUE"""),4360.0)</f>
        <v>4360</v>
      </c>
      <c r="D505" s="1">
        <f>IFERROR(__xludf.DUMMYFUNCTION("""COMPUTED_VALUE"""),4260.0)</f>
        <v>4260</v>
      </c>
      <c r="E505" s="1">
        <f>IFERROR(__xludf.DUMMYFUNCTION("""COMPUTED_VALUE"""),4300.0)</f>
        <v>4300</v>
      </c>
      <c r="F505" s="1">
        <f>IFERROR(__xludf.DUMMYFUNCTION("""COMPUTED_VALUE"""),10360.0)</f>
        <v>10360</v>
      </c>
    </row>
    <row r="506">
      <c r="A506" s="2">
        <f>IFERROR(__xludf.DUMMYFUNCTION("""COMPUTED_VALUE"""),41654.645833333336)</f>
        <v>41654.64583</v>
      </c>
      <c r="B506" s="1">
        <f>IFERROR(__xludf.DUMMYFUNCTION("""COMPUTED_VALUE"""),4265.0)</f>
        <v>4265</v>
      </c>
      <c r="C506" s="1">
        <f>IFERROR(__xludf.DUMMYFUNCTION("""COMPUTED_VALUE"""),4380.0)</f>
        <v>4380</v>
      </c>
      <c r="D506" s="1">
        <f>IFERROR(__xludf.DUMMYFUNCTION("""COMPUTED_VALUE"""),4265.0)</f>
        <v>4265</v>
      </c>
      <c r="E506" s="1">
        <f>IFERROR(__xludf.DUMMYFUNCTION("""COMPUTED_VALUE"""),4330.0)</f>
        <v>4330</v>
      </c>
      <c r="F506" s="1">
        <f>IFERROR(__xludf.DUMMYFUNCTION("""COMPUTED_VALUE"""),5920.0)</f>
        <v>5920</v>
      </c>
    </row>
    <row r="507">
      <c r="A507" s="2">
        <f>IFERROR(__xludf.DUMMYFUNCTION("""COMPUTED_VALUE"""),41655.645833333336)</f>
        <v>41655.64583</v>
      </c>
      <c r="B507" s="1">
        <f>IFERROR(__xludf.DUMMYFUNCTION("""COMPUTED_VALUE"""),4330.0)</f>
        <v>4330</v>
      </c>
      <c r="C507" s="1">
        <f>IFERROR(__xludf.DUMMYFUNCTION("""COMPUTED_VALUE"""),4365.0)</f>
        <v>4365</v>
      </c>
      <c r="D507" s="1">
        <f>IFERROR(__xludf.DUMMYFUNCTION("""COMPUTED_VALUE"""),4280.0)</f>
        <v>4280</v>
      </c>
      <c r="E507" s="1">
        <f>IFERROR(__xludf.DUMMYFUNCTION("""COMPUTED_VALUE"""),4325.0)</f>
        <v>4325</v>
      </c>
      <c r="F507" s="1">
        <f>IFERROR(__xludf.DUMMYFUNCTION("""COMPUTED_VALUE"""),8730.0)</f>
        <v>8730</v>
      </c>
    </row>
    <row r="508">
      <c r="A508" s="2">
        <f>IFERROR(__xludf.DUMMYFUNCTION("""COMPUTED_VALUE"""),41656.645833333336)</f>
        <v>41656.64583</v>
      </c>
      <c r="B508" s="1">
        <f>IFERROR(__xludf.DUMMYFUNCTION("""COMPUTED_VALUE"""),4220.0)</f>
        <v>4220</v>
      </c>
      <c r="C508" s="1">
        <f>IFERROR(__xludf.DUMMYFUNCTION("""COMPUTED_VALUE"""),4330.0)</f>
        <v>4330</v>
      </c>
      <c r="D508" s="1">
        <f>IFERROR(__xludf.DUMMYFUNCTION("""COMPUTED_VALUE"""),4220.0)</f>
        <v>4220</v>
      </c>
      <c r="E508" s="1">
        <f>IFERROR(__xludf.DUMMYFUNCTION("""COMPUTED_VALUE"""),4265.0)</f>
        <v>4265</v>
      </c>
      <c r="F508" s="1">
        <f>IFERROR(__xludf.DUMMYFUNCTION("""COMPUTED_VALUE"""),3525.0)</f>
        <v>3525</v>
      </c>
    </row>
    <row r="509">
      <c r="A509" s="2">
        <f>IFERROR(__xludf.DUMMYFUNCTION("""COMPUTED_VALUE"""),41659.645833333336)</f>
        <v>41659.64583</v>
      </c>
      <c r="B509" s="1">
        <f>IFERROR(__xludf.DUMMYFUNCTION("""COMPUTED_VALUE"""),4265.0)</f>
        <v>4265</v>
      </c>
      <c r="C509" s="1">
        <f>IFERROR(__xludf.DUMMYFUNCTION("""COMPUTED_VALUE"""),4265.0)</f>
        <v>4265</v>
      </c>
      <c r="D509" s="1">
        <f>IFERROR(__xludf.DUMMYFUNCTION("""COMPUTED_VALUE"""),4205.0)</f>
        <v>4205</v>
      </c>
      <c r="E509" s="1">
        <f>IFERROR(__xludf.DUMMYFUNCTION("""COMPUTED_VALUE"""),4215.0)</f>
        <v>4215</v>
      </c>
      <c r="F509" s="1">
        <f>IFERROR(__xludf.DUMMYFUNCTION("""COMPUTED_VALUE"""),12335.0)</f>
        <v>12335</v>
      </c>
    </row>
    <row r="510">
      <c r="A510" s="2">
        <f>IFERROR(__xludf.DUMMYFUNCTION("""COMPUTED_VALUE"""),41660.645833333336)</f>
        <v>41660.64583</v>
      </c>
      <c r="B510" s="1">
        <f>IFERROR(__xludf.DUMMYFUNCTION("""COMPUTED_VALUE"""),4215.0)</f>
        <v>4215</v>
      </c>
      <c r="C510" s="1">
        <f>IFERROR(__xludf.DUMMYFUNCTION("""COMPUTED_VALUE"""),4265.0)</f>
        <v>4265</v>
      </c>
      <c r="D510" s="1">
        <f>IFERROR(__xludf.DUMMYFUNCTION("""COMPUTED_VALUE"""),4160.0)</f>
        <v>4160</v>
      </c>
      <c r="E510" s="1">
        <f>IFERROR(__xludf.DUMMYFUNCTION("""COMPUTED_VALUE"""),4245.0)</f>
        <v>4245</v>
      </c>
      <c r="F510" s="1">
        <f>IFERROR(__xludf.DUMMYFUNCTION("""COMPUTED_VALUE"""),8761.0)</f>
        <v>8761</v>
      </c>
    </row>
    <row r="511">
      <c r="A511" s="2">
        <f>IFERROR(__xludf.DUMMYFUNCTION("""COMPUTED_VALUE"""),41661.645833333336)</f>
        <v>41661.64583</v>
      </c>
      <c r="B511" s="1">
        <f>IFERROR(__xludf.DUMMYFUNCTION("""COMPUTED_VALUE"""),4230.0)</f>
        <v>4230</v>
      </c>
      <c r="C511" s="1">
        <f>IFERROR(__xludf.DUMMYFUNCTION("""COMPUTED_VALUE"""),4320.0)</f>
        <v>4320</v>
      </c>
      <c r="D511" s="1">
        <f>IFERROR(__xludf.DUMMYFUNCTION("""COMPUTED_VALUE"""),4220.0)</f>
        <v>4220</v>
      </c>
      <c r="E511" s="1">
        <f>IFERROR(__xludf.DUMMYFUNCTION("""COMPUTED_VALUE"""),4320.0)</f>
        <v>4320</v>
      </c>
      <c r="F511" s="1">
        <f>IFERROR(__xludf.DUMMYFUNCTION("""COMPUTED_VALUE"""),8442.0)</f>
        <v>8442</v>
      </c>
    </row>
    <row r="512">
      <c r="A512" s="2">
        <f>IFERROR(__xludf.DUMMYFUNCTION("""COMPUTED_VALUE"""),41662.645833333336)</f>
        <v>41662.64583</v>
      </c>
      <c r="B512" s="1">
        <f>IFERROR(__xludf.DUMMYFUNCTION("""COMPUTED_VALUE"""),4320.0)</f>
        <v>4320</v>
      </c>
      <c r="C512" s="1">
        <f>IFERROR(__xludf.DUMMYFUNCTION("""COMPUTED_VALUE"""),4360.0)</f>
        <v>4360</v>
      </c>
      <c r="D512" s="1">
        <f>IFERROR(__xludf.DUMMYFUNCTION("""COMPUTED_VALUE"""),4275.0)</f>
        <v>4275</v>
      </c>
      <c r="E512" s="1">
        <f>IFERROR(__xludf.DUMMYFUNCTION("""COMPUTED_VALUE"""),4300.0)</f>
        <v>4300</v>
      </c>
      <c r="F512" s="1">
        <f>IFERROR(__xludf.DUMMYFUNCTION("""COMPUTED_VALUE"""),14672.0)</f>
        <v>14672</v>
      </c>
    </row>
    <row r="513">
      <c r="A513" s="2">
        <f>IFERROR(__xludf.DUMMYFUNCTION("""COMPUTED_VALUE"""),41663.645833333336)</f>
        <v>41663.64583</v>
      </c>
      <c r="B513" s="1">
        <f>IFERROR(__xludf.DUMMYFUNCTION("""COMPUTED_VALUE"""),4310.0)</f>
        <v>4310</v>
      </c>
      <c r="C513" s="1">
        <f>IFERROR(__xludf.DUMMYFUNCTION("""COMPUTED_VALUE"""),4335.0)</f>
        <v>4335</v>
      </c>
      <c r="D513" s="1">
        <f>IFERROR(__xludf.DUMMYFUNCTION("""COMPUTED_VALUE"""),4260.0)</f>
        <v>4260</v>
      </c>
      <c r="E513" s="1">
        <f>IFERROR(__xludf.DUMMYFUNCTION("""COMPUTED_VALUE"""),4305.0)</f>
        <v>4305</v>
      </c>
      <c r="F513" s="1">
        <f>IFERROR(__xludf.DUMMYFUNCTION("""COMPUTED_VALUE"""),3210.0)</f>
        <v>3210</v>
      </c>
    </row>
    <row r="514">
      <c r="A514" s="2">
        <f>IFERROR(__xludf.DUMMYFUNCTION("""COMPUTED_VALUE"""),41666.645833333336)</f>
        <v>41666.64583</v>
      </c>
      <c r="B514" s="1">
        <f>IFERROR(__xludf.DUMMYFUNCTION("""COMPUTED_VALUE"""),4140.0)</f>
        <v>4140</v>
      </c>
      <c r="C514" s="1">
        <f>IFERROR(__xludf.DUMMYFUNCTION("""COMPUTED_VALUE"""),4220.0)</f>
        <v>4220</v>
      </c>
      <c r="D514" s="1">
        <f>IFERROR(__xludf.DUMMYFUNCTION("""COMPUTED_VALUE"""),4140.0)</f>
        <v>4140</v>
      </c>
      <c r="E514" s="1">
        <f>IFERROR(__xludf.DUMMYFUNCTION("""COMPUTED_VALUE"""),4220.0)</f>
        <v>4220</v>
      </c>
      <c r="F514" s="1">
        <f>IFERROR(__xludf.DUMMYFUNCTION("""COMPUTED_VALUE"""),9960.0)</f>
        <v>9960</v>
      </c>
    </row>
    <row r="515">
      <c r="A515" s="2">
        <f>IFERROR(__xludf.DUMMYFUNCTION("""COMPUTED_VALUE"""),41667.645833333336)</f>
        <v>41667.64583</v>
      </c>
      <c r="B515" s="1">
        <f>IFERROR(__xludf.DUMMYFUNCTION("""COMPUTED_VALUE"""),4220.0)</f>
        <v>4220</v>
      </c>
      <c r="C515" s="1">
        <f>IFERROR(__xludf.DUMMYFUNCTION("""COMPUTED_VALUE"""),4290.0)</f>
        <v>4290</v>
      </c>
      <c r="D515" s="1">
        <f>IFERROR(__xludf.DUMMYFUNCTION("""COMPUTED_VALUE"""),4165.0)</f>
        <v>4165</v>
      </c>
      <c r="E515" s="1">
        <f>IFERROR(__xludf.DUMMYFUNCTION("""COMPUTED_VALUE"""),4210.0)</f>
        <v>4210</v>
      </c>
      <c r="F515" s="1">
        <f>IFERROR(__xludf.DUMMYFUNCTION("""COMPUTED_VALUE"""),10600.0)</f>
        <v>10600</v>
      </c>
    </row>
    <row r="516">
      <c r="A516" s="2">
        <f>IFERROR(__xludf.DUMMYFUNCTION("""COMPUTED_VALUE"""),41668.645833333336)</f>
        <v>41668.64583</v>
      </c>
      <c r="B516" s="1">
        <f>IFERROR(__xludf.DUMMYFUNCTION("""COMPUTED_VALUE"""),4275.0)</f>
        <v>4275</v>
      </c>
      <c r="C516" s="1">
        <f>IFERROR(__xludf.DUMMYFUNCTION("""COMPUTED_VALUE"""),4275.0)</f>
        <v>4275</v>
      </c>
      <c r="D516" s="1">
        <f>IFERROR(__xludf.DUMMYFUNCTION("""COMPUTED_VALUE"""),4180.0)</f>
        <v>4180</v>
      </c>
      <c r="E516" s="1">
        <f>IFERROR(__xludf.DUMMYFUNCTION("""COMPUTED_VALUE"""),4180.0)</f>
        <v>4180</v>
      </c>
      <c r="F516" s="1">
        <f>IFERROR(__xludf.DUMMYFUNCTION("""COMPUTED_VALUE"""),8420.0)</f>
        <v>8420</v>
      </c>
    </row>
    <row r="517">
      <c r="A517" s="2">
        <f>IFERROR(__xludf.DUMMYFUNCTION("""COMPUTED_VALUE"""),41673.645833333336)</f>
        <v>41673.64583</v>
      </c>
      <c r="B517" s="1">
        <f>IFERROR(__xludf.DUMMYFUNCTION("""COMPUTED_VALUE"""),4180.0)</f>
        <v>4180</v>
      </c>
      <c r="C517" s="1">
        <f>IFERROR(__xludf.DUMMYFUNCTION("""COMPUTED_VALUE"""),4255.0)</f>
        <v>4255</v>
      </c>
      <c r="D517" s="1">
        <f>IFERROR(__xludf.DUMMYFUNCTION("""COMPUTED_VALUE"""),4120.0)</f>
        <v>4120</v>
      </c>
      <c r="E517" s="1">
        <f>IFERROR(__xludf.DUMMYFUNCTION("""COMPUTED_VALUE"""),4155.0)</f>
        <v>4155</v>
      </c>
      <c r="F517" s="1">
        <f>IFERROR(__xludf.DUMMYFUNCTION("""COMPUTED_VALUE"""),6060.0)</f>
        <v>6060</v>
      </c>
    </row>
    <row r="518">
      <c r="A518" s="2">
        <f>IFERROR(__xludf.DUMMYFUNCTION("""COMPUTED_VALUE"""),41674.645833333336)</f>
        <v>41674.64583</v>
      </c>
      <c r="B518" s="1">
        <f>IFERROR(__xludf.DUMMYFUNCTION("""COMPUTED_VALUE"""),4075.0)</f>
        <v>4075</v>
      </c>
      <c r="C518" s="1">
        <f>IFERROR(__xludf.DUMMYFUNCTION("""COMPUTED_VALUE"""),4145.0)</f>
        <v>4145</v>
      </c>
      <c r="D518" s="1">
        <f>IFERROR(__xludf.DUMMYFUNCTION("""COMPUTED_VALUE"""),4000.0)</f>
        <v>4000</v>
      </c>
      <c r="E518" s="1">
        <f>IFERROR(__xludf.DUMMYFUNCTION("""COMPUTED_VALUE"""),4145.0)</f>
        <v>4145</v>
      </c>
      <c r="F518" s="1">
        <f>IFERROR(__xludf.DUMMYFUNCTION("""COMPUTED_VALUE"""),29600.0)</f>
        <v>29600</v>
      </c>
    </row>
    <row r="519">
      <c r="A519" s="2">
        <f>IFERROR(__xludf.DUMMYFUNCTION("""COMPUTED_VALUE"""),41675.645833333336)</f>
        <v>41675.64583</v>
      </c>
      <c r="B519" s="1">
        <f>IFERROR(__xludf.DUMMYFUNCTION("""COMPUTED_VALUE"""),4190.0)</f>
        <v>4190</v>
      </c>
      <c r="C519" s="1">
        <f>IFERROR(__xludf.DUMMYFUNCTION("""COMPUTED_VALUE"""),4200.0)</f>
        <v>4200</v>
      </c>
      <c r="D519" s="1">
        <f>IFERROR(__xludf.DUMMYFUNCTION("""COMPUTED_VALUE"""),4050.0)</f>
        <v>4050</v>
      </c>
      <c r="E519" s="1">
        <f>IFERROR(__xludf.DUMMYFUNCTION("""COMPUTED_VALUE"""),4180.0)</f>
        <v>4180</v>
      </c>
      <c r="F519" s="1">
        <f>IFERROR(__xludf.DUMMYFUNCTION("""COMPUTED_VALUE"""),10910.0)</f>
        <v>10910</v>
      </c>
    </row>
    <row r="520">
      <c r="A520" s="2">
        <f>IFERROR(__xludf.DUMMYFUNCTION("""COMPUTED_VALUE"""),41676.645833333336)</f>
        <v>41676.64583</v>
      </c>
      <c r="B520" s="1">
        <f>IFERROR(__xludf.DUMMYFUNCTION("""COMPUTED_VALUE"""),4240.0)</f>
        <v>4240</v>
      </c>
      <c r="C520" s="1">
        <f>IFERROR(__xludf.DUMMYFUNCTION("""COMPUTED_VALUE"""),4240.0)</f>
        <v>4240</v>
      </c>
      <c r="D520" s="1">
        <f>IFERROR(__xludf.DUMMYFUNCTION("""COMPUTED_VALUE"""),4100.0)</f>
        <v>4100</v>
      </c>
      <c r="E520" s="1">
        <f>IFERROR(__xludf.DUMMYFUNCTION("""COMPUTED_VALUE"""),4170.0)</f>
        <v>4170</v>
      </c>
      <c r="F520" s="1">
        <f>IFERROR(__xludf.DUMMYFUNCTION("""COMPUTED_VALUE"""),29119.0)</f>
        <v>29119</v>
      </c>
    </row>
    <row r="521">
      <c r="A521" s="2">
        <f>IFERROR(__xludf.DUMMYFUNCTION("""COMPUTED_VALUE"""),41677.645833333336)</f>
        <v>41677.64583</v>
      </c>
      <c r="B521" s="1">
        <f>IFERROR(__xludf.DUMMYFUNCTION("""COMPUTED_VALUE"""),4180.0)</f>
        <v>4180</v>
      </c>
      <c r="C521" s="1">
        <f>IFERROR(__xludf.DUMMYFUNCTION("""COMPUTED_VALUE"""),4230.0)</f>
        <v>4230</v>
      </c>
      <c r="D521" s="1">
        <f>IFERROR(__xludf.DUMMYFUNCTION("""COMPUTED_VALUE"""),4140.0)</f>
        <v>4140</v>
      </c>
      <c r="E521" s="1">
        <f>IFERROR(__xludf.DUMMYFUNCTION("""COMPUTED_VALUE"""),4195.0)</f>
        <v>4195</v>
      </c>
      <c r="F521" s="1">
        <f>IFERROR(__xludf.DUMMYFUNCTION("""COMPUTED_VALUE"""),16332.0)</f>
        <v>16332</v>
      </c>
    </row>
    <row r="522">
      <c r="A522" s="2">
        <f>IFERROR(__xludf.DUMMYFUNCTION("""COMPUTED_VALUE"""),41680.645833333336)</f>
        <v>41680.64583</v>
      </c>
      <c r="B522" s="1">
        <f>IFERROR(__xludf.DUMMYFUNCTION("""COMPUTED_VALUE"""),4200.0)</f>
        <v>4200</v>
      </c>
      <c r="C522" s="1">
        <f>IFERROR(__xludf.DUMMYFUNCTION("""COMPUTED_VALUE"""),4200.0)</f>
        <v>4200</v>
      </c>
      <c r="D522" s="1">
        <f>IFERROR(__xludf.DUMMYFUNCTION("""COMPUTED_VALUE"""),4125.0)</f>
        <v>4125</v>
      </c>
      <c r="E522" s="1">
        <f>IFERROR(__xludf.DUMMYFUNCTION("""COMPUTED_VALUE"""),4200.0)</f>
        <v>4200</v>
      </c>
      <c r="F522" s="1">
        <f>IFERROR(__xludf.DUMMYFUNCTION("""COMPUTED_VALUE"""),10121.0)</f>
        <v>10121</v>
      </c>
    </row>
    <row r="523">
      <c r="A523" s="2">
        <f>IFERROR(__xludf.DUMMYFUNCTION("""COMPUTED_VALUE"""),41681.645833333336)</f>
        <v>41681.64583</v>
      </c>
      <c r="B523" s="1">
        <f>IFERROR(__xludf.DUMMYFUNCTION("""COMPUTED_VALUE"""),4210.0)</f>
        <v>4210</v>
      </c>
      <c r="C523" s="1">
        <f>IFERROR(__xludf.DUMMYFUNCTION("""COMPUTED_VALUE"""),4210.0)</f>
        <v>4210</v>
      </c>
      <c r="D523" s="1">
        <f>IFERROR(__xludf.DUMMYFUNCTION("""COMPUTED_VALUE"""),4120.0)</f>
        <v>4120</v>
      </c>
      <c r="E523" s="1">
        <f>IFERROR(__xludf.DUMMYFUNCTION("""COMPUTED_VALUE"""),4190.0)</f>
        <v>4190</v>
      </c>
      <c r="F523" s="1">
        <f>IFERROR(__xludf.DUMMYFUNCTION("""COMPUTED_VALUE"""),9701.0)</f>
        <v>9701</v>
      </c>
    </row>
    <row r="524">
      <c r="A524" s="2">
        <f>IFERROR(__xludf.DUMMYFUNCTION("""COMPUTED_VALUE"""),41682.645833333336)</f>
        <v>41682.64583</v>
      </c>
      <c r="B524" s="1">
        <f>IFERROR(__xludf.DUMMYFUNCTION("""COMPUTED_VALUE"""),4145.0)</f>
        <v>4145</v>
      </c>
      <c r="C524" s="1">
        <f>IFERROR(__xludf.DUMMYFUNCTION("""COMPUTED_VALUE"""),4190.0)</f>
        <v>4190</v>
      </c>
      <c r="D524" s="1">
        <f>IFERROR(__xludf.DUMMYFUNCTION("""COMPUTED_VALUE"""),4135.0)</f>
        <v>4135</v>
      </c>
      <c r="E524" s="1">
        <f>IFERROR(__xludf.DUMMYFUNCTION("""COMPUTED_VALUE"""),4150.0)</f>
        <v>4150</v>
      </c>
      <c r="F524" s="1">
        <f>IFERROR(__xludf.DUMMYFUNCTION("""COMPUTED_VALUE"""),11000.0)</f>
        <v>11000</v>
      </c>
    </row>
    <row r="525">
      <c r="A525" s="2">
        <f>IFERROR(__xludf.DUMMYFUNCTION("""COMPUTED_VALUE"""),41683.645833333336)</f>
        <v>41683.64583</v>
      </c>
      <c r="B525" s="1">
        <f>IFERROR(__xludf.DUMMYFUNCTION("""COMPUTED_VALUE"""),4150.0)</f>
        <v>4150</v>
      </c>
      <c r="C525" s="1">
        <f>IFERROR(__xludf.DUMMYFUNCTION("""COMPUTED_VALUE"""),4210.0)</f>
        <v>4210</v>
      </c>
      <c r="D525" s="1">
        <f>IFERROR(__xludf.DUMMYFUNCTION("""COMPUTED_VALUE"""),4125.0)</f>
        <v>4125</v>
      </c>
      <c r="E525" s="1">
        <f>IFERROR(__xludf.DUMMYFUNCTION("""COMPUTED_VALUE"""),4125.0)</f>
        <v>4125</v>
      </c>
      <c r="F525" s="1">
        <f>IFERROR(__xludf.DUMMYFUNCTION("""COMPUTED_VALUE"""),11802.0)</f>
        <v>11802</v>
      </c>
    </row>
    <row r="526">
      <c r="A526" s="2">
        <f>IFERROR(__xludf.DUMMYFUNCTION("""COMPUTED_VALUE"""),41684.645833333336)</f>
        <v>41684.64583</v>
      </c>
      <c r="B526" s="1">
        <f>IFERROR(__xludf.DUMMYFUNCTION("""COMPUTED_VALUE"""),4140.0)</f>
        <v>4140</v>
      </c>
      <c r="C526" s="1">
        <f>IFERROR(__xludf.DUMMYFUNCTION("""COMPUTED_VALUE"""),4230.0)</f>
        <v>4230</v>
      </c>
      <c r="D526" s="1">
        <f>IFERROR(__xludf.DUMMYFUNCTION("""COMPUTED_VALUE"""),4110.0)</f>
        <v>4110</v>
      </c>
      <c r="E526" s="1">
        <f>IFERROR(__xludf.DUMMYFUNCTION("""COMPUTED_VALUE"""),4225.0)</f>
        <v>4225</v>
      </c>
      <c r="F526" s="1">
        <f>IFERROR(__xludf.DUMMYFUNCTION("""COMPUTED_VALUE"""),15110.0)</f>
        <v>15110</v>
      </c>
    </row>
    <row r="527">
      <c r="A527" s="2">
        <f>IFERROR(__xludf.DUMMYFUNCTION("""COMPUTED_VALUE"""),41687.645833333336)</f>
        <v>41687.64583</v>
      </c>
      <c r="B527" s="1">
        <f>IFERROR(__xludf.DUMMYFUNCTION("""COMPUTED_VALUE"""),4225.0)</f>
        <v>4225</v>
      </c>
      <c r="C527" s="1">
        <f>IFERROR(__xludf.DUMMYFUNCTION("""COMPUTED_VALUE"""),4310.0)</f>
        <v>4310</v>
      </c>
      <c r="D527" s="1">
        <f>IFERROR(__xludf.DUMMYFUNCTION("""COMPUTED_VALUE"""),4150.0)</f>
        <v>4150</v>
      </c>
      <c r="E527" s="1">
        <f>IFERROR(__xludf.DUMMYFUNCTION("""COMPUTED_VALUE"""),4305.0)</f>
        <v>4305</v>
      </c>
      <c r="F527" s="1">
        <f>IFERROR(__xludf.DUMMYFUNCTION("""COMPUTED_VALUE"""),20240.0)</f>
        <v>20240</v>
      </c>
    </row>
    <row r="528">
      <c r="A528" s="2">
        <f>IFERROR(__xludf.DUMMYFUNCTION("""COMPUTED_VALUE"""),41688.645833333336)</f>
        <v>41688.64583</v>
      </c>
      <c r="B528" s="1">
        <f>IFERROR(__xludf.DUMMYFUNCTION("""COMPUTED_VALUE"""),4335.0)</f>
        <v>4335</v>
      </c>
      <c r="C528" s="1">
        <f>IFERROR(__xludf.DUMMYFUNCTION("""COMPUTED_VALUE"""),4335.0)</f>
        <v>4335</v>
      </c>
      <c r="D528" s="1">
        <f>IFERROR(__xludf.DUMMYFUNCTION("""COMPUTED_VALUE"""),4255.0)</f>
        <v>4255</v>
      </c>
      <c r="E528" s="1">
        <f>IFERROR(__xludf.DUMMYFUNCTION("""COMPUTED_VALUE"""),4315.0)</f>
        <v>4315</v>
      </c>
      <c r="F528" s="1">
        <f>IFERROR(__xludf.DUMMYFUNCTION("""COMPUTED_VALUE"""),10847.0)</f>
        <v>10847</v>
      </c>
    </row>
    <row r="529">
      <c r="A529" s="2">
        <f>IFERROR(__xludf.DUMMYFUNCTION("""COMPUTED_VALUE"""),41690.645833333336)</f>
        <v>41690.64583</v>
      </c>
      <c r="B529" s="1">
        <f>IFERROR(__xludf.DUMMYFUNCTION("""COMPUTED_VALUE"""),4950.0)</f>
        <v>4950</v>
      </c>
      <c r="C529" s="1">
        <f>IFERROR(__xludf.DUMMYFUNCTION("""COMPUTED_VALUE"""),5010.0)</f>
        <v>5010</v>
      </c>
      <c r="D529" s="1">
        <f>IFERROR(__xludf.DUMMYFUNCTION("""COMPUTED_VALUE"""),4795.0)</f>
        <v>4795</v>
      </c>
      <c r="E529" s="1">
        <f>IFERROR(__xludf.DUMMYFUNCTION("""COMPUTED_VALUE"""),4845.0)</f>
        <v>4845</v>
      </c>
      <c r="F529" s="1">
        <f>IFERROR(__xludf.DUMMYFUNCTION("""COMPUTED_VALUE"""),200429.0)</f>
        <v>200429</v>
      </c>
    </row>
    <row r="530">
      <c r="A530" s="2">
        <f>IFERROR(__xludf.DUMMYFUNCTION("""COMPUTED_VALUE"""),41691.645833333336)</f>
        <v>41691.64583</v>
      </c>
      <c r="B530" s="1">
        <f>IFERROR(__xludf.DUMMYFUNCTION("""COMPUTED_VALUE"""),4815.0)</f>
        <v>4815</v>
      </c>
      <c r="C530" s="1">
        <f>IFERROR(__xludf.DUMMYFUNCTION("""COMPUTED_VALUE"""),4890.0)</f>
        <v>4890</v>
      </c>
      <c r="D530" s="1">
        <f>IFERROR(__xludf.DUMMYFUNCTION("""COMPUTED_VALUE"""),4715.0)</f>
        <v>4715</v>
      </c>
      <c r="E530" s="1">
        <f>IFERROR(__xludf.DUMMYFUNCTION("""COMPUTED_VALUE"""),4740.0)</f>
        <v>4740</v>
      </c>
      <c r="F530" s="1">
        <f>IFERROR(__xludf.DUMMYFUNCTION("""COMPUTED_VALUE"""),125834.0)</f>
        <v>125834</v>
      </c>
    </row>
    <row r="531">
      <c r="A531" s="2">
        <f>IFERROR(__xludf.DUMMYFUNCTION("""COMPUTED_VALUE"""),41694.645833333336)</f>
        <v>41694.64583</v>
      </c>
      <c r="B531" s="1">
        <f>IFERROR(__xludf.DUMMYFUNCTION("""COMPUTED_VALUE"""),4740.0)</f>
        <v>4740</v>
      </c>
      <c r="C531" s="1">
        <f>IFERROR(__xludf.DUMMYFUNCTION("""COMPUTED_VALUE"""),4890.0)</f>
        <v>4890</v>
      </c>
      <c r="D531" s="1">
        <f>IFERROR(__xludf.DUMMYFUNCTION("""COMPUTED_VALUE"""),4715.0)</f>
        <v>4715</v>
      </c>
      <c r="E531" s="1">
        <f>IFERROR(__xludf.DUMMYFUNCTION("""COMPUTED_VALUE"""),4770.0)</f>
        <v>4770</v>
      </c>
      <c r="F531" s="1">
        <f>IFERROR(__xludf.DUMMYFUNCTION("""COMPUTED_VALUE"""),99794.0)</f>
        <v>99794</v>
      </c>
    </row>
    <row r="532">
      <c r="A532" s="2">
        <f>IFERROR(__xludf.DUMMYFUNCTION("""COMPUTED_VALUE"""),41695.645833333336)</f>
        <v>41695.64583</v>
      </c>
      <c r="B532" s="1">
        <f>IFERROR(__xludf.DUMMYFUNCTION("""COMPUTED_VALUE"""),4780.0)</f>
        <v>4780</v>
      </c>
      <c r="C532" s="1">
        <f>IFERROR(__xludf.DUMMYFUNCTION("""COMPUTED_VALUE"""),4845.0)</f>
        <v>4845</v>
      </c>
      <c r="D532" s="1">
        <f>IFERROR(__xludf.DUMMYFUNCTION("""COMPUTED_VALUE"""),4620.0)</f>
        <v>4620</v>
      </c>
      <c r="E532" s="1">
        <f>IFERROR(__xludf.DUMMYFUNCTION("""COMPUTED_VALUE"""),4700.0)</f>
        <v>4700</v>
      </c>
      <c r="F532" s="1">
        <f>IFERROR(__xludf.DUMMYFUNCTION("""COMPUTED_VALUE"""),62558.0)</f>
        <v>62558</v>
      </c>
    </row>
    <row r="533">
      <c r="A533" s="2">
        <f>IFERROR(__xludf.DUMMYFUNCTION("""COMPUTED_VALUE"""),41696.645833333336)</f>
        <v>41696.64583</v>
      </c>
      <c r="B533" s="1">
        <f>IFERROR(__xludf.DUMMYFUNCTION("""COMPUTED_VALUE"""),4700.0)</f>
        <v>4700</v>
      </c>
      <c r="C533" s="1">
        <f>IFERROR(__xludf.DUMMYFUNCTION("""COMPUTED_VALUE"""),4735.0)</f>
        <v>4735</v>
      </c>
      <c r="D533" s="1">
        <f>IFERROR(__xludf.DUMMYFUNCTION("""COMPUTED_VALUE"""),4620.0)</f>
        <v>4620</v>
      </c>
      <c r="E533" s="1">
        <f>IFERROR(__xludf.DUMMYFUNCTION("""COMPUTED_VALUE"""),4650.0)</f>
        <v>4650</v>
      </c>
      <c r="F533" s="1">
        <f>IFERROR(__xludf.DUMMYFUNCTION("""COMPUTED_VALUE"""),37649.0)</f>
        <v>37649</v>
      </c>
    </row>
    <row r="534">
      <c r="A534" s="2">
        <f>IFERROR(__xludf.DUMMYFUNCTION("""COMPUTED_VALUE"""),41697.645833333336)</f>
        <v>41697.64583</v>
      </c>
      <c r="B534" s="1">
        <f>IFERROR(__xludf.DUMMYFUNCTION("""COMPUTED_VALUE"""),4635.0)</f>
        <v>4635</v>
      </c>
      <c r="C534" s="1">
        <f>IFERROR(__xludf.DUMMYFUNCTION("""COMPUTED_VALUE"""),4790.0)</f>
        <v>4790</v>
      </c>
      <c r="D534" s="1">
        <f>IFERROR(__xludf.DUMMYFUNCTION("""COMPUTED_VALUE"""),4635.0)</f>
        <v>4635</v>
      </c>
      <c r="E534" s="1">
        <f>IFERROR(__xludf.DUMMYFUNCTION("""COMPUTED_VALUE"""),4640.0)</f>
        <v>4640</v>
      </c>
      <c r="F534" s="1">
        <f>IFERROR(__xludf.DUMMYFUNCTION("""COMPUTED_VALUE"""),42841.0)</f>
        <v>42841</v>
      </c>
    </row>
    <row r="535">
      <c r="A535" s="2">
        <f>IFERROR(__xludf.DUMMYFUNCTION("""COMPUTED_VALUE"""),41698.645833333336)</f>
        <v>41698.64583</v>
      </c>
      <c r="B535" s="1">
        <f>IFERROR(__xludf.DUMMYFUNCTION("""COMPUTED_VALUE"""),4680.0)</f>
        <v>4680</v>
      </c>
      <c r="C535" s="1">
        <f>IFERROR(__xludf.DUMMYFUNCTION("""COMPUTED_VALUE"""),5320.0)</f>
        <v>5320</v>
      </c>
      <c r="D535" s="1">
        <f>IFERROR(__xludf.DUMMYFUNCTION("""COMPUTED_VALUE"""),4590.0)</f>
        <v>4590</v>
      </c>
      <c r="E535" s="1">
        <f>IFERROR(__xludf.DUMMYFUNCTION("""COMPUTED_VALUE"""),5100.0)</f>
        <v>5100</v>
      </c>
      <c r="F535" s="1">
        <f>IFERROR(__xludf.DUMMYFUNCTION("""COMPUTED_VALUE"""),310500.0)</f>
        <v>310500</v>
      </c>
    </row>
    <row r="536">
      <c r="A536" s="2">
        <f>IFERROR(__xludf.DUMMYFUNCTION("""COMPUTED_VALUE"""),41701.645833333336)</f>
        <v>41701.64583</v>
      </c>
      <c r="B536" s="1">
        <f>IFERROR(__xludf.DUMMYFUNCTION("""COMPUTED_VALUE"""),5230.0)</f>
        <v>5230</v>
      </c>
      <c r="C536" s="1">
        <f>IFERROR(__xludf.DUMMYFUNCTION("""COMPUTED_VALUE"""),5230.0)</f>
        <v>5230</v>
      </c>
      <c r="D536" s="1">
        <f>IFERROR(__xludf.DUMMYFUNCTION("""COMPUTED_VALUE"""),5010.0)</f>
        <v>5010</v>
      </c>
      <c r="E536" s="1">
        <f>IFERROR(__xludf.DUMMYFUNCTION("""COMPUTED_VALUE"""),5040.0)</f>
        <v>5040</v>
      </c>
      <c r="F536" s="1">
        <f>IFERROR(__xludf.DUMMYFUNCTION("""COMPUTED_VALUE"""),76707.0)</f>
        <v>76707</v>
      </c>
    </row>
    <row r="537">
      <c r="A537" s="2">
        <f>IFERROR(__xludf.DUMMYFUNCTION("""COMPUTED_VALUE"""),41702.645833333336)</f>
        <v>41702.64583</v>
      </c>
      <c r="B537" s="1">
        <f>IFERROR(__xludf.DUMMYFUNCTION("""COMPUTED_VALUE"""),5040.0)</f>
        <v>5040</v>
      </c>
      <c r="C537" s="1">
        <f>IFERROR(__xludf.DUMMYFUNCTION("""COMPUTED_VALUE"""),5090.0)</f>
        <v>5090</v>
      </c>
      <c r="D537" s="1">
        <f>IFERROR(__xludf.DUMMYFUNCTION("""COMPUTED_VALUE"""),4910.0)</f>
        <v>4910</v>
      </c>
      <c r="E537" s="1">
        <f>IFERROR(__xludf.DUMMYFUNCTION("""COMPUTED_VALUE"""),5010.0)</f>
        <v>5010</v>
      </c>
      <c r="F537" s="1">
        <f>IFERROR(__xludf.DUMMYFUNCTION("""COMPUTED_VALUE"""),48710.0)</f>
        <v>48710</v>
      </c>
    </row>
    <row r="538">
      <c r="A538" s="2">
        <f>IFERROR(__xludf.DUMMYFUNCTION("""COMPUTED_VALUE"""),41703.645833333336)</f>
        <v>41703.64583</v>
      </c>
      <c r="B538" s="1">
        <f>IFERROR(__xludf.DUMMYFUNCTION("""COMPUTED_VALUE"""),5010.0)</f>
        <v>5010</v>
      </c>
      <c r="C538" s="1">
        <f>IFERROR(__xludf.DUMMYFUNCTION("""COMPUTED_VALUE"""),5250.0)</f>
        <v>5250</v>
      </c>
      <c r="D538" s="1">
        <f>IFERROR(__xludf.DUMMYFUNCTION("""COMPUTED_VALUE"""),4915.0)</f>
        <v>4915</v>
      </c>
      <c r="E538" s="1">
        <f>IFERROR(__xludf.DUMMYFUNCTION("""COMPUTED_VALUE"""),5220.0)</f>
        <v>5220</v>
      </c>
      <c r="F538" s="1">
        <f>IFERROR(__xludf.DUMMYFUNCTION("""COMPUTED_VALUE"""),134192.0)</f>
        <v>134192</v>
      </c>
    </row>
    <row r="539">
      <c r="A539" s="2">
        <f>IFERROR(__xludf.DUMMYFUNCTION("""COMPUTED_VALUE"""),41704.645833333336)</f>
        <v>41704.64583</v>
      </c>
      <c r="B539" s="1">
        <f>IFERROR(__xludf.DUMMYFUNCTION("""COMPUTED_VALUE"""),5220.0)</f>
        <v>5220</v>
      </c>
      <c r="C539" s="1">
        <f>IFERROR(__xludf.DUMMYFUNCTION("""COMPUTED_VALUE"""),5240.0)</f>
        <v>5240</v>
      </c>
      <c r="D539" s="1">
        <f>IFERROR(__xludf.DUMMYFUNCTION("""COMPUTED_VALUE"""),5070.0)</f>
        <v>5070</v>
      </c>
      <c r="E539" s="1">
        <f>IFERROR(__xludf.DUMMYFUNCTION("""COMPUTED_VALUE"""),5200.0)</f>
        <v>5200</v>
      </c>
      <c r="F539" s="1">
        <f>IFERROR(__xludf.DUMMYFUNCTION("""COMPUTED_VALUE"""),43682.0)</f>
        <v>43682</v>
      </c>
    </row>
    <row r="540">
      <c r="A540" s="2">
        <f>IFERROR(__xludf.DUMMYFUNCTION("""COMPUTED_VALUE"""),41705.645833333336)</f>
        <v>41705.64583</v>
      </c>
      <c r="B540" s="1">
        <f>IFERROR(__xludf.DUMMYFUNCTION("""COMPUTED_VALUE"""),5200.0)</f>
        <v>5200</v>
      </c>
      <c r="C540" s="1">
        <f>IFERROR(__xludf.DUMMYFUNCTION("""COMPUTED_VALUE"""),5380.0)</f>
        <v>5380</v>
      </c>
      <c r="D540" s="1">
        <f>IFERROR(__xludf.DUMMYFUNCTION("""COMPUTED_VALUE"""),5090.0)</f>
        <v>5090</v>
      </c>
      <c r="E540" s="1">
        <f>IFERROR(__xludf.DUMMYFUNCTION("""COMPUTED_VALUE"""),5310.0)</f>
        <v>5310</v>
      </c>
      <c r="F540" s="1">
        <f>IFERROR(__xludf.DUMMYFUNCTION("""COMPUTED_VALUE"""),71465.0)</f>
        <v>71465</v>
      </c>
    </row>
    <row r="541">
      <c r="A541" s="2">
        <f>IFERROR(__xludf.DUMMYFUNCTION("""COMPUTED_VALUE"""),41708.645833333336)</f>
        <v>41708.64583</v>
      </c>
      <c r="B541" s="1">
        <f>IFERROR(__xludf.DUMMYFUNCTION("""COMPUTED_VALUE"""),5350.0)</f>
        <v>5350</v>
      </c>
      <c r="C541" s="1">
        <f>IFERROR(__xludf.DUMMYFUNCTION("""COMPUTED_VALUE"""),5370.0)</f>
        <v>5370</v>
      </c>
      <c r="D541" s="1">
        <f>IFERROR(__xludf.DUMMYFUNCTION("""COMPUTED_VALUE"""),5220.0)</f>
        <v>5220</v>
      </c>
      <c r="E541" s="1">
        <f>IFERROR(__xludf.DUMMYFUNCTION("""COMPUTED_VALUE"""),5270.0)</f>
        <v>5270</v>
      </c>
      <c r="F541" s="1">
        <f>IFERROR(__xludf.DUMMYFUNCTION("""COMPUTED_VALUE"""),44003.0)</f>
        <v>44003</v>
      </c>
    </row>
    <row r="542">
      <c r="A542" s="2">
        <f>IFERROR(__xludf.DUMMYFUNCTION("""COMPUTED_VALUE"""),41709.645833333336)</f>
        <v>41709.64583</v>
      </c>
      <c r="B542" s="1">
        <f>IFERROR(__xludf.DUMMYFUNCTION("""COMPUTED_VALUE"""),5180.0)</f>
        <v>5180</v>
      </c>
      <c r="C542" s="1">
        <f>IFERROR(__xludf.DUMMYFUNCTION("""COMPUTED_VALUE"""),5270.0)</f>
        <v>5270</v>
      </c>
      <c r="D542" s="1">
        <f>IFERROR(__xludf.DUMMYFUNCTION("""COMPUTED_VALUE"""),5180.0)</f>
        <v>5180</v>
      </c>
      <c r="E542" s="1">
        <f>IFERROR(__xludf.DUMMYFUNCTION("""COMPUTED_VALUE"""),5180.0)</f>
        <v>5180</v>
      </c>
      <c r="F542" s="1">
        <f>IFERROR(__xludf.DUMMYFUNCTION("""COMPUTED_VALUE"""),28722.0)</f>
        <v>28722</v>
      </c>
    </row>
    <row r="543">
      <c r="A543" s="2">
        <f>IFERROR(__xludf.DUMMYFUNCTION("""COMPUTED_VALUE"""),41710.645833333336)</f>
        <v>41710.64583</v>
      </c>
      <c r="B543" s="1">
        <f>IFERROR(__xludf.DUMMYFUNCTION("""COMPUTED_VALUE"""),5180.0)</f>
        <v>5180</v>
      </c>
      <c r="C543" s="1">
        <f>IFERROR(__xludf.DUMMYFUNCTION("""COMPUTED_VALUE"""),5220.0)</f>
        <v>5220</v>
      </c>
      <c r="D543" s="1">
        <f>IFERROR(__xludf.DUMMYFUNCTION("""COMPUTED_VALUE"""),5100.0)</f>
        <v>5100</v>
      </c>
      <c r="E543" s="1">
        <f>IFERROR(__xludf.DUMMYFUNCTION("""COMPUTED_VALUE"""),5150.0)</f>
        <v>5150</v>
      </c>
      <c r="F543" s="1">
        <f>IFERROR(__xludf.DUMMYFUNCTION("""COMPUTED_VALUE"""),25860.0)</f>
        <v>25860</v>
      </c>
    </row>
    <row r="544">
      <c r="A544" s="2">
        <f>IFERROR(__xludf.DUMMYFUNCTION("""COMPUTED_VALUE"""),41711.645833333336)</f>
        <v>41711.64583</v>
      </c>
      <c r="B544" s="1">
        <f>IFERROR(__xludf.DUMMYFUNCTION("""COMPUTED_VALUE"""),5150.0)</f>
        <v>5150</v>
      </c>
      <c r="C544" s="1">
        <f>IFERROR(__xludf.DUMMYFUNCTION("""COMPUTED_VALUE"""),5160.0)</f>
        <v>5160</v>
      </c>
      <c r="D544" s="1">
        <f>IFERROR(__xludf.DUMMYFUNCTION("""COMPUTED_VALUE"""),4995.0)</f>
        <v>4995</v>
      </c>
      <c r="E544" s="1">
        <f>IFERROR(__xludf.DUMMYFUNCTION("""COMPUTED_VALUE"""),5010.0)</f>
        <v>5010</v>
      </c>
      <c r="F544" s="1">
        <f>IFERROR(__xludf.DUMMYFUNCTION("""COMPUTED_VALUE"""),40961.0)</f>
        <v>40961</v>
      </c>
    </row>
    <row r="545">
      <c r="A545" s="2">
        <f>IFERROR(__xludf.DUMMYFUNCTION("""COMPUTED_VALUE"""),41712.645833333336)</f>
        <v>41712.64583</v>
      </c>
      <c r="B545" s="1">
        <f>IFERROR(__xludf.DUMMYFUNCTION("""COMPUTED_VALUE"""),4980.0)</f>
        <v>4980</v>
      </c>
      <c r="C545" s="1">
        <f>IFERROR(__xludf.DUMMYFUNCTION("""COMPUTED_VALUE"""),5020.0)</f>
        <v>5020</v>
      </c>
      <c r="D545" s="1">
        <f>IFERROR(__xludf.DUMMYFUNCTION("""COMPUTED_VALUE"""),4900.0)</f>
        <v>4900</v>
      </c>
      <c r="E545" s="1">
        <f>IFERROR(__xludf.DUMMYFUNCTION("""COMPUTED_VALUE"""),4945.0)</f>
        <v>4945</v>
      </c>
      <c r="F545" s="1">
        <f>IFERROR(__xludf.DUMMYFUNCTION("""COMPUTED_VALUE"""),50355.0)</f>
        <v>50355</v>
      </c>
    </row>
    <row r="546">
      <c r="A546" s="2">
        <f>IFERROR(__xludf.DUMMYFUNCTION("""COMPUTED_VALUE"""),41715.645833333336)</f>
        <v>41715.64583</v>
      </c>
      <c r="B546" s="1">
        <f>IFERROR(__xludf.DUMMYFUNCTION("""COMPUTED_VALUE"""),4945.0)</f>
        <v>4945</v>
      </c>
      <c r="C546" s="1">
        <f>IFERROR(__xludf.DUMMYFUNCTION("""COMPUTED_VALUE"""),4975.0)</f>
        <v>4975</v>
      </c>
      <c r="D546" s="1">
        <f>IFERROR(__xludf.DUMMYFUNCTION("""COMPUTED_VALUE"""),4610.0)</f>
        <v>4610</v>
      </c>
      <c r="E546" s="1">
        <f>IFERROR(__xludf.DUMMYFUNCTION("""COMPUTED_VALUE"""),4725.0)</f>
        <v>4725</v>
      </c>
      <c r="F546" s="1">
        <f>IFERROR(__xludf.DUMMYFUNCTION("""COMPUTED_VALUE"""),60223.0)</f>
        <v>60223</v>
      </c>
    </row>
    <row r="547">
      <c r="A547" s="2">
        <f>IFERROR(__xludf.DUMMYFUNCTION("""COMPUTED_VALUE"""),41716.645833333336)</f>
        <v>41716.64583</v>
      </c>
      <c r="B547" s="1">
        <f>IFERROR(__xludf.DUMMYFUNCTION("""COMPUTED_VALUE"""),4750.0)</f>
        <v>4750</v>
      </c>
      <c r="C547" s="1">
        <f>IFERROR(__xludf.DUMMYFUNCTION("""COMPUTED_VALUE"""),4895.0)</f>
        <v>4895</v>
      </c>
      <c r="D547" s="1">
        <f>IFERROR(__xludf.DUMMYFUNCTION("""COMPUTED_VALUE"""),4710.0)</f>
        <v>4710</v>
      </c>
      <c r="E547" s="1">
        <f>IFERROR(__xludf.DUMMYFUNCTION("""COMPUTED_VALUE"""),4800.0)</f>
        <v>4800</v>
      </c>
      <c r="F547" s="1">
        <f>IFERROR(__xludf.DUMMYFUNCTION("""COMPUTED_VALUE"""),39966.0)</f>
        <v>39966</v>
      </c>
    </row>
    <row r="548">
      <c r="A548" s="2">
        <f>IFERROR(__xludf.DUMMYFUNCTION("""COMPUTED_VALUE"""),41717.645833333336)</f>
        <v>41717.64583</v>
      </c>
      <c r="B548" s="1">
        <f>IFERROR(__xludf.DUMMYFUNCTION("""COMPUTED_VALUE"""),4810.0)</f>
        <v>4810</v>
      </c>
      <c r="C548" s="1">
        <f>IFERROR(__xludf.DUMMYFUNCTION("""COMPUTED_VALUE"""),4865.0)</f>
        <v>4865</v>
      </c>
      <c r="D548" s="1">
        <f>IFERROR(__xludf.DUMMYFUNCTION("""COMPUTED_VALUE"""),4625.0)</f>
        <v>4625</v>
      </c>
      <c r="E548" s="1">
        <f>IFERROR(__xludf.DUMMYFUNCTION("""COMPUTED_VALUE"""),4705.0)</f>
        <v>4705</v>
      </c>
      <c r="F548" s="1">
        <f>IFERROR(__xludf.DUMMYFUNCTION("""COMPUTED_VALUE"""),75182.0)</f>
        <v>75182</v>
      </c>
    </row>
    <row r="549">
      <c r="A549" s="2">
        <f>IFERROR(__xludf.DUMMYFUNCTION("""COMPUTED_VALUE"""),41718.645833333336)</f>
        <v>41718.64583</v>
      </c>
      <c r="B549" s="1">
        <f>IFERROR(__xludf.DUMMYFUNCTION("""COMPUTED_VALUE"""),4660.0)</f>
        <v>4660</v>
      </c>
      <c r="C549" s="1">
        <f>IFERROR(__xludf.DUMMYFUNCTION("""COMPUTED_VALUE"""),4720.0)</f>
        <v>4720</v>
      </c>
      <c r="D549" s="1">
        <f>IFERROR(__xludf.DUMMYFUNCTION("""COMPUTED_VALUE"""),4550.0)</f>
        <v>4550</v>
      </c>
      <c r="E549" s="1">
        <f>IFERROR(__xludf.DUMMYFUNCTION("""COMPUTED_VALUE"""),4640.0)</f>
        <v>4640</v>
      </c>
      <c r="F549" s="1">
        <f>IFERROR(__xludf.DUMMYFUNCTION("""COMPUTED_VALUE"""),96080.0)</f>
        <v>96080</v>
      </c>
    </row>
    <row r="550">
      <c r="A550" s="2">
        <f>IFERROR(__xludf.DUMMYFUNCTION("""COMPUTED_VALUE"""),41719.645833333336)</f>
        <v>41719.64583</v>
      </c>
      <c r="B550" s="1">
        <f>IFERROR(__xludf.DUMMYFUNCTION("""COMPUTED_VALUE"""),4650.0)</f>
        <v>4650</v>
      </c>
      <c r="C550" s="1">
        <f>IFERROR(__xludf.DUMMYFUNCTION("""COMPUTED_VALUE"""),4755.0)</f>
        <v>4755</v>
      </c>
      <c r="D550" s="1">
        <f>IFERROR(__xludf.DUMMYFUNCTION("""COMPUTED_VALUE"""),4630.0)</f>
        <v>4630</v>
      </c>
      <c r="E550" s="1">
        <f>IFERROR(__xludf.DUMMYFUNCTION("""COMPUTED_VALUE"""),4690.0)</f>
        <v>4690</v>
      </c>
      <c r="F550" s="1">
        <f>IFERROR(__xludf.DUMMYFUNCTION("""COMPUTED_VALUE"""),69174.0)</f>
        <v>69174</v>
      </c>
    </row>
    <row r="551">
      <c r="A551" s="2">
        <f>IFERROR(__xludf.DUMMYFUNCTION("""COMPUTED_VALUE"""),41722.645833333336)</f>
        <v>41722.64583</v>
      </c>
      <c r="B551" s="1">
        <f>IFERROR(__xludf.DUMMYFUNCTION("""COMPUTED_VALUE"""),4660.0)</f>
        <v>4660</v>
      </c>
      <c r="C551" s="1">
        <f>IFERROR(__xludf.DUMMYFUNCTION("""COMPUTED_VALUE"""),4730.0)</f>
        <v>4730</v>
      </c>
      <c r="D551" s="1">
        <f>IFERROR(__xludf.DUMMYFUNCTION("""COMPUTED_VALUE"""),4645.0)</f>
        <v>4645</v>
      </c>
      <c r="E551" s="1">
        <f>IFERROR(__xludf.DUMMYFUNCTION("""COMPUTED_VALUE"""),4725.0)</f>
        <v>4725</v>
      </c>
      <c r="F551" s="1">
        <f>IFERROR(__xludf.DUMMYFUNCTION("""COMPUTED_VALUE"""),24280.0)</f>
        <v>24280</v>
      </c>
    </row>
    <row r="552">
      <c r="A552" s="2">
        <f>IFERROR(__xludf.DUMMYFUNCTION("""COMPUTED_VALUE"""),41723.645833333336)</f>
        <v>41723.64583</v>
      </c>
      <c r="B552" s="1">
        <f>IFERROR(__xludf.DUMMYFUNCTION("""COMPUTED_VALUE"""),4680.0)</f>
        <v>4680</v>
      </c>
      <c r="C552" s="1">
        <f>IFERROR(__xludf.DUMMYFUNCTION("""COMPUTED_VALUE"""),4850.0)</f>
        <v>4850</v>
      </c>
      <c r="D552" s="1">
        <f>IFERROR(__xludf.DUMMYFUNCTION("""COMPUTED_VALUE"""),4680.0)</f>
        <v>4680</v>
      </c>
      <c r="E552" s="1">
        <f>IFERROR(__xludf.DUMMYFUNCTION("""COMPUTED_VALUE"""),4800.0)</f>
        <v>4800</v>
      </c>
      <c r="F552" s="1">
        <f>IFERROR(__xludf.DUMMYFUNCTION("""COMPUTED_VALUE"""),60452.0)</f>
        <v>60452</v>
      </c>
    </row>
    <row r="553">
      <c r="A553" s="2">
        <f>IFERROR(__xludf.DUMMYFUNCTION("""COMPUTED_VALUE"""),41724.645833333336)</f>
        <v>41724.64583</v>
      </c>
      <c r="B553" s="1">
        <f>IFERROR(__xludf.DUMMYFUNCTION("""COMPUTED_VALUE"""),4850.0)</f>
        <v>4850</v>
      </c>
      <c r="C553" s="1">
        <f>IFERROR(__xludf.DUMMYFUNCTION("""COMPUTED_VALUE"""),4875.0)</f>
        <v>4875</v>
      </c>
      <c r="D553" s="1">
        <f>IFERROR(__xludf.DUMMYFUNCTION("""COMPUTED_VALUE"""),4785.0)</f>
        <v>4785</v>
      </c>
      <c r="E553" s="1">
        <f>IFERROR(__xludf.DUMMYFUNCTION("""COMPUTED_VALUE"""),4825.0)</f>
        <v>4825</v>
      </c>
      <c r="F553" s="1">
        <f>IFERROR(__xludf.DUMMYFUNCTION("""COMPUTED_VALUE"""),28600.0)</f>
        <v>28600</v>
      </c>
    </row>
    <row r="554">
      <c r="A554" s="2">
        <f>IFERROR(__xludf.DUMMYFUNCTION("""COMPUTED_VALUE"""),41725.645833333336)</f>
        <v>41725.64583</v>
      </c>
      <c r="B554" s="1">
        <f>IFERROR(__xludf.DUMMYFUNCTION("""COMPUTED_VALUE"""),4805.0)</f>
        <v>4805</v>
      </c>
      <c r="C554" s="1">
        <f>IFERROR(__xludf.DUMMYFUNCTION("""COMPUTED_VALUE"""),4855.0)</f>
        <v>4855</v>
      </c>
      <c r="D554" s="1">
        <f>IFERROR(__xludf.DUMMYFUNCTION("""COMPUTED_VALUE"""),4720.0)</f>
        <v>4720</v>
      </c>
      <c r="E554" s="1">
        <f>IFERROR(__xludf.DUMMYFUNCTION("""COMPUTED_VALUE"""),4750.0)</f>
        <v>4750</v>
      </c>
      <c r="F554" s="1">
        <f>IFERROR(__xludf.DUMMYFUNCTION("""COMPUTED_VALUE"""),33151.0)</f>
        <v>33151</v>
      </c>
    </row>
    <row r="555">
      <c r="A555" s="2">
        <f>IFERROR(__xludf.DUMMYFUNCTION("""COMPUTED_VALUE"""),41726.645833333336)</f>
        <v>41726.64583</v>
      </c>
      <c r="B555" s="1">
        <f>IFERROR(__xludf.DUMMYFUNCTION("""COMPUTED_VALUE"""),4710.0)</f>
        <v>4710</v>
      </c>
      <c r="C555" s="1">
        <f>IFERROR(__xludf.DUMMYFUNCTION("""COMPUTED_VALUE"""),4730.0)</f>
        <v>4730</v>
      </c>
      <c r="D555" s="1">
        <f>IFERROR(__xludf.DUMMYFUNCTION("""COMPUTED_VALUE"""),4660.0)</f>
        <v>4660</v>
      </c>
      <c r="E555" s="1">
        <f>IFERROR(__xludf.DUMMYFUNCTION("""COMPUTED_VALUE"""),4730.0)</f>
        <v>4730</v>
      </c>
      <c r="F555" s="1">
        <f>IFERROR(__xludf.DUMMYFUNCTION("""COMPUTED_VALUE"""),35431.0)</f>
        <v>35431</v>
      </c>
    </row>
    <row r="556">
      <c r="A556" s="2">
        <f>IFERROR(__xludf.DUMMYFUNCTION("""COMPUTED_VALUE"""),41729.645833333336)</f>
        <v>41729.64583</v>
      </c>
      <c r="B556" s="1">
        <f>IFERROR(__xludf.DUMMYFUNCTION("""COMPUTED_VALUE"""),4750.0)</f>
        <v>4750</v>
      </c>
      <c r="C556" s="1">
        <f>IFERROR(__xludf.DUMMYFUNCTION("""COMPUTED_VALUE"""),4750.0)</f>
        <v>4750</v>
      </c>
      <c r="D556" s="1">
        <f>IFERROR(__xludf.DUMMYFUNCTION("""COMPUTED_VALUE"""),4650.0)</f>
        <v>4650</v>
      </c>
      <c r="E556" s="1">
        <f>IFERROR(__xludf.DUMMYFUNCTION("""COMPUTED_VALUE"""),4675.0)</f>
        <v>4675</v>
      </c>
      <c r="F556" s="1">
        <f>IFERROR(__xludf.DUMMYFUNCTION("""COMPUTED_VALUE"""),17190.0)</f>
        <v>17190</v>
      </c>
    </row>
    <row r="557">
      <c r="A557" s="2">
        <f>IFERROR(__xludf.DUMMYFUNCTION("""COMPUTED_VALUE"""),41730.645833333336)</f>
        <v>41730.64583</v>
      </c>
      <c r="B557" s="1">
        <f>IFERROR(__xludf.DUMMYFUNCTION("""COMPUTED_VALUE"""),4625.0)</f>
        <v>4625</v>
      </c>
      <c r="C557" s="1">
        <f>IFERROR(__xludf.DUMMYFUNCTION("""COMPUTED_VALUE"""),4745.0)</f>
        <v>4745</v>
      </c>
      <c r="D557" s="1">
        <f>IFERROR(__xludf.DUMMYFUNCTION("""COMPUTED_VALUE"""),4625.0)</f>
        <v>4625</v>
      </c>
      <c r="E557" s="1">
        <f>IFERROR(__xludf.DUMMYFUNCTION("""COMPUTED_VALUE"""),4730.0)</f>
        <v>4730</v>
      </c>
      <c r="F557" s="1">
        <f>IFERROR(__xludf.DUMMYFUNCTION("""COMPUTED_VALUE"""),22442.0)</f>
        <v>22442</v>
      </c>
    </row>
    <row r="558">
      <c r="A558" s="2">
        <f>IFERROR(__xludf.DUMMYFUNCTION("""COMPUTED_VALUE"""),41731.645833333336)</f>
        <v>41731.64583</v>
      </c>
      <c r="B558" s="1">
        <f>IFERROR(__xludf.DUMMYFUNCTION("""COMPUTED_VALUE"""),4735.0)</f>
        <v>4735</v>
      </c>
      <c r="C558" s="1">
        <f>IFERROR(__xludf.DUMMYFUNCTION("""COMPUTED_VALUE"""),4735.0)</f>
        <v>4735</v>
      </c>
      <c r="D558" s="1">
        <f>IFERROR(__xludf.DUMMYFUNCTION("""COMPUTED_VALUE"""),4655.0)</f>
        <v>4655</v>
      </c>
      <c r="E558" s="1">
        <f>IFERROR(__xludf.DUMMYFUNCTION("""COMPUTED_VALUE"""),4685.0)</f>
        <v>4685</v>
      </c>
      <c r="F558" s="1">
        <f>IFERROR(__xludf.DUMMYFUNCTION("""COMPUTED_VALUE"""),26432.0)</f>
        <v>26432</v>
      </c>
    </row>
    <row r="559">
      <c r="A559" s="2">
        <f>IFERROR(__xludf.DUMMYFUNCTION("""COMPUTED_VALUE"""),41732.645833333336)</f>
        <v>41732.64583</v>
      </c>
      <c r="B559" s="1">
        <f>IFERROR(__xludf.DUMMYFUNCTION("""COMPUTED_VALUE"""),4730.0)</f>
        <v>4730</v>
      </c>
      <c r="C559" s="1">
        <f>IFERROR(__xludf.DUMMYFUNCTION("""COMPUTED_VALUE"""),4730.0)</f>
        <v>4730</v>
      </c>
      <c r="D559" s="1">
        <f>IFERROR(__xludf.DUMMYFUNCTION("""COMPUTED_VALUE"""),4660.0)</f>
        <v>4660</v>
      </c>
      <c r="E559" s="1">
        <f>IFERROR(__xludf.DUMMYFUNCTION("""COMPUTED_VALUE"""),4670.0)</f>
        <v>4670</v>
      </c>
      <c r="F559" s="1">
        <f>IFERROR(__xludf.DUMMYFUNCTION("""COMPUTED_VALUE"""),37270.0)</f>
        <v>37270</v>
      </c>
    </row>
    <row r="560">
      <c r="A560" s="2">
        <f>IFERROR(__xludf.DUMMYFUNCTION("""COMPUTED_VALUE"""),41733.645833333336)</f>
        <v>41733.64583</v>
      </c>
      <c r="B560" s="1">
        <f>IFERROR(__xludf.DUMMYFUNCTION("""COMPUTED_VALUE"""),4655.0)</f>
        <v>4655</v>
      </c>
      <c r="C560" s="1">
        <f>IFERROR(__xludf.DUMMYFUNCTION("""COMPUTED_VALUE"""),4705.0)</f>
        <v>4705</v>
      </c>
      <c r="D560" s="1">
        <f>IFERROR(__xludf.DUMMYFUNCTION("""COMPUTED_VALUE"""),4625.0)</f>
        <v>4625</v>
      </c>
      <c r="E560" s="1">
        <f>IFERROR(__xludf.DUMMYFUNCTION("""COMPUTED_VALUE"""),4705.0)</f>
        <v>4705</v>
      </c>
      <c r="F560" s="1">
        <f>IFERROR(__xludf.DUMMYFUNCTION("""COMPUTED_VALUE"""),26300.0)</f>
        <v>26300</v>
      </c>
    </row>
    <row r="561">
      <c r="A561" s="2">
        <f>IFERROR(__xludf.DUMMYFUNCTION("""COMPUTED_VALUE"""),41736.645833333336)</f>
        <v>41736.64583</v>
      </c>
      <c r="B561" s="1">
        <f>IFERROR(__xludf.DUMMYFUNCTION("""COMPUTED_VALUE"""),4630.0)</f>
        <v>4630</v>
      </c>
      <c r="C561" s="1">
        <f>IFERROR(__xludf.DUMMYFUNCTION("""COMPUTED_VALUE"""),4735.0)</f>
        <v>4735</v>
      </c>
      <c r="D561" s="1">
        <f>IFERROR(__xludf.DUMMYFUNCTION("""COMPUTED_VALUE"""),4630.0)</f>
        <v>4630</v>
      </c>
      <c r="E561" s="1">
        <f>IFERROR(__xludf.DUMMYFUNCTION("""COMPUTED_VALUE"""),4730.0)</f>
        <v>4730</v>
      </c>
      <c r="F561" s="1">
        <f>IFERROR(__xludf.DUMMYFUNCTION("""COMPUTED_VALUE"""),44011.0)</f>
        <v>44011</v>
      </c>
    </row>
    <row r="562">
      <c r="A562" s="2">
        <f>IFERROR(__xludf.DUMMYFUNCTION("""COMPUTED_VALUE"""),41737.645833333336)</f>
        <v>41737.64583</v>
      </c>
      <c r="B562" s="1">
        <f>IFERROR(__xludf.DUMMYFUNCTION("""COMPUTED_VALUE"""),4740.0)</f>
        <v>4740</v>
      </c>
      <c r="C562" s="1">
        <f>IFERROR(__xludf.DUMMYFUNCTION("""COMPUTED_VALUE"""),4740.0)</f>
        <v>4740</v>
      </c>
      <c r="D562" s="1">
        <f>IFERROR(__xludf.DUMMYFUNCTION("""COMPUTED_VALUE"""),4685.0)</f>
        <v>4685</v>
      </c>
      <c r="E562" s="1">
        <f>IFERROR(__xludf.DUMMYFUNCTION("""COMPUTED_VALUE"""),4705.0)</f>
        <v>4705</v>
      </c>
      <c r="F562" s="1">
        <f>IFERROR(__xludf.DUMMYFUNCTION("""COMPUTED_VALUE"""),21508.0)</f>
        <v>21508</v>
      </c>
    </row>
    <row r="563">
      <c r="A563" s="2">
        <f>IFERROR(__xludf.DUMMYFUNCTION("""COMPUTED_VALUE"""),41738.645833333336)</f>
        <v>41738.64583</v>
      </c>
      <c r="B563" s="1">
        <f>IFERROR(__xludf.DUMMYFUNCTION("""COMPUTED_VALUE"""),4745.0)</f>
        <v>4745</v>
      </c>
      <c r="C563" s="1">
        <f>IFERROR(__xludf.DUMMYFUNCTION("""COMPUTED_VALUE"""),4790.0)</f>
        <v>4790</v>
      </c>
      <c r="D563" s="1">
        <f>IFERROR(__xludf.DUMMYFUNCTION("""COMPUTED_VALUE"""),4660.0)</f>
        <v>4660</v>
      </c>
      <c r="E563" s="1">
        <f>IFERROR(__xludf.DUMMYFUNCTION("""COMPUTED_VALUE"""),4790.0)</f>
        <v>4790</v>
      </c>
      <c r="F563" s="1">
        <f>IFERROR(__xludf.DUMMYFUNCTION("""COMPUTED_VALUE"""),50892.0)</f>
        <v>50892</v>
      </c>
    </row>
    <row r="564">
      <c r="A564" s="2">
        <f>IFERROR(__xludf.DUMMYFUNCTION("""COMPUTED_VALUE"""),41739.645833333336)</f>
        <v>41739.64583</v>
      </c>
      <c r="B564" s="1">
        <f>IFERROR(__xludf.DUMMYFUNCTION("""COMPUTED_VALUE"""),4850.0)</f>
        <v>4850</v>
      </c>
      <c r="C564" s="1">
        <f>IFERROR(__xludf.DUMMYFUNCTION("""COMPUTED_VALUE"""),4850.0)</f>
        <v>4850</v>
      </c>
      <c r="D564" s="1">
        <f>IFERROR(__xludf.DUMMYFUNCTION("""COMPUTED_VALUE"""),4740.0)</f>
        <v>4740</v>
      </c>
      <c r="E564" s="1">
        <f>IFERROR(__xludf.DUMMYFUNCTION("""COMPUTED_VALUE"""),4830.0)</f>
        <v>4830</v>
      </c>
      <c r="F564" s="1">
        <f>IFERROR(__xludf.DUMMYFUNCTION("""COMPUTED_VALUE"""),16881.0)</f>
        <v>16881</v>
      </c>
    </row>
    <row r="565">
      <c r="A565" s="2">
        <f>IFERROR(__xludf.DUMMYFUNCTION("""COMPUTED_VALUE"""),41740.645833333336)</f>
        <v>41740.64583</v>
      </c>
      <c r="B565" s="1">
        <f>IFERROR(__xludf.DUMMYFUNCTION("""COMPUTED_VALUE"""),4785.0)</f>
        <v>4785</v>
      </c>
      <c r="C565" s="1">
        <f>IFERROR(__xludf.DUMMYFUNCTION("""COMPUTED_VALUE"""),4940.0)</f>
        <v>4940</v>
      </c>
      <c r="D565" s="1">
        <f>IFERROR(__xludf.DUMMYFUNCTION("""COMPUTED_VALUE"""),4770.0)</f>
        <v>4770</v>
      </c>
      <c r="E565" s="1">
        <f>IFERROR(__xludf.DUMMYFUNCTION("""COMPUTED_VALUE"""),4930.0)</f>
        <v>4930</v>
      </c>
      <c r="F565" s="1">
        <f>IFERROR(__xludf.DUMMYFUNCTION("""COMPUTED_VALUE"""),46332.0)</f>
        <v>46332</v>
      </c>
    </row>
    <row r="566">
      <c r="A566" s="2">
        <f>IFERROR(__xludf.DUMMYFUNCTION("""COMPUTED_VALUE"""),41743.645833333336)</f>
        <v>41743.64583</v>
      </c>
      <c r="B566" s="1">
        <f>IFERROR(__xludf.DUMMYFUNCTION("""COMPUTED_VALUE"""),4885.0)</f>
        <v>4885</v>
      </c>
      <c r="C566" s="1">
        <f>IFERROR(__xludf.DUMMYFUNCTION("""COMPUTED_VALUE"""),4985.0)</f>
        <v>4985</v>
      </c>
      <c r="D566" s="1">
        <f>IFERROR(__xludf.DUMMYFUNCTION("""COMPUTED_VALUE"""),4885.0)</f>
        <v>4885</v>
      </c>
      <c r="E566" s="1">
        <f>IFERROR(__xludf.DUMMYFUNCTION("""COMPUTED_VALUE"""),4960.0)</f>
        <v>4960</v>
      </c>
      <c r="F566" s="1">
        <f>IFERROR(__xludf.DUMMYFUNCTION("""COMPUTED_VALUE"""),36260.0)</f>
        <v>36260</v>
      </c>
    </row>
    <row r="567">
      <c r="A567" s="2">
        <f>IFERROR(__xludf.DUMMYFUNCTION("""COMPUTED_VALUE"""),41744.645833333336)</f>
        <v>41744.64583</v>
      </c>
      <c r="B567" s="1">
        <f>IFERROR(__xludf.DUMMYFUNCTION("""COMPUTED_VALUE"""),4975.0)</f>
        <v>4975</v>
      </c>
      <c r="C567" s="1">
        <f>IFERROR(__xludf.DUMMYFUNCTION("""COMPUTED_VALUE"""),4975.0)</f>
        <v>4975</v>
      </c>
      <c r="D567" s="1">
        <f>IFERROR(__xludf.DUMMYFUNCTION("""COMPUTED_VALUE"""),4865.0)</f>
        <v>4865</v>
      </c>
      <c r="E567" s="1">
        <f>IFERROR(__xludf.DUMMYFUNCTION("""COMPUTED_VALUE"""),4865.0)</f>
        <v>4865</v>
      </c>
      <c r="F567" s="1">
        <f>IFERROR(__xludf.DUMMYFUNCTION("""COMPUTED_VALUE"""),25240.0)</f>
        <v>25240</v>
      </c>
    </row>
    <row r="568">
      <c r="A568" s="2">
        <f>IFERROR(__xludf.DUMMYFUNCTION("""COMPUTED_VALUE"""),41745.645833333336)</f>
        <v>41745.64583</v>
      </c>
      <c r="B568" s="1">
        <f>IFERROR(__xludf.DUMMYFUNCTION("""COMPUTED_VALUE"""),4870.0)</f>
        <v>4870</v>
      </c>
      <c r="C568" s="1">
        <f>IFERROR(__xludf.DUMMYFUNCTION("""COMPUTED_VALUE"""),4905.0)</f>
        <v>4905</v>
      </c>
      <c r="D568" s="1">
        <f>IFERROR(__xludf.DUMMYFUNCTION("""COMPUTED_VALUE"""),4830.0)</f>
        <v>4830</v>
      </c>
      <c r="E568" s="1">
        <f>IFERROR(__xludf.DUMMYFUNCTION("""COMPUTED_VALUE"""),4880.0)</f>
        <v>4880</v>
      </c>
      <c r="F568" s="1">
        <f>IFERROR(__xludf.DUMMYFUNCTION("""COMPUTED_VALUE"""),24030.0)</f>
        <v>24030</v>
      </c>
    </row>
    <row r="569">
      <c r="A569" s="2">
        <f>IFERROR(__xludf.DUMMYFUNCTION("""COMPUTED_VALUE"""),41746.645833333336)</f>
        <v>41746.64583</v>
      </c>
      <c r="B569" s="1">
        <f>IFERROR(__xludf.DUMMYFUNCTION("""COMPUTED_VALUE"""),4840.0)</f>
        <v>4840</v>
      </c>
      <c r="C569" s="1">
        <f>IFERROR(__xludf.DUMMYFUNCTION("""COMPUTED_VALUE"""),4880.0)</f>
        <v>4880</v>
      </c>
      <c r="D569" s="1">
        <f>IFERROR(__xludf.DUMMYFUNCTION("""COMPUTED_VALUE"""),4800.0)</f>
        <v>4800</v>
      </c>
      <c r="E569" s="1">
        <f>IFERROR(__xludf.DUMMYFUNCTION("""COMPUTED_VALUE"""),4850.0)</f>
        <v>4850</v>
      </c>
      <c r="F569" s="1">
        <f>IFERROR(__xludf.DUMMYFUNCTION("""COMPUTED_VALUE"""),22042.0)</f>
        <v>22042</v>
      </c>
    </row>
    <row r="570">
      <c r="A570" s="2">
        <f>IFERROR(__xludf.DUMMYFUNCTION("""COMPUTED_VALUE"""),41747.645833333336)</f>
        <v>41747.64583</v>
      </c>
      <c r="B570" s="1">
        <f>IFERROR(__xludf.DUMMYFUNCTION("""COMPUTED_VALUE"""),4850.0)</f>
        <v>4850</v>
      </c>
      <c r="C570" s="1">
        <f>IFERROR(__xludf.DUMMYFUNCTION("""COMPUTED_VALUE"""),4930.0)</f>
        <v>4930</v>
      </c>
      <c r="D570" s="1">
        <f>IFERROR(__xludf.DUMMYFUNCTION("""COMPUTED_VALUE"""),4790.0)</f>
        <v>4790</v>
      </c>
      <c r="E570" s="1">
        <f>IFERROR(__xludf.DUMMYFUNCTION("""COMPUTED_VALUE"""),4930.0)</f>
        <v>4930</v>
      </c>
      <c r="F570" s="1">
        <f>IFERROR(__xludf.DUMMYFUNCTION("""COMPUTED_VALUE"""),52712.0)</f>
        <v>52712</v>
      </c>
    </row>
    <row r="571">
      <c r="A571" s="2">
        <f>IFERROR(__xludf.DUMMYFUNCTION("""COMPUTED_VALUE"""),41750.645833333336)</f>
        <v>41750.64583</v>
      </c>
      <c r="B571" s="1">
        <f>IFERROR(__xludf.DUMMYFUNCTION("""COMPUTED_VALUE"""),4930.0)</f>
        <v>4930</v>
      </c>
      <c r="C571" s="1">
        <f>IFERROR(__xludf.DUMMYFUNCTION("""COMPUTED_VALUE"""),5140.0)</f>
        <v>5140</v>
      </c>
      <c r="D571" s="1">
        <f>IFERROR(__xludf.DUMMYFUNCTION("""COMPUTED_VALUE"""),4885.0)</f>
        <v>4885</v>
      </c>
      <c r="E571" s="1">
        <f>IFERROR(__xludf.DUMMYFUNCTION("""COMPUTED_VALUE"""),5000.0)</f>
        <v>5000</v>
      </c>
      <c r="F571" s="1">
        <f>IFERROR(__xludf.DUMMYFUNCTION("""COMPUTED_VALUE"""),79710.0)</f>
        <v>79710</v>
      </c>
    </row>
    <row r="572">
      <c r="A572" s="2">
        <f>IFERROR(__xludf.DUMMYFUNCTION("""COMPUTED_VALUE"""),41751.645833333336)</f>
        <v>41751.64583</v>
      </c>
      <c r="B572" s="1">
        <f>IFERROR(__xludf.DUMMYFUNCTION("""COMPUTED_VALUE"""),5000.0)</f>
        <v>5000</v>
      </c>
      <c r="C572" s="1">
        <f>IFERROR(__xludf.DUMMYFUNCTION("""COMPUTED_VALUE"""),5080.0)</f>
        <v>5080</v>
      </c>
      <c r="D572" s="1">
        <f>IFERROR(__xludf.DUMMYFUNCTION("""COMPUTED_VALUE"""),4965.0)</f>
        <v>4965</v>
      </c>
      <c r="E572" s="1">
        <f>IFERROR(__xludf.DUMMYFUNCTION("""COMPUTED_VALUE"""),5020.0)</f>
        <v>5020</v>
      </c>
      <c r="F572" s="1">
        <f>IFERROR(__xludf.DUMMYFUNCTION("""COMPUTED_VALUE"""),24680.0)</f>
        <v>24680</v>
      </c>
    </row>
    <row r="573">
      <c r="A573" s="2">
        <f>IFERROR(__xludf.DUMMYFUNCTION("""COMPUTED_VALUE"""),41752.645833333336)</f>
        <v>41752.64583</v>
      </c>
      <c r="B573" s="1">
        <f>IFERROR(__xludf.DUMMYFUNCTION("""COMPUTED_VALUE"""),5020.0)</f>
        <v>5020</v>
      </c>
      <c r="C573" s="1">
        <f>IFERROR(__xludf.DUMMYFUNCTION("""COMPUTED_VALUE"""),5020.0)</f>
        <v>5020</v>
      </c>
      <c r="D573" s="1">
        <f>IFERROR(__xludf.DUMMYFUNCTION("""COMPUTED_VALUE"""),4900.0)</f>
        <v>4900</v>
      </c>
      <c r="E573" s="1">
        <f>IFERROR(__xludf.DUMMYFUNCTION("""COMPUTED_VALUE"""),4900.0)</f>
        <v>4900</v>
      </c>
      <c r="F573" s="1">
        <f>IFERROR(__xludf.DUMMYFUNCTION("""COMPUTED_VALUE"""),25362.0)</f>
        <v>25362</v>
      </c>
    </row>
    <row r="574">
      <c r="A574" s="2">
        <f>IFERROR(__xludf.DUMMYFUNCTION("""COMPUTED_VALUE"""),41753.645833333336)</f>
        <v>41753.64583</v>
      </c>
      <c r="B574" s="1">
        <f>IFERROR(__xludf.DUMMYFUNCTION("""COMPUTED_VALUE"""),4900.0)</f>
        <v>4900</v>
      </c>
      <c r="C574" s="1">
        <f>IFERROR(__xludf.DUMMYFUNCTION("""COMPUTED_VALUE"""),4915.0)</f>
        <v>4915</v>
      </c>
      <c r="D574" s="1">
        <f>IFERROR(__xludf.DUMMYFUNCTION("""COMPUTED_VALUE"""),4780.0)</f>
        <v>4780</v>
      </c>
      <c r="E574" s="1">
        <f>IFERROR(__xludf.DUMMYFUNCTION("""COMPUTED_VALUE"""),4850.0)</f>
        <v>4850</v>
      </c>
      <c r="F574" s="1">
        <f>IFERROR(__xludf.DUMMYFUNCTION("""COMPUTED_VALUE"""),27735.0)</f>
        <v>27735</v>
      </c>
    </row>
    <row r="575">
      <c r="A575" s="2">
        <f>IFERROR(__xludf.DUMMYFUNCTION("""COMPUTED_VALUE"""),41754.645833333336)</f>
        <v>41754.64583</v>
      </c>
      <c r="B575" s="1">
        <f>IFERROR(__xludf.DUMMYFUNCTION("""COMPUTED_VALUE"""),4880.0)</f>
        <v>4880</v>
      </c>
      <c r="C575" s="1">
        <f>IFERROR(__xludf.DUMMYFUNCTION("""COMPUTED_VALUE"""),4880.0)</f>
        <v>4880</v>
      </c>
      <c r="D575" s="1">
        <f>IFERROR(__xludf.DUMMYFUNCTION("""COMPUTED_VALUE"""),4770.0)</f>
        <v>4770</v>
      </c>
      <c r="E575" s="1">
        <f>IFERROR(__xludf.DUMMYFUNCTION("""COMPUTED_VALUE"""),4825.0)</f>
        <v>4825</v>
      </c>
      <c r="F575" s="1">
        <f>IFERROR(__xludf.DUMMYFUNCTION("""COMPUTED_VALUE"""),7360.0)</f>
        <v>7360</v>
      </c>
    </row>
    <row r="576">
      <c r="A576" s="2">
        <f>IFERROR(__xludf.DUMMYFUNCTION("""COMPUTED_VALUE"""),41757.645833333336)</f>
        <v>41757.64583</v>
      </c>
      <c r="B576" s="1">
        <f>IFERROR(__xludf.DUMMYFUNCTION("""COMPUTED_VALUE"""),4845.0)</f>
        <v>4845</v>
      </c>
      <c r="C576" s="1">
        <f>IFERROR(__xludf.DUMMYFUNCTION("""COMPUTED_VALUE"""),4845.0)</f>
        <v>4845</v>
      </c>
      <c r="D576" s="1">
        <f>IFERROR(__xludf.DUMMYFUNCTION("""COMPUTED_VALUE"""),4750.0)</f>
        <v>4750</v>
      </c>
      <c r="E576" s="1">
        <f>IFERROR(__xludf.DUMMYFUNCTION("""COMPUTED_VALUE"""),4825.0)</f>
        <v>4825</v>
      </c>
      <c r="F576" s="1">
        <f>IFERROR(__xludf.DUMMYFUNCTION("""COMPUTED_VALUE"""),14960.0)</f>
        <v>14960</v>
      </c>
    </row>
    <row r="577">
      <c r="A577" s="2">
        <f>IFERROR(__xludf.DUMMYFUNCTION("""COMPUTED_VALUE"""),41758.645833333336)</f>
        <v>41758.64583</v>
      </c>
      <c r="B577" s="1">
        <f>IFERROR(__xludf.DUMMYFUNCTION("""COMPUTED_VALUE"""),4865.0)</f>
        <v>4865</v>
      </c>
      <c r="C577" s="1">
        <f>IFERROR(__xludf.DUMMYFUNCTION("""COMPUTED_VALUE"""),4870.0)</f>
        <v>4870</v>
      </c>
      <c r="D577" s="1">
        <f>IFERROR(__xludf.DUMMYFUNCTION("""COMPUTED_VALUE"""),4810.0)</f>
        <v>4810</v>
      </c>
      <c r="E577" s="1">
        <f>IFERROR(__xludf.DUMMYFUNCTION("""COMPUTED_VALUE"""),4865.0)</f>
        <v>4865</v>
      </c>
      <c r="F577" s="1">
        <f>IFERROR(__xludf.DUMMYFUNCTION("""COMPUTED_VALUE"""),9420.0)</f>
        <v>9420</v>
      </c>
    </row>
    <row r="578">
      <c r="A578" s="2">
        <f>IFERROR(__xludf.DUMMYFUNCTION("""COMPUTED_VALUE"""),41759.645833333336)</f>
        <v>41759.64583</v>
      </c>
      <c r="B578" s="1">
        <f>IFERROR(__xludf.DUMMYFUNCTION("""COMPUTED_VALUE"""),4830.0)</f>
        <v>4830</v>
      </c>
      <c r="C578" s="1">
        <f>IFERROR(__xludf.DUMMYFUNCTION("""COMPUTED_VALUE"""),4870.0)</f>
        <v>4870</v>
      </c>
      <c r="D578" s="1">
        <f>IFERROR(__xludf.DUMMYFUNCTION("""COMPUTED_VALUE"""),4800.0)</f>
        <v>4800</v>
      </c>
      <c r="E578" s="1">
        <f>IFERROR(__xludf.DUMMYFUNCTION("""COMPUTED_VALUE"""),4865.0)</f>
        <v>4865</v>
      </c>
      <c r="F578" s="1">
        <f>IFERROR(__xludf.DUMMYFUNCTION("""COMPUTED_VALUE"""),12080.0)</f>
        <v>12080</v>
      </c>
    </row>
    <row r="579">
      <c r="A579" s="2">
        <f>IFERROR(__xludf.DUMMYFUNCTION("""COMPUTED_VALUE"""),41761.645833333336)</f>
        <v>41761.64583</v>
      </c>
      <c r="B579" s="1">
        <f>IFERROR(__xludf.DUMMYFUNCTION("""COMPUTED_VALUE"""),4895.0)</f>
        <v>4895</v>
      </c>
      <c r="C579" s="1">
        <f>IFERROR(__xludf.DUMMYFUNCTION("""COMPUTED_VALUE"""),4895.0)</f>
        <v>4895</v>
      </c>
      <c r="D579" s="1">
        <f>IFERROR(__xludf.DUMMYFUNCTION("""COMPUTED_VALUE"""),4800.0)</f>
        <v>4800</v>
      </c>
      <c r="E579" s="1">
        <f>IFERROR(__xludf.DUMMYFUNCTION("""COMPUTED_VALUE"""),4800.0)</f>
        <v>4800</v>
      </c>
      <c r="F579" s="1">
        <f>IFERROR(__xludf.DUMMYFUNCTION("""COMPUTED_VALUE"""),18343.0)</f>
        <v>18343</v>
      </c>
    </row>
    <row r="580">
      <c r="A580" s="2">
        <f>IFERROR(__xludf.DUMMYFUNCTION("""COMPUTED_VALUE"""),41766.645833333336)</f>
        <v>41766.64583</v>
      </c>
      <c r="B580" s="1">
        <f>IFERROR(__xludf.DUMMYFUNCTION("""COMPUTED_VALUE"""),4775.0)</f>
        <v>4775</v>
      </c>
      <c r="C580" s="1">
        <f>IFERROR(__xludf.DUMMYFUNCTION("""COMPUTED_VALUE"""),4845.0)</f>
        <v>4845</v>
      </c>
      <c r="D580" s="1">
        <f>IFERROR(__xludf.DUMMYFUNCTION("""COMPUTED_VALUE"""),4695.0)</f>
        <v>4695</v>
      </c>
      <c r="E580" s="1">
        <f>IFERROR(__xludf.DUMMYFUNCTION("""COMPUTED_VALUE"""),4770.0)</f>
        <v>4770</v>
      </c>
      <c r="F580" s="1">
        <f>IFERROR(__xludf.DUMMYFUNCTION("""COMPUTED_VALUE"""),39200.0)</f>
        <v>39200</v>
      </c>
    </row>
    <row r="581">
      <c r="A581" s="2">
        <f>IFERROR(__xludf.DUMMYFUNCTION("""COMPUTED_VALUE"""),41767.645833333336)</f>
        <v>41767.64583</v>
      </c>
      <c r="B581" s="1">
        <f>IFERROR(__xludf.DUMMYFUNCTION("""COMPUTED_VALUE"""),4735.0)</f>
        <v>4735</v>
      </c>
      <c r="C581" s="1">
        <f>IFERROR(__xludf.DUMMYFUNCTION("""COMPUTED_VALUE"""),4750.0)</f>
        <v>4750</v>
      </c>
      <c r="D581" s="1">
        <f>IFERROR(__xludf.DUMMYFUNCTION("""COMPUTED_VALUE"""),4650.0)</f>
        <v>4650</v>
      </c>
      <c r="E581" s="1">
        <f>IFERROR(__xludf.DUMMYFUNCTION("""COMPUTED_VALUE"""),4715.0)</f>
        <v>4715</v>
      </c>
      <c r="F581" s="1">
        <f>IFERROR(__xludf.DUMMYFUNCTION("""COMPUTED_VALUE"""),8243.0)</f>
        <v>8243</v>
      </c>
    </row>
    <row r="582">
      <c r="A582" s="2">
        <f>IFERROR(__xludf.DUMMYFUNCTION("""COMPUTED_VALUE"""),41768.645833333336)</f>
        <v>41768.64583</v>
      </c>
      <c r="B582" s="1">
        <f>IFERROR(__xludf.DUMMYFUNCTION("""COMPUTED_VALUE"""),4670.0)</f>
        <v>4670</v>
      </c>
      <c r="C582" s="1">
        <f>IFERROR(__xludf.DUMMYFUNCTION("""COMPUTED_VALUE"""),4745.0)</f>
        <v>4745</v>
      </c>
      <c r="D582" s="1">
        <f>IFERROR(__xludf.DUMMYFUNCTION("""COMPUTED_VALUE"""),4670.0)</f>
        <v>4670</v>
      </c>
      <c r="E582" s="1">
        <f>IFERROR(__xludf.DUMMYFUNCTION("""COMPUTED_VALUE"""),4705.0)</f>
        <v>4705</v>
      </c>
      <c r="F582" s="1">
        <f>IFERROR(__xludf.DUMMYFUNCTION("""COMPUTED_VALUE"""),12330.0)</f>
        <v>12330</v>
      </c>
    </row>
    <row r="583">
      <c r="A583" s="2">
        <f>IFERROR(__xludf.DUMMYFUNCTION("""COMPUTED_VALUE"""),41771.645833333336)</f>
        <v>41771.64583</v>
      </c>
      <c r="B583" s="1">
        <f>IFERROR(__xludf.DUMMYFUNCTION("""COMPUTED_VALUE"""),4745.0)</f>
        <v>4745</v>
      </c>
      <c r="C583" s="1">
        <f>IFERROR(__xludf.DUMMYFUNCTION("""COMPUTED_VALUE"""),4800.0)</f>
        <v>4800</v>
      </c>
      <c r="D583" s="1">
        <f>IFERROR(__xludf.DUMMYFUNCTION("""COMPUTED_VALUE"""),4690.0)</f>
        <v>4690</v>
      </c>
      <c r="E583" s="1">
        <f>IFERROR(__xludf.DUMMYFUNCTION("""COMPUTED_VALUE"""),4710.0)</f>
        <v>4710</v>
      </c>
      <c r="F583" s="1">
        <f>IFERROR(__xludf.DUMMYFUNCTION("""COMPUTED_VALUE"""),26661.0)</f>
        <v>26661</v>
      </c>
    </row>
    <row r="584">
      <c r="A584" s="2">
        <f>IFERROR(__xludf.DUMMYFUNCTION("""COMPUTED_VALUE"""),41772.645833333336)</f>
        <v>41772.64583</v>
      </c>
      <c r="B584" s="1">
        <f>IFERROR(__xludf.DUMMYFUNCTION("""COMPUTED_VALUE"""),4795.0)</f>
        <v>4795</v>
      </c>
      <c r="C584" s="1">
        <f>IFERROR(__xludf.DUMMYFUNCTION("""COMPUTED_VALUE"""),4805.0)</f>
        <v>4805</v>
      </c>
      <c r="D584" s="1">
        <f>IFERROR(__xludf.DUMMYFUNCTION("""COMPUTED_VALUE"""),4715.0)</f>
        <v>4715</v>
      </c>
      <c r="E584" s="1">
        <f>IFERROR(__xludf.DUMMYFUNCTION("""COMPUTED_VALUE"""),4770.0)</f>
        <v>4770</v>
      </c>
      <c r="F584" s="1">
        <f>IFERROR(__xludf.DUMMYFUNCTION("""COMPUTED_VALUE"""),17367.0)</f>
        <v>17367</v>
      </c>
    </row>
    <row r="585">
      <c r="A585" s="2">
        <f>IFERROR(__xludf.DUMMYFUNCTION("""COMPUTED_VALUE"""),41773.645833333336)</f>
        <v>41773.64583</v>
      </c>
      <c r="B585" s="1">
        <f>IFERROR(__xludf.DUMMYFUNCTION("""COMPUTED_VALUE"""),4745.0)</f>
        <v>4745</v>
      </c>
      <c r="C585" s="1">
        <f>IFERROR(__xludf.DUMMYFUNCTION("""COMPUTED_VALUE"""),4985.0)</f>
        <v>4985</v>
      </c>
      <c r="D585" s="1">
        <f>IFERROR(__xludf.DUMMYFUNCTION("""COMPUTED_VALUE"""),4745.0)</f>
        <v>4745</v>
      </c>
      <c r="E585" s="1">
        <f>IFERROR(__xludf.DUMMYFUNCTION("""COMPUTED_VALUE"""),4975.0)</f>
        <v>4975</v>
      </c>
      <c r="F585" s="1">
        <f>IFERROR(__xludf.DUMMYFUNCTION("""COMPUTED_VALUE"""),36550.0)</f>
        <v>36550</v>
      </c>
    </row>
    <row r="586">
      <c r="A586" s="2">
        <f>IFERROR(__xludf.DUMMYFUNCTION("""COMPUTED_VALUE"""),41774.645833333336)</f>
        <v>41774.64583</v>
      </c>
      <c r="B586" s="1">
        <f>IFERROR(__xludf.DUMMYFUNCTION("""COMPUTED_VALUE"""),4980.0)</f>
        <v>4980</v>
      </c>
      <c r="C586" s="1">
        <f>IFERROR(__xludf.DUMMYFUNCTION("""COMPUTED_VALUE"""),5050.0)</f>
        <v>5050</v>
      </c>
      <c r="D586" s="1">
        <f>IFERROR(__xludf.DUMMYFUNCTION("""COMPUTED_VALUE"""),4915.0)</f>
        <v>4915</v>
      </c>
      <c r="E586" s="1">
        <f>IFERROR(__xludf.DUMMYFUNCTION("""COMPUTED_VALUE"""),5050.0)</f>
        <v>5050</v>
      </c>
      <c r="F586" s="1">
        <f>IFERROR(__xludf.DUMMYFUNCTION("""COMPUTED_VALUE"""),38492.0)</f>
        <v>38492</v>
      </c>
    </row>
    <row r="587">
      <c r="A587" s="2">
        <f>IFERROR(__xludf.DUMMYFUNCTION("""COMPUTED_VALUE"""),41775.645833333336)</f>
        <v>41775.64583</v>
      </c>
      <c r="B587" s="1">
        <f>IFERROR(__xludf.DUMMYFUNCTION("""COMPUTED_VALUE"""),5060.0)</f>
        <v>5060</v>
      </c>
      <c r="C587" s="1">
        <f>IFERROR(__xludf.DUMMYFUNCTION("""COMPUTED_VALUE"""),5060.0)</f>
        <v>5060</v>
      </c>
      <c r="D587" s="1">
        <f>IFERROR(__xludf.DUMMYFUNCTION("""COMPUTED_VALUE"""),4960.0)</f>
        <v>4960</v>
      </c>
      <c r="E587" s="1">
        <f>IFERROR(__xludf.DUMMYFUNCTION("""COMPUTED_VALUE"""),5020.0)</f>
        <v>5020</v>
      </c>
      <c r="F587" s="1">
        <f>IFERROR(__xludf.DUMMYFUNCTION("""COMPUTED_VALUE"""),31130.0)</f>
        <v>31130</v>
      </c>
    </row>
    <row r="588">
      <c r="A588" s="2">
        <f>IFERROR(__xludf.DUMMYFUNCTION("""COMPUTED_VALUE"""),41778.645833333336)</f>
        <v>41778.64583</v>
      </c>
      <c r="B588" s="1">
        <f>IFERROR(__xludf.DUMMYFUNCTION("""COMPUTED_VALUE"""),5000.0)</f>
        <v>5000</v>
      </c>
      <c r="C588" s="1">
        <f>IFERROR(__xludf.DUMMYFUNCTION("""COMPUTED_VALUE"""),5100.0)</f>
        <v>5100</v>
      </c>
      <c r="D588" s="1">
        <f>IFERROR(__xludf.DUMMYFUNCTION("""COMPUTED_VALUE"""),4840.0)</f>
        <v>4840</v>
      </c>
      <c r="E588" s="1">
        <f>IFERROR(__xludf.DUMMYFUNCTION("""COMPUTED_VALUE"""),4960.0)</f>
        <v>4960</v>
      </c>
      <c r="F588" s="1">
        <f>IFERROR(__xludf.DUMMYFUNCTION("""COMPUTED_VALUE"""),29510.0)</f>
        <v>29510</v>
      </c>
    </row>
    <row r="589">
      <c r="A589" s="2">
        <f>IFERROR(__xludf.DUMMYFUNCTION("""COMPUTED_VALUE"""),41779.645833333336)</f>
        <v>41779.64583</v>
      </c>
      <c r="B589" s="1">
        <f>IFERROR(__xludf.DUMMYFUNCTION("""COMPUTED_VALUE"""),4880.0)</f>
        <v>4880</v>
      </c>
      <c r="C589" s="1">
        <f>IFERROR(__xludf.DUMMYFUNCTION("""COMPUTED_VALUE"""),5000.0)</f>
        <v>5000</v>
      </c>
      <c r="D589" s="1">
        <f>IFERROR(__xludf.DUMMYFUNCTION("""COMPUTED_VALUE"""),4855.0)</f>
        <v>4855</v>
      </c>
      <c r="E589" s="1">
        <f>IFERROR(__xludf.DUMMYFUNCTION("""COMPUTED_VALUE"""),5000.0)</f>
        <v>5000</v>
      </c>
      <c r="F589" s="1">
        <f>IFERROR(__xludf.DUMMYFUNCTION("""COMPUTED_VALUE"""),18690.0)</f>
        <v>18690</v>
      </c>
    </row>
    <row r="590">
      <c r="A590" s="2">
        <f>IFERROR(__xludf.DUMMYFUNCTION("""COMPUTED_VALUE"""),41780.645833333336)</f>
        <v>41780.64583</v>
      </c>
      <c r="B590" s="1">
        <f>IFERROR(__xludf.DUMMYFUNCTION("""COMPUTED_VALUE"""),4950.0)</f>
        <v>4950</v>
      </c>
      <c r="C590" s="1">
        <f>IFERROR(__xludf.DUMMYFUNCTION("""COMPUTED_VALUE"""),5010.0)</f>
        <v>5010</v>
      </c>
      <c r="D590" s="1">
        <f>IFERROR(__xludf.DUMMYFUNCTION("""COMPUTED_VALUE"""),4880.0)</f>
        <v>4880</v>
      </c>
      <c r="E590" s="1">
        <f>IFERROR(__xludf.DUMMYFUNCTION("""COMPUTED_VALUE"""),4910.0)</f>
        <v>4910</v>
      </c>
      <c r="F590" s="1">
        <f>IFERROR(__xludf.DUMMYFUNCTION("""COMPUTED_VALUE"""),12391.0)</f>
        <v>12391</v>
      </c>
    </row>
    <row r="591">
      <c r="A591" s="2">
        <f>IFERROR(__xludf.DUMMYFUNCTION("""COMPUTED_VALUE"""),41781.645833333336)</f>
        <v>41781.64583</v>
      </c>
      <c r="B591" s="1">
        <f>IFERROR(__xludf.DUMMYFUNCTION("""COMPUTED_VALUE"""),5060.0)</f>
        <v>5060</v>
      </c>
      <c r="C591" s="1">
        <f>IFERROR(__xludf.DUMMYFUNCTION("""COMPUTED_VALUE"""),5090.0)</f>
        <v>5090</v>
      </c>
      <c r="D591" s="1">
        <f>IFERROR(__xludf.DUMMYFUNCTION("""COMPUTED_VALUE"""),4925.0)</f>
        <v>4925</v>
      </c>
      <c r="E591" s="1">
        <f>IFERROR(__xludf.DUMMYFUNCTION("""COMPUTED_VALUE"""),5050.0)</f>
        <v>5050</v>
      </c>
      <c r="F591" s="1">
        <f>IFERROR(__xludf.DUMMYFUNCTION("""COMPUTED_VALUE"""),28921.0)</f>
        <v>28921</v>
      </c>
    </row>
    <row r="592">
      <c r="A592" s="2">
        <f>IFERROR(__xludf.DUMMYFUNCTION("""COMPUTED_VALUE"""),41782.645833333336)</f>
        <v>41782.64583</v>
      </c>
      <c r="B592" s="1">
        <f>IFERROR(__xludf.DUMMYFUNCTION("""COMPUTED_VALUE"""),5050.0)</f>
        <v>5050</v>
      </c>
      <c r="C592" s="1">
        <f>IFERROR(__xludf.DUMMYFUNCTION("""COMPUTED_VALUE"""),5080.0)</f>
        <v>5080</v>
      </c>
      <c r="D592" s="1">
        <f>IFERROR(__xludf.DUMMYFUNCTION("""COMPUTED_VALUE"""),4905.0)</f>
        <v>4905</v>
      </c>
      <c r="E592" s="1">
        <f>IFERROR(__xludf.DUMMYFUNCTION("""COMPUTED_VALUE"""),4905.0)</f>
        <v>4905</v>
      </c>
      <c r="F592" s="1">
        <f>IFERROR(__xludf.DUMMYFUNCTION("""COMPUTED_VALUE"""),42880.0)</f>
        <v>42880</v>
      </c>
    </row>
    <row r="593">
      <c r="A593" s="2">
        <f>IFERROR(__xludf.DUMMYFUNCTION("""COMPUTED_VALUE"""),41785.645833333336)</f>
        <v>41785.64583</v>
      </c>
      <c r="B593" s="1">
        <f>IFERROR(__xludf.DUMMYFUNCTION("""COMPUTED_VALUE"""),5000.0)</f>
        <v>5000</v>
      </c>
      <c r="C593" s="1">
        <f>IFERROR(__xludf.DUMMYFUNCTION("""COMPUTED_VALUE"""),5000.0)</f>
        <v>5000</v>
      </c>
      <c r="D593" s="1">
        <f>IFERROR(__xludf.DUMMYFUNCTION("""COMPUTED_VALUE"""),4860.0)</f>
        <v>4860</v>
      </c>
      <c r="E593" s="1">
        <f>IFERROR(__xludf.DUMMYFUNCTION("""COMPUTED_VALUE"""),4905.0)</f>
        <v>4905</v>
      </c>
      <c r="F593" s="1">
        <f>IFERROR(__xludf.DUMMYFUNCTION("""COMPUTED_VALUE"""),16570.0)</f>
        <v>16570</v>
      </c>
    </row>
    <row r="594">
      <c r="A594" s="2">
        <f>IFERROR(__xludf.DUMMYFUNCTION("""COMPUTED_VALUE"""),41786.645833333336)</f>
        <v>41786.64583</v>
      </c>
      <c r="B594" s="1">
        <f>IFERROR(__xludf.DUMMYFUNCTION("""COMPUTED_VALUE"""),4920.0)</f>
        <v>4920</v>
      </c>
      <c r="C594" s="1">
        <f>IFERROR(__xludf.DUMMYFUNCTION("""COMPUTED_VALUE"""),4920.0)</f>
        <v>4920</v>
      </c>
      <c r="D594" s="1">
        <f>IFERROR(__xludf.DUMMYFUNCTION("""COMPUTED_VALUE"""),4750.0)</f>
        <v>4750</v>
      </c>
      <c r="E594" s="1">
        <f>IFERROR(__xludf.DUMMYFUNCTION("""COMPUTED_VALUE"""),4795.0)</f>
        <v>4795</v>
      </c>
      <c r="F594" s="1">
        <f>IFERROR(__xludf.DUMMYFUNCTION("""COMPUTED_VALUE"""),21480.0)</f>
        <v>21480</v>
      </c>
    </row>
    <row r="595">
      <c r="A595" s="2">
        <f>IFERROR(__xludf.DUMMYFUNCTION("""COMPUTED_VALUE"""),41787.645833333336)</f>
        <v>41787.64583</v>
      </c>
      <c r="B595" s="1">
        <f>IFERROR(__xludf.DUMMYFUNCTION("""COMPUTED_VALUE"""),4785.0)</f>
        <v>4785</v>
      </c>
      <c r="C595" s="1">
        <f>IFERROR(__xludf.DUMMYFUNCTION("""COMPUTED_VALUE"""),4785.0)</f>
        <v>4785</v>
      </c>
      <c r="D595" s="1">
        <f>IFERROR(__xludf.DUMMYFUNCTION("""COMPUTED_VALUE"""),4680.0)</f>
        <v>4680</v>
      </c>
      <c r="E595" s="1">
        <f>IFERROR(__xludf.DUMMYFUNCTION("""COMPUTED_VALUE"""),4690.0)</f>
        <v>4690</v>
      </c>
      <c r="F595" s="1">
        <f>IFERROR(__xludf.DUMMYFUNCTION("""COMPUTED_VALUE"""),34340.0)</f>
        <v>34340</v>
      </c>
    </row>
    <row r="596">
      <c r="A596" s="2">
        <f>IFERROR(__xludf.DUMMYFUNCTION("""COMPUTED_VALUE"""),41788.645833333336)</f>
        <v>41788.64583</v>
      </c>
      <c r="B596" s="1">
        <f>IFERROR(__xludf.DUMMYFUNCTION("""COMPUTED_VALUE"""),4710.0)</f>
        <v>4710</v>
      </c>
      <c r="C596" s="1">
        <f>IFERROR(__xludf.DUMMYFUNCTION("""COMPUTED_VALUE"""),4740.0)</f>
        <v>4740</v>
      </c>
      <c r="D596" s="1">
        <f>IFERROR(__xludf.DUMMYFUNCTION("""COMPUTED_VALUE"""),4660.0)</f>
        <v>4660</v>
      </c>
      <c r="E596" s="1">
        <f>IFERROR(__xludf.DUMMYFUNCTION("""COMPUTED_VALUE"""),4660.0)</f>
        <v>4660</v>
      </c>
      <c r="F596" s="1">
        <f>IFERROR(__xludf.DUMMYFUNCTION("""COMPUTED_VALUE"""),15564.0)</f>
        <v>15564</v>
      </c>
    </row>
    <row r="597">
      <c r="A597" s="2">
        <f>IFERROR(__xludf.DUMMYFUNCTION("""COMPUTED_VALUE"""),41789.645833333336)</f>
        <v>41789.64583</v>
      </c>
      <c r="B597" s="1">
        <f>IFERROR(__xludf.DUMMYFUNCTION("""COMPUTED_VALUE"""),4745.0)</f>
        <v>4745</v>
      </c>
      <c r="C597" s="1">
        <f>IFERROR(__xludf.DUMMYFUNCTION("""COMPUTED_VALUE"""),5040.0)</f>
        <v>5040</v>
      </c>
      <c r="D597" s="1">
        <f>IFERROR(__xludf.DUMMYFUNCTION("""COMPUTED_VALUE"""),4670.0)</f>
        <v>4670</v>
      </c>
      <c r="E597" s="1">
        <f>IFERROR(__xludf.DUMMYFUNCTION("""COMPUTED_VALUE"""),5020.0)</f>
        <v>5020</v>
      </c>
      <c r="F597" s="1">
        <f>IFERROR(__xludf.DUMMYFUNCTION("""COMPUTED_VALUE"""),69698.0)</f>
        <v>69698</v>
      </c>
    </row>
    <row r="598">
      <c r="A598" s="2">
        <f>IFERROR(__xludf.DUMMYFUNCTION("""COMPUTED_VALUE"""),41792.645833333336)</f>
        <v>41792.64583</v>
      </c>
      <c r="B598" s="1">
        <f>IFERROR(__xludf.DUMMYFUNCTION("""COMPUTED_VALUE"""),5020.0)</f>
        <v>5020</v>
      </c>
      <c r="C598" s="1">
        <f>IFERROR(__xludf.DUMMYFUNCTION("""COMPUTED_VALUE"""),5050.0)</f>
        <v>5050</v>
      </c>
      <c r="D598" s="1">
        <f>IFERROR(__xludf.DUMMYFUNCTION("""COMPUTED_VALUE"""),4870.0)</f>
        <v>4870</v>
      </c>
      <c r="E598" s="1">
        <f>IFERROR(__xludf.DUMMYFUNCTION("""COMPUTED_VALUE"""),4950.0)</f>
        <v>4950</v>
      </c>
      <c r="F598" s="1">
        <f>IFERROR(__xludf.DUMMYFUNCTION("""COMPUTED_VALUE"""),37073.0)</f>
        <v>37073</v>
      </c>
    </row>
    <row r="599">
      <c r="A599" s="2">
        <f>IFERROR(__xludf.DUMMYFUNCTION("""COMPUTED_VALUE"""),41793.645833333336)</f>
        <v>41793.64583</v>
      </c>
      <c r="B599" s="1">
        <f>IFERROR(__xludf.DUMMYFUNCTION("""COMPUTED_VALUE"""),4870.0)</f>
        <v>4870</v>
      </c>
      <c r="C599" s="1">
        <f>IFERROR(__xludf.DUMMYFUNCTION("""COMPUTED_VALUE"""),5000.0)</f>
        <v>5000</v>
      </c>
      <c r="D599" s="1">
        <f>IFERROR(__xludf.DUMMYFUNCTION("""COMPUTED_VALUE"""),4800.0)</f>
        <v>4800</v>
      </c>
      <c r="E599" s="1">
        <f>IFERROR(__xludf.DUMMYFUNCTION("""COMPUTED_VALUE"""),4865.0)</f>
        <v>4865</v>
      </c>
      <c r="F599" s="1">
        <f>IFERROR(__xludf.DUMMYFUNCTION("""COMPUTED_VALUE"""),42141.0)</f>
        <v>42141</v>
      </c>
    </row>
    <row r="600">
      <c r="A600" s="2">
        <f>IFERROR(__xludf.DUMMYFUNCTION("""COMPUTED_VALUE"""),41795.645833333336)</f>
        <v>41795.64583</v>
      </c>
      <c r="B600" s="1">
        <f>IFERROR(__xludf.DUMMYFUNCTION("""COMPUTED_VALUE"""),4840.0)</f>
        <v>4840</v>
      </c>
      <c r="C600" s="1">
        <f>IFERROR(__xludf.DUMMYFUNCTION("""COMPUTED_VALUE"""),4870.0)</f>
        <v>4870</v>
      </c>
      <c r="D600" s="1">
        <f>IFERROR(__xludf.DUMMYFUNCTION("""COMPUTED_VALUE"""),4740.0)</f>
        <v>4740</v>
      </c>
      <c r="E600" s="1">
        <f>IFERROR(__xludf.DUMMYFUNCTION("""COMPUTED_VALUE"""),4865.0)</f>
        <v>4865</v>
      </c>
      <c r="F600" s="1">
        <f>IFERROR(__xludf.DUMMYFUNCTION("""COMPUTED_VALUE"""),68184.0)</f>
        <v>68184</v>
      </c>
    </row>
    <row r="601">
      <c r="A601" s="2">
        <f>IFERROR(__xludf.DUMMYFUNCTION("""COMPUTED_VALUE"""),41799.645833333336)</f>
        <v>41799.64583</v>
      </c>
      <c r="B601" s="1">
        <f>IFERROR(__xludf.DUMMYFUNCTION("""COMPUTED_VALUE"""),4920.0)</f>
        <v>4920</v>
      </c>
      <c r="C601" s="1">
        <f>IFERROR(__xludf.DUMMYFUNCTION("""COMPUTED_VALUE"""),5120.0)</f>
        <v>5120</v>
      </c>
      <c r="D601" s="1">
        <f>IFERROR(__xludf.DUMMYFUNCTION("""COMPUTED_VALUE"""),4845.0)</f>
        <v>4845</v>
      </c>
      <c r="E601" s="1">
        <f>IFERROR(__xludf.DUMMYFUNCTION("""COMPUTED_VALUE"""),5100.0)</f>
        <v>5100</v>
      </c>
      <c r="F601" s="1">
        <f>IFERROR(__xludf.DUMMYFUNCTION("""COMPUTED_VALUE"""),85346.0)</f>
        <v>85346</v>
      </c>
    </row>
    <row r="602">
      <c r="A602" s="2">
        <f>IFERROR(__xludf.DUMMYFUNCTION("""COMPUTED_VALUE"""),41800.645833333336)</f>
        <v>41800.64583</v>
      </c>
      <c r="B602" s="1">
        <f>IFERROR(__xludf.DUMMYFUNCTION("""COMPUTED_VALUE"""),5140.0)</f>
        <v>5140</v>
      </c>
      <c r="C602" s="1">
        <f>IFERROR(__xludf.DUMMYFUNCTION("""COMPUTED_VALUE"""),5340.0)</f>
        <v>5340</v>
      </c>
      <c r="D602" s="1">
        <f>IFERROR(__xludf.DUMMYFUNCTION("""COMPUTED_VALUE"""),5100.0)</f>
        <v>5100</v>
      </c>
      <c r="E602" s="1">
        <f>IFERROR(__xludf.DUMMYFUNCTION("""COMPUTED_VALUE"""),5170.0)</f>
        <v>5170</v>
      </c>
      <c r="F602" s="1">
        <f>IFERROR(__xludf.DUMMYFUNCTION("""COMPUTED_VALUE"""),142899.0)</f>
        <v>142899</v>
      </c>
    </row>
    <row r="603">
      <c r="A603" s="2">
        <f>IFERROR(__xludf.DUMMYFUNCTION("""COMPUTED_VALUE"""),41801.645833333336)</f>
        <v>41801.64583</v>
      </c>
      <c r="B603" s="1">
        <f>IFERROR(__xludf.DUMMYFUNCTION("""COMPUTED_VALUE"""),5220.0)</f>
        <v>5220</v>
      </c>
      <c r="C603" s="1">
        <f>IFERROR(__xludf.DUMMYFUNCTION("""COMPUTED_VALUE"""),5300.0)</f>
        <v>5300</v>
      </c>
      <c r="D603" s="1">
        <f>IFERROR(__xludf.DUMMYFUNCTION("""COMPUTED_VALUE"""),5130.0)</f>
        <v>5130</v>
      </c>
      <c r="E603" s="1">
        <f>IFERROR(__xludf.DUMMYFUNCTION("""COMPUTED_VALUE"""),5260.0)</f>
        <v>5260</v>
      </c>
      <c r="F603" s="1">
        <f>IFERROR(__xludf.DUMMYFUNCTION("""COMPUTED_VALUE"""),55632.0)</f>
        <v>55632</v>
      </c>
    </row>
    <row r="604">
      <c r="A604" s="2">
        <f>IFERROR(__xludf.DUMMYFUNCTION("""COMPUTED_VALUE"""),41802.645833333336)</f>
        <v>41802.64583</v>
      </c>
      <c r="B604" s="1">
        <f>IFERROR(__xludf.DUMMYFUNCTION("""COMPUTED_VALUE"""),5270.0)</f>
        <v>5270</v>
      </c>
      <c r="C604" s="1">
        <f>IFERROR(__xludf.DUMMYFUNCTION("""COMPUTED_VALUE"""),5400.0)</f>
        <v>5400</v>
      </c>
      <c r="D604" s="1">
        <f>IFERROR(__xludf.DUMMYFUNCTION("""COMPUTED_VALUE"""),5180.0)</f>
        <v>5180</v>
      </c>
      <c r="E604" s="1">
        <f>IFERROR(__xludf.DUMMYFUNCTION("""COMPUTED_VALUE"""),5310.0)</f>
        <v>5310</v>
      </c>
      <c r="F604" s="1">
        <f>IFERROR(__xludf.DUMMYFUNCTION("""COMPUTED_VALUE"""),68132.0)</f>
        <v>68132</v>
      </c>
    </row>
    <row r="605">
      <c r="A605" s="2">
        <f>IFERROR(__xludf.DUMMYFUNCTION("""COMPUTED_VALUE"""),41803.645833333336)</f>
        <v>41803.64583</v>
      </c>
      <c r="B605" s="1">
        <f>IFERROR(__xludf.DUMMYFUNCTION("""COMPUTED_VALUE"""),5340.0)</f>
        <v>5340</v>
      </c>
      <c r="C605" s="1">
        <f>IFERROR(__xludf.DUMMYFUNCTION("""COMPUTED_VALUE"""),5350.0)</f>
        <v>5350</v>
      </c>
      <c r="D605" s="1">
        <f>IFERROR(__xludf.DUMMYFUNCTION("""COMPUTED_VALUE"""),5200.0)</f>
        <v>5200</v>
      </c>
      <c r="E605" s="1">
        <f>IFERROR(__xludf.DUMMYFUNCTION("""COMPUTED_VALUE"""),5310.0)</f>
        <v>5310</v>
      </c>
      <c r="F605" s="1">
        <f>IFERROR(__xludf.DUMMYFUNCTION("""COMPUTED_VALUE"""),28983.0)</f>
        <v>28983</v>
      </c>
    </row>
    <row r="606">
      <c r="A606" s="2">
        <f>IFERROR(__xludf.DUMMYFUNCTION("""COMPUTED_VALUE"""),41806.645833333336)</f>
        <v>41806.64583</v>
      </c>
      <c r="B606" s="1">
        <f>IFERROR(__xludf.DUMMYFUNCTION("""COMPUTED_VALUE"""),5400.0)</f>
        <v>5400</v>
      </c>
      <c r="C606" s="1">
        <f>IFERROR(__xludf.DUMMYFUNCTION("""COMPUTED_VALUE"""),5410.0)</f>
        <v>5410</v>
      </c>
      <c r="D606" s="1">
        <f>IFERROR(__xludf.DUMMYFUNCTION("""COMPUTED_VALUE"""),5190.0)</f>
        <v>5190</v>
      </c>
      <c r="E606" s="1">
        <f>IFERROR(__xludf.DUMMYFUNCTION("""COMPUTED_VALUE"""),5190.0)</f>
        <v>5190</v>
      </c>
      <c r="F606" s="1">
        <f>IFERROR(__xludf.DUMMYFUNCTION("""COMPUTED_VALUE"""),33299.0)</f>
        <v>33299</v>
      </c>
    </row>
    <row r="607">
      <c r="A607" s="2">
        <f>IFERROR(__xludf.DUMMYFUNCTION("""COMPUTED_VALUE"""),41807.645833333336)</f>
        <v>41807.64583</v>
      </c>
      <c r="B607" s="1">
        <f>IFERROR(__xludf.DUMMYFUNCTION("""COMPUTED_VALUE"""),5200.0)</f>
        <v>5200</v>
      </c>
      <c r="C607" s="1">
        <f>IFERROR(__xludf.DUMMYFUNCTION("""COMPUTED_VALUE"""),5250.0)</f>
        <v>5250</v>
      </c>
      <c r="D607" s="1">
        <f>IFERROR(__xludf.DUMMYFUNCTION("""COMPUTED_VALUE"""),5130.0)</f>
        <v>5130</v>
      </c>
      <c r="E607" s="1">
        <f>IFERROR(__xludf.DUMMYFUNCTION("""COMPUTED_VALUE"""),5230.0)</f>
        <v>5230</v>
      </c>
      <c r="F607" s="1">
        <f>IFERROR(__xludf.DUMMYFUNCTION("""COMPUTED_VALUE"""),44376.0)</f>
        <v>44376</v>
      </c>
    </row>
    <row r="608">
      <c r="A608" s="2">
        <f>IFERROR(__xludf.DUMMYFUNCTION("""COMPUTED_VALUE"""),41808.645833333336)</f>
        <v>41808.64583</v>
      </c>
      <c r="B608" s="1">
        <f>IFERROR(__xludf.DUMMYFUNCTION("""COMPUTED_VALUE"""),5320.0)</f>
        <v>5320</v>
      </c>
      <c r="C608" s="1">
        <f>IFERROR(__xludf.DUMMYFUNCTION("""COMPUTED_VALUE"""),5370.0)</f>
        <v>5370</v>
      </c>
      <c r="D608" s="1">
        <f>IFERROR(__xludf.DUMMYFUNCTION("""COMPUTED_VALUE"""),5140.0)</f>
        <v>5140</v>
      </c>
      <c r="E608" s="1">
        <f>IFERROR(__xludf.DUMMYFUNCTION("""COMPUTED_VALUE"""),5140.0)</f>
        <v>5140</v>
      </c>
      <c r="F608" s="1">
        <f>IFERROR(__xludf.DUMMYFUNCTION("""COMPUTED_VALUE"""),39589.0)</f>
        <v>39589</v>
      </c>
    </row>
    <row r="609">
      <c r="A609" s="2">
        <f>IFERROR(__xludf.DUMMYFUNCTION("""COMPUTED_VALUE"""),41809.645833333336)</f>
        <v>41809.64583</v>
      </c>
      <c r="B609" s="1">
        <f>IFERROR(__xludf.DUMMYFUNCTION("""COMPUTED_VALUE"""),5250.0)</f>
        <v>5250</v>
      </c>
      <c r="C609" s="1">
        <f>IFERROR(__xludf.DUMMYFUNCTION("""COMPUTED_VALUE"""),5350.0)</f>
        <v>5350</v>
      </c>
      <c r="D609" s="1">
        <f>IFERROR(__xludf.DUMMYFUNCTION("""COMPUTED_VALUE"""),5130.0)</f>
        <v>5130</v>
      </c>
      <c r="E609" s="1">
        <f>IFERROR(__xludf.DUMMYFUNCTION("""COMPUTED_VALUE"""),5250.0)</f>
        <v>5250</v>
      </c>
      <c r="F609" s="1">
        <f>IFERROR(__xludf.DUMMYFUNCTION("""COMPUTED_VALUE"""),59142.0)</f>
        <v>59142</v>
      </c>
    </row>
    <row r="610">
      <c r="A610" s="2">
        <f>IFERROR(__xludf.DUMMYFUNCTION("""COMPUTED_VALUE"""),41810.645833333336)</f>
        <v>41810.64583</v>
      </c>
      <c r="B610" s="1">
        <f>IFERROR(__xludf.DUMMYFUNCTION("""COMPUTED_VALUE"""),5330.0)</f>
        <v>5330</v>
      </c>
      <c r="C610" s="1">
        <f>IFERROR(__xludf.DUMMYFUNCTION("""COMPUTED_VALUE"""),5350.0)</f>
        <v>5350</v>
      </c>
      <c r="D610" s="1">
        <f>IFERROR(__xludf.DUMMYFUNCTION("""COMPUTED_VALUE"""),5110.0)</f>
        <v>5110</v>
      </c>
      <c r="E610" s="1">
        <f>IFERROR(__xludf.DUMMYFUNCTION("""COMPUTED_VALUE"""),5210.0)</f>
        <v>5210</v>
      </c>
      <c r="F610" s="1">
        <f>IFERROR(__xludf.DUMMYFUNCTION("""COMPUTED_VALUE"""),46994.0)</f>
        <v>46994</v>
      </c>
    </row>
    <row r="611">
      <c r="A611" s="2">
        <f>IFERROR(__xludf.DUMMYFUNCTION("""COMPUTED_VALUE"""),41813.645833333336)</f>
        <v>41813.64583</v>
      </c>
      <c r="B611" s="1">
        <f>IFERROR(__xludf.DUMMYFUNCTION("""COMPUTED_VALUE"""),5230.0)</f>
        <v>5230</v>
      </c>
      <c r="C611" s="1">
        <f>IFERROR(__xludf.DUMMYFUNCTION("""COMPUTED_VALUE"""),5280.0)</f>
        <v>5280</v>
      </c>
      <c r="D611" s="1">
        <f>IFERROR(__xludf.DUMMYFUNCTION("""COMPUTED_VALUE"""),5130.0)</f>
        <v>5130</v>
      </c>
      <c r="E611" s="1">
        <f>IFERROR(__xludf.DUMMYFUNCTION("""COMPUTED_VALUE"""),5130.0)</f>
        <v>5130</v>
      </c>
      <c r="F611" s="1">
        <f>IFERROR(__xludf.DUMMYFUNCTION("""COMPUTED_VALUE"""),35366.0)</f>
        <v>35366</v>
      </c>
    </row>
    <row r="612">
      <c r="A612" s="2">
        <f>IFERROR(__xludf.DUMMYFUNCTION("""COMPUTED_VALUE"""),41814.645833333336)</f>
        <v>41814.64583</v>
      </c>
      <c r="B612" s="1">
        <f>IFERROR(__xludf.DUMMYFUNCTION("""COMPUTED_VALUE"""),5170.0)</f>
        <v>5170</v>
      </c>
      <c r="C612" s="1">
        <f>IFERROR(__xludf.DUMMYFUNCTION("""COMPUTED_VALUE"""),5200.0)</f>
        <v>5200</v>
      </c>
      <c r="D612" s="1">
        <f>IFERROR(__xludf.DUMMYFUNCTION("""COMPUTED_VALUE"""),5070.0)</f>
        <v>5070</v>
      </c>
      <c r="E612" s="1">
        <f>IFERROR(__xludf.DUMMYFUNCTION("""COMPUTED_VALUE"""),5120.0)</f>
        <v>5120</v>
      </c>
      <c r="F612" s="1">
        <f>IFERROR(__xludf.DUMMYFUNCTION("""COMPUTED_VALUE"""),39494.0)</f>
        <v>39494</v>
      </c>
    </row>
    <row r="613">
      <c r="A613" s="2">
        <f>IFERROR(__xludf.DUMMYFUNCTION("""COMPUTED_VALUE"""),41815.645833333336)</f>
        <v>41815.64583</v>
      </c>
      <c r="B613" s="1">
        <f>IFERROR(__xludf.DUMMYFUNCTION("""COMPUTED_VALUE"""),5170.0)</f>
        <v>5170</v>
      </c>
      <c r="C613" s="1">
        <f>IFERROR(__xludf.DUMMYFUNCTION("""COMPUTED_VALUE"""),5200.0)</f>
        <v>5200</v>
      </c>
      <c r="D613" s="1">
        <f>IFERROR(__xludf.DUMMYFUNCTION("""COMPUTED_VALUE"""),5000.0)</f>
        <v>5000</v>
      </c>
      <c r="E613" s="1">
        <f>IFERROR(__xludf.DUMMYFUNCTION("""COMPUTED_VALUE"""),5090.0)</f>
        <v>5090</v>
      </c>
      <c r="F613" s="1">
        <f>IFERROR(__xludf.DUMMYFUNCTION("""COMPUTED_VALUE"""),24860.0)</f>
        <v>24860</v>
      </c>
    </row>
    <row r="614">
      <c r="A614" s="2">
        <f>IFERROR(__xludf.DUMMYFUNCTION("""COMPUTED_VALUE"""),41816.645833333336)</f>
        <v>41816.64583</v>
      </c>
      <c r="B614" s="1">
        <f>IFERROR(__xludf.DUMMYFUNCTION("""COMPUTED_VALUE"""),5100.0)</f>
        <v>5100</v>
      </c>
      <c r="C614" s="1">
        <f>IFERROR(__xludf.DUMMYFUNCTION("""COMPUTED_VALUE"""),5390.0)</f>
        <v>5390</v>
      </c>
      <c r="D614" s="1">
        <f>IFERROR(__xludf.DUMMYFUNCTION("""COMPUTED_VALUE"""),5080.0)</f>
        <v>5080</v>
      </c>
      <c r="E614" s="1">
        <f>IFERROR(__xludf.DUMMYFUNCTION("""COMPUTED_VALUE"""),5340.0)</f>
        <v>5340</v>
      </c>
      <c r="F614" s="1">
        <f>IFERROR(__xludf.DUMMYFUNCTION("""COMPUTED_VALUE"""),73290.0)</f>
        <v>73290</v>
      </c>
    </row>
    <row r="615">
      <c r="A615" s="2">
        <f>IFERROR(__xludf.DUMMYFUNCTION("""COMPUTED_VALUE"""),41817.645833333336)</f>
        <v>41817.64583</v>
      </c>
      <c r="B615" s="1">
        <f>IFERROR(__xludf.DUMMYFUNCTION("""COMPUTED_VALUE"""),5480.0)</f>
        <v>5480</v>
      </c>
      <c r="C615" s="1">
        <f>IFERROR(__xludf.DUMMYFUNCTION("""COMPUTED_VALUE"""),5720.0)</f>
        <v>5720</v>
      </c>
      <c r="D615" s="1">
        <f>IFERROR(__xludf.DUMMYFUNCTION("""COMPUTED_VALUE"""),5360.0)</f>
        <v>5360</v>
      </c>
      <c r="E615" s="1">
        <f>IFERROR(__xludf.DUMMYFUNCTION("""COMPUTED_VALUE"""),5650.0)</f>
        <v>5650</v>
      </c>
      <c r="F615" s="1">
        <f>IFERROR(__xludf.DUMMYFUNCTION("""COMPUTED_VALUE"""),128785.0)</f>
        <v>128785</v>
      </c>
    </row>
    <row r="616">
      <c r="A616" s="2">
        <f>IFERROR(__xludf.DUMMYFUNCTION("""COMPUTED_VALUE"""),41820.645833333336)</f>
        <v>41820.64583</v>
      </c>
      <c r="B616" s="1">
        <f>IFERROR(__xludf.DUMMYFUNCTION("""COMPUTED_VALUE"""),5700.0)</f>
        <v>5700</v>
      </c>
      <c r="C616" s="1">
        <f>IFERROR(__xludf.DUMMYFUNCTION("""COMPUTED_VALUE"""),5760.0)</f>
        <v>5760</v>
      </c>
      <c r="D616" s="1">
        <f>IFERROR(__xludf.DUMMYFUNCTION("""COMPUTED_VALUE"""),5570.0)</f>
        <v>5570</v>
      </c>
      <c r="E616" s="1">
        <f>IFERROR(__xludf.DUMMYFUNCTION("""COMPUTED_VALUE"""),5650.0)</f>
        <v>5650</v>
      </c>
      <c r="F616" s="1">
        <f>IFERROR(__xludf.DUMMYFUNCTION("""COMPUTED_VALUE"""),66560.0)</f>
        <v>66560</v>
      </c>
    </row>
    <row r="617">
      <c r="A617" s="2">
        <f>IFERROR(__xludf.DUMMYFUNCTION("""COMPUTED_VALUE"""),41821.645833333336)</f>
        <v>41821.64583</v>
      </c>
      <c r="B617" s="1">
        <f>IFERROR(__xludf.DUMMYFUNCTION("""COMPUTED_VALUE"""),5660.0)</f>
        <v>5660</v>
      </c>
      <c r="C617" s="1">
        <f>IFERROR(__xludf.DUMMYFUNCTION("""COMPUTED_VALUE"""),5910.0)</f>
        <v>5910</v>
      </c>
      <c r="D617" s="1">
        <f>IFERROR(__xludf.DUMMYFUNCTION("""COMPUTED_VALUE"""),5580.0)</f>
        <v>5580</v>
      </c>
      <c r="E617" s="1">
        <f>IFERROR(__xludf.DUMMYFUNCTION("""COMPUTED_VALUE"""),5900.0)</f>
        <v>5900</v>
      </c>
      <c r="F617" s="1">
        <f>IFERROR(__xludf.DUMMYFUNCTION("""COMPUTED_VALUE"""),145550.0)</f>
        <v>145550</v>
      </c>
    </row>
    <row r="618">
      <c r="A618" s="2">
        <f>IFERROR(__xludf.DUMMYFUNCTION("""COMPUTED_VALUE"""),41822.645833333336)</f>
        <v>41822.64583</v>
      </c>
      <c r="B618" s="1">
        <f>IFERROR(__xludf.DUMMYFUNCTION("""COMPUTED_VALUE"""),6000.0)</f>
        <v>6000</v>
      </c>
      <c r="C618" s="1">
        <f>IFERROR(__xludf.DUMMYFUNCTION("""COMPUTED_VALUE"""),6030.0)</f>
        <v>6030</v>
      </c>
      <c r="D618" s="1">
        <f>IFERROR(__xludf.DUMMYFUNCTION("""COMPUTED_VALUE"""),5810.0)</f>
        <v>5810</v>
      </c>
      <c r="E618" s="1">
        <f>IFERROR(__xludf.DUMMYFUNCTION("""COMPUTED_VALUE"""),5900.0)</f>
        <v>5900</v>
      </c>
      <c r="F618" s="1">
        <f>IFERROR(__xludf.DUMMYFUNCTION("""COMPUTED_VALUE"""),86810.0)</f>
        <v>86810</v>
      </c>
    </row>
    <row r="619">
      <c r="A619" s="2">
        <f>IFERROR(__xludf.DUMMYFUNCTION("""COMPUTED_VALUE"""),41823.645833333336)</f>
        <v>41823.64583</v>
      </c>
      <c r="B619" s="1">
        <f>IFERROR(__xludf.DUMMYFUNCTION("""COMPUTED_VALUE"""),5950.0)</f>
        <v>5950</v>
      </c>
      <c r="C619" s="1">
        <f>IFERROR(__xludf.DUMMYFUNCTION("""COMPUTED_VALUE"""),6050.0)</f>
        <v>6050</v>
      </c>
      <c r="D619" s="1">
        <f>IFERROR(__xludf.DUMMYFUNCTION("""COMPUTED_VALUE"""),5850.0)</f>
        <v>5850</v>
      </c>
      <c r="E619" s="1">
        <f>IFERROR(__xludf.DUMMYFUNCTION("""COMPUTED_VALUE"""),5920.0)</f>
        <v>5920</v>
      </c>
      <c r="F619" s="1">
        <f>IFERROR(__xludf.DUMMYFUNCTION("""COMPUTED_VALUE"""),66492.0)</f>
        <v>66492</v>
      </c>
    </row>
    <row r="620">
      <c r="A620" s="2">
        <f>IFERROR(__xludf.DUMMYFUNCTION("""COMPUTED_VALUE"""),41824.645833333336)</f>
        <v>41824.64583</v>
      </c>
      <c r="B620" s="1">
        <f>IFERROR(__xludf.DUMMYFUNCTION("""COMPUTED_VALUE"""),5880.0)</f>
        <v>5880</v>
      </c>
      <c r="C620" s="1">
        <f>IFERROR(__xludf.DUMMYFUNCTION("""COMPUTED_VALUE"""),6000.0)</f>
        <v>6000</v>
      </c>
      <c r="D620" s="1">
        <f>IFERROR(__xludf.DUMMYFUNCTION("""COMPUTED_VALUE"""),5860.0)</f>
        <v>5860</v>
      </c>
      <c r="E620" s="1">
        <f>IFERROR(__xludf.DUMMYFUNCTION("""COMPUTED_VALUE"""),5950.0)</f>
        <v>5950</v>
      </c>
      <c r="F620" s="1">
        <f>IFERROR(__xludf.DUMMYFUNCTION("""COMPUTED_VALUE"""),54035.0)</f>
        <v>54035</v>
      </c>
    </row>
    <row r="621">
      <c r="A621" s="2">
        <f>IFERROR(__xludf.DUMMYFUNCTION("""COMPUTED_VALUE"""),41827.645833333336)</f>
        <v>41827.64583</v>
      </c>
      <c r="B621" s="1">
        <f>IFERROR(__xludf.DUMMYFUNCTION("""COMPUTED_VALUE"""),6000.0)</f>
        <v>6000</v>
      </c>
      <c r="C621" s="1">
        <f>IFERROR(__xludf.DUMMYFUNCTION("""COMPUTED_VALUE"""),6080.0)</f>
        <v>6080</v>
      </c>
      <c r="D621" s="1">
        <f>IFERROR(__xludf.DUMMYFUNCTION("""COMPUTED_VALUE"""),5960.0)</f>
        <v>5960</v>
      </c>
      <c r="E621" s="1">
        <f>IFERROR(__xludf.DUMMYFUNCTION("""COMPUTED_VALUE"""),6070.0)</f>
        <v>6070</v>
      </c>
      <c r="F621" s="1">
        <f>IFERROR(__xludf.DUMMYFUNCTION("""COMPUTED_VALUE"""),90049.0)</f>
        <v>90049</v>
      </c>
    </row>
    <row r="622">
      <c r="A622" s="2">
        <f>IFERROR(__xludf.DUMMYFUNCTION("""COMPUTED_VALUE"""),41828.645833333336)</f>
        <v>41828.64583</v>
      </c>
      <c r="B622" s="1">
        <f>IFERROR(__xludf.DUMMYFUNCTION("""COMPUTED_VALUE"""),6080.0)</f>
        <v>6080</v>
      </c>
      <c r="C622" s="1">
        <f>IFERROR(__xludf.DUMMYFUNCTION("""COMPUTED_VALUE"""),6690.0)</f>
        <v>6690</v>
      </c>
      <c r="D622" s="1">
        <f>IFERROR(__xludf.DUMMYFUNCTION("""COMPUTED_VALUE"""),6070.0)</f>
        <v>6070</v>
      </c>
      <c r="E622" s="1">
        <f>IFERROR(__xludf.DUMMYFUNCTION("""COMPUTED_VALUE"""),6380.0)</f>
        <v>6380</v>
      </c>
      <c r="F622" s="1">
        <f>IFERROR(__xludf.DUMMYFUNCTION("""COMPUTED_VALUE"""),234712.0)</f>
        <v>234712</v>
      </c>
    </row>
    <row r="623">
      <c r="A623" s="2">
        <f>IFERROR(__xludf.DUMMYFUNCTION("""COMPUTED_VALUE"""),41829.645833333336)</f>
        <v>41829.64583</v>
      </c>
      <c r="B623" s="1">
        <f>IFERROR(__xludf.DUMMYFUNCTION("""COMPUTED_VALUE"""),6430.0)</f>
        <v>6430</v>
      </c>
      <c r="C623" s="1">
        <f>IFERROR(__xludf.DUMMYFUNCTION("""COMPUTED_VALUE"""),7070.0)</f>
        <v>7070</v>
      </c>
      <c r="D623" s="1">
        <f>IFERROR(__xludf.DUMMYFUNCTION("""COMPUTED_VALUE"""),6350.0)</f>
        <v>6350</v>
      </c>
      <c r="E623" s="1">
        <f>IFERROR(__xludf.DUMMYFUNCTION("""COMPUTED_VALUE"""),6850.0)</f>
        <v>6850</v>
      </c>
      <c r="F623" s="1">
        <f>IFERROR(__xludf.DUMMYFUNCTION("""COMPUTED_VALUE"""),387981.0)</f>
        <v>387981</v>
      </c>
    </row>
    <row r="624">
      <c r="A624" s="2">
        <f>IFERROR(__xludf.DUMMYFUNCTION("""COMPUTED_VALUE"""),41830.645833333336)</f>
        <v>41830.64583</v>
      </c>
      <c r="B624" s="1">
        <f>IFERROR(__xludf.DUMMYFUNCTION("""COMPUTED_VALUE"""),6840.0)</f>
        <v>6840</v>
      </c>
      <c r="C624" s="1">
        <f>IFERROR(__xludf.DUMMYFUNCTION("""COMPUTED_VALUE"""),6850.0)</f>
        <v>6850</v>
      </c>
      <c r="D624" s="1">
        <f>IFERROR(__xludf.DUMMYFUNCTION("""COMPUTED_VALUE"""),6560.0)</f>
        <v>6560</v>
      </c>
      <c r="E624" s="1">
        <f>IFERROR(__xludf.DUMMYFUNCTION("""COMPUTED_VALUE"""),6750.0)</f>
        <v>6750</v>
      </c>
      <c r="F624" s="1">
        <f>IFERROR(__xludf.DUMMYFUNCTION("""COMPUTED_VALUE"""),133289.0)</f>
        <v>133289</v>
      </c>
    </row>
    <row r="625">
      <c r="A625" s="2">
        <f>IFERROR(__xludf.DUMMYFUNCTION("""COMPUTED_VALUE"""),41831.645833333336)</f>
        <v>41831.64583</v>
      </c>
      <c r="B625" s="1">
        <f>IFERROR(__xludf.DUMMYFUNCTION("""COMPUTED_VALUE"""),6780.0)</f>
        <v>6780</v>
      </c>
      <c r="C625" s="1">
        <f>IFERROR(__xludf.DUMMYFUNCTION("""COMPUTED_VALUE"""),6970.0)</f>
        <v>6970</v>
      </c>
      <c r="D625" s="1">
        <f>IFERROR(__xludf.DUMMYFUNCTION("""COMPUTED_VALUE"""),6610.0)</f>
        <v>6610</v>
      </c>
      <c r="E625" s="1">
        <f>IFERROR(__xludf.DUMMYFUNCTION("""COMPUTED_VALUE"""),6900.0)</f>
        <v>6900</v>
      </c>
      <c r="F625" s="1">
        <f>IFERROR(__xludf.DUMMYFUNCTION("""COMPUTED_VALUE"""),78737.0)</f>
        <v>78737</v>
      </c>
    </row>
    <row r="626">
      <c r="A626" s="2">
        <f>IFERROR(__xludf.DUMMYFUNCTION("""COMPUTED_VALUE"""),41834.645833333336)</f>
        <v>41834.64583</v>
      </c>
      <c r="B626" s="1">
        <f>IFERROR(__xludf.DUMMYFUNCTION("""COMPUTED_VALUE"""),7050.0)</f>
        <v>7050</v>
      </c>
      <c r="C626" s="1">
        <f>IFERROR(__xludf.DUMMYFUNCTION("""COMPUTED_VALUE"""),7050.0)</f>
        <v>7050</v>
      </c>
      <c r="D626" s="1">
        <f>IFERROR(__xludf.DUMMYFUNCTION("""COMPUTED_VALUE"""),6760.0)</f>
        <v>6760</v>
      </c>
      <c r="E626" s="1">
        <f>IFERROR(__xludf.DUMMYFUNCTION("""COMPUTED_VALUE"""),6870.0)</f>
        <v>6870</v>
      </c>
      <c r="F626" s="1">
        <f>IFERROR(__xludf.DUMMYFUNCTION("""COMPUTED_VALUE"""),50502.0)</f>
        <v>50502</v>
      </c>
    </row>
    <row r="627">
      <c r="A627" s="2">
        <f>IFERROR(__xludf.DUMMYFUNCTION("""COMPUTED_VALUE"""),41835.645833333336)</f>
        <v>41835.64583</v>
      </c>
      <c r="B627" s="1">
        <f>IFERROR(__xludf.DUMMYFUNCTION("""COMPUTED_VALUE"""),6900.0)</f>
        <v>6900</v>
      </c>
      <c r="C627" s="1">
        <f>IFERROR(__xludf.DUMMYFUNCTION("""COMPUTED_VALUE"""),6930.0)</f>
        <v>6930</v>
      </c>
      <c r="D627" s="1">
        <f>IFERROR(__xludf.DUMMYFUNCTION("""COMPUTED_VALUE"""),6620.0)</f>
        <v>6620</v>
      </c>
      <c r="E627" s="1">
        <f>IFERROR(__xludf.DUMMYFUNCTION("""COMPUTED_VALUE"""),6620.0)</f>
        <v>6620</v>
      </c>
      <c r="F627" s="1">
        <f>IFERROR(__xludf.DUMMYFUNCTION("""COMPUTED_VALUE"""),66360.0)</f>
        <v>66360</v>
      </c>
    </row>
    <row r="628">
      <c r="A628" s="2">
        <f>IFERROR(__xludf.DUMMYFUNCTION("""COMPUTED_VALUE"""),41836.645833333336)</f>
        <v>41836.64583</v>
      </c>
      <c r="B628" s="1">
        <f>IFERROR(__xludf.DUMMYFUNCTION("""COMPUTED_VALUE"""),6740.0)</f>
        <v>6740</v>
      </c>
      <c r="C628" s="1">
        <f>IFERROR(__xludf.DUMMYFUNCTION("""COMPUTED_VALUE"""),6740.0)</f>
        <v>6740</v>
      </c>
      <c r="D628" s="1">
        <f>IFERROR(__xludf.DUMMYFUNCTION("""COMPUTED_VALUE"""),6280.0)</f>
        <v>6280</v>
      </c>
      <c r="E628" s="1">
        <f>IFERROR(__xludf.DUMMYFUNCTION("""COMPUTED_VALUE"""),6620.0)</f>
        <v>6620</v>
      </c>
      <c r="F628" s="1">
        <f>IFERROR(__xludf.DUMMYFUNCTION("""COMPUTED_VALUE"""),101281.0)</f>
        <v>101281</v>
      </c>
    </row>
    <row r="629">
      <c r="A629" s="2">
        <f>IFERROR(__xludf.DUMMYFUNCTION("""COMPUTED_VALUE"""),41837.645833333336)</f>
        <v>41837.64583</v>
      </c>
      <c r="B629" s="1">
        <f>IFERROR(__xludf.DUMMYFUNCTION("""COMPUTED_VALUE"""),6650.0)</f>
        <v>6650</v>
      </c>
      <c r="C629" s="1">
        <f>IFERROR(__xludf.DUMMYFUNCTION("""COMPUTED_VALUE"""),7170.0)</f>
        <v>7170</v>
      </c>
      <c r="D629" s="1">
        <f>IFERROR(__xludf.DUMMYFUNCTION("""COMPUTED_VALUE"""),6560.0)</f>
        <v>6560</v>
      </c>
      <c r="E629" s="1">
        <f>IFERROR(__xludf.DUMMYFUNCTION("""COMPUTED_VALUE"""),6840.0)</f>
        <v>6840</v>
      </c>
      <c r="F629" s="1">
        <f>IFERROR(__xludf.DUMMYFUNCTION("""COMPUTED_VALUE"""),298553.0)</f>
        <v>298553</v>
      </c>
    </row>
    <row r="630">
      <c r="A630" s="2">
        <f>IFERROR(__xludf.DUMMYFUNCTION("""COMPUTED_VALUE"""),41838.645833333336)</f>
        <v>41838.64583</v>
      </c>
      <c r="B630" s="1">
        <f>IFERROR(__xludf.DUMMYFUNCTION("""COMPUTED_VALUE"""),6890.0)</f>
        <v>6890</v>
      </c>
      <c r="C630" s="1">
        <f>IFERROR(__xludf.DUMMYFUNCTION("""COMPUTED_VALUE"""),7430.0)</f>
        <v>7430</v>
      </c>
      <c r="D630" s="1">
        <f>IFERROR(__xludf.DUMMYFUNCTION("""COMPUTED_VALUE"""),6840.0)</f>
        <v>6840</v>
      </c>
      <c r="E630" s="1">
        <f>IFERROR(__xludf.DUMMYFUNCTION("""COMPUTED_VALUE"""),7250.0)</f>
        <v>7250</v>
      </c>
      <c r="F630" s="1">
        <f>IFERROR(__xludf.DUMMYFUNCTION("""COMPUTED_VALUE"""),317203.0)</f>
        <v>317203</v>
      </c>
    </row>
    <row r="631">
      <c r="A631" s="2">
        <f>IFERROR(__xludf.DUMMYFUNCTION("""COMPUTED_VALUE"""),41841.645833333336)</f>
        <v>41841.64583</v>
      </c>
      <c r="B631" s="1">
        <f>IFERROR(__xludf.DUMMYFUNCTION("""COMPUTED_VALUE"""),7300.0)</f>
        <v>7300</v>
      </c>
      <c r="C631" s="1">
        <f>IFERROR(__xludf.DUMMYFUNCTION("""COMPUTED_VALUE"""),8330.0)</f>
        <v>8330</v>
      </c>
      <c r="D631" s="1">
        <f>IFERROR(__xludf.DUMMYFUNCTION("""COMPUTED_VALUE"""),7300.0)</f>
        <v>7300</v>
      </c>
      <c r="E631" s="1">
        <f>IFERROR(__xludf.DUMMYFUNCTION("""COMPUTED_VALUE"""),8330.0)</f>
        <v>8330</v>
      </c>
      <c r="F631" s="1">
        <f>IFERROR(__xludf.DUMMYFUNCTION("""COMPUTED_VALUE"""),877883.0)</f>
        <v>877883</v>
      </c>
    </row>
    <row r="632">
      <c r="A632" s="2">
        <f>IFERROR(__xludf.DUMMYFUNCTION("""COMPUTED_VALUE"""),41842.645833333336)</f>
        <v>41842.64583</v>
      </c>
      <c r="B632" s="1">
        <f>IFERROR(__xludf.DUMMYFUNCTION("""COMPUTED_VALUE"""),8650.0)</f>
        <v>8650</v>
      </c>
      <c r="C632" s="1">
        <f>IFERROR(__xludf.DUMMYFUNCTION("""COMPUTED_VALUE"""),8980.0)</f>
        <v>8980</v>
      </c>
      <c r="D632" s="1">
        <f>IFERROR(__xludf.DUMMYFUNCTION("""COMPUTED_VALUE"""),8460.0)</f>
        <v>8460</v>
      </c>
      <c r="E632" s="1">
        <f>IFERROR(__xludf.DUMMYFUNCTION("""COMPUTED_VALUE"""),8750.0)</f>
        <v>8750</v>
      </c>
      <c r="F632" s="1">
        <f>IFERROR(__xludf.DUMMYFUNCTION("""COMPUTED_VALUE"""),997246.0)</f>
        <v>997246</v>
      </c>
    </row>
    <row r="633">
      <c r="A633" s="2">
        <f>IFERROR(__xludf.DUMMYFUNCTION("""COMPUTED_VALUE"""),41843.645833333336)</f>
        <v>41843.64583</v>
      </c>
      <c r="B633" s="1">
        <f>IFERROR(__xludf.DUMMYFUNCTION("""COMPUTED_VALUE"""),8600.0)</f>
        <v>8600</v>
      </c>
      <c r="C633" s="1">
        <f>IFERROR(__xludf.DUMMYFUNCTION("""COMPUTED_VALUE"""),8890.0)</f>
        <v>8890</v>
      </c>
      <c r="D633" s="1">
        <f>IFERROR(__xludf.DUMMYFUNCTION("""COMPUTED_VALUE"""),8560.0)</f>
        <v>8560</v>
      </c>
      <c r="E633" s="1">
        <f>IFERROR(__xludf.DUMMYFUNCTION("""COMPUTED_VALUE"""),8750.0)</f>
        <v>8750</v>
      </c>
      <c r="F633" s="1">
        <f>IFERROR(__xludf.DUMMYFUNCTION("""COMPUTED_VALUE"""),463975.0)</f>
        <v>463975</v>
      </c>
    </row>
    <row r="634">
      <c r="A634" s="2">
        <f>IFERROR(__xludf.DUMMYFUNCTION("""COMPUTED_VALUE"""),41844.645833333336)</f>
        <v>41844.64583</v>
      </c>
      <c r="B634" s="1">
        <f>IFERROR(__xludf.DUMMYFUNCTION("""COMPUTED_VALUE"""),8700.0)</f>
        <v>8700</v>
      </c>
      <c r="C634" s="1">
        <f>IFERROR(__xludf.DUMMYFUNCTION("""COMPUTED_VALUE"""),8820.0)</f>
        <v>8820</v>
      </c>
      <c r="D634" s="1">
        <f>IFERROR(__xludf.DUMMYFUNCTION("""COMPUTED_VALUE"""),7990.0)</f>
        <v>7990</v>
      </c>
      <c r="E634" s="1">
        <f>IFERROR(__xludf.DUMMYFUNCTION("""COMPUTED_VALUE"""),8180.0)</f>
        <v>8180</v>
      </c>
      <c r="F634" s="1">
        <f>IFERROR(__xludf.DUMMYFUNCTION("""COMPUTED_VALUE"""),471552.0)</f>
        <v>471552</v>
      </c>
    </row>
    <row r="635">
      <c r="A635" s="2">
        <f>IFERROR(__xludf.DUMMYFUNCTION("""COMPUTED_VALUE"""),41845.645833333336)</f>
        <v>41845.64583</v>
      </c>
      <c r="B635" s="1">
        <f>IFERROR(__xludf.DUMMYFUNCTION("""COMPUTED_VALUE"""),8120.0)</f>
        <v>8120</v>
      </c>
      <c r="C635" s="1">
        <f>IFERROR(__xludf.DUMMYFUNCTION("""COMPUTED_VALUE"""),8300.0)</f>
        <v>8300</v>
      </c>
      <c r="D635" s="1">
        <f>IFERROR(__xludf.DUMMYFUNCTION("""COMPUTED_VALUE"""),7800.0)</f>
        <v>7800</v>
      </c>
      <c r="E635" s="1">
        <f>IFERROR(__xludf.DUMMYFUNCTION("""COMPUTED_VALUE"""),8300.0)</f>
        <v>8300</v>
      </c>
      <c r="F635" s="1">
        <f>IFERROR(__xludf.DUMMYFUNCTION("""COMPUTED_VALUE"""),262032.0)</f>
        <v>262032</v>
      </c>
    </row>
    <row r="636">
      <c r="A636" s="2">
        <f>IFERROR(__xludf.DUMMYFUNCTION("""COMPUTED_VALUE"""),41848.645833333336)</f>
        <v>41848.64583</v>
      </c>
      <c r="B636" s="1">
        <f>IFERROR(__xludf.DUMMYFUNCTION("""COMPUTED_VALUE"""),8300.0)</f>
        <v>8300</v>
      </c>
      <c r="C636" s="1">
        <f>IFERROR(__xludf.DUMMYFUNCTION("""COMPUTED_VALUE"""),8570.0)</f>
        <v>8570</v>
      </c>
      <c r="D636" s="1">
        <f>IFERROR(__xludf.DUMMYFUNCTION("""COMPUTED_VALUE"""),8020.0)</f>
        <v>8020</v>
      </c>
      <c r="E636" s="1">
        <f>IFERROR(__xludf.DUMMYFUNCTION("""COMPUTED_VALUE"""),8390.0)</f>
        <v>8390</v>
      </c>
      <c r="F636" s="1">
        <f>IFERROR(__xludf.DUMMYFUNCTION("""COMPUTED_VALUE"""),227400.0)</f>
        <v>227400</v>
      </c>
    </row>
    <row r="637">
      <c r="A637" s="2">
        <f>IFERROR(__xludf.DUMMYFUNCTION("""COMPUTED_VALUE"""),41849.645833333336)</f>
        <v>41849.64583</v>
      </c>
      <c r="B637" s="1">
        <f>IFERROR(__xludf.DUMMYFUNCTION("""COMPUTED_VALUE"""),8350.0)</f>
        <v>8350</v>
      </c>
      <c r="C637" s="1">
        <f>IFERROR(__xludf.DUMMYFUNCTION("""COMPUTED_VALUE"""),8350.0)</f>
        <v>8350</v>
      </c>
      <c r="D637" s="1">
        <f>IFERROR(__xludf.DUMMYFUNCTION("""COMPUTED_VALUE"""),8050.0)</f>
        <v>8050</v>
      </c>
      <c r="E637" s="1">
        <f>IFERROR(__xludf.DUMMYFUNCTION("""COMPUTED_VALUE"""),8100.0)</f>
        <v>8100</v>
      </c>
      <c r="F637" s="1">
        <f>IFERROR(__xludf.DUMMYFUNCTION("""COMPUTED_VALUE"""),84874.0)</f>
        <v>84874</v>
      </c>
    </row>
    <row r="638">
      <c r="A638" s="2">
        <f>IFERROR(__xludf.DUMMYFUNCTION("""COMPUTED_VALUE"""),41850.645833333336)</f>
        <v>41850.64583</v>
      </c>
      <c r="B638" s="1">
        <f>IFERROR(__xludf.DUMMYFUNCTION("""COMPUTED_VALUE"""),8060.0)</f>
        <v>8060</v>
      </c>
      <c r="C638" s="1">
        <f>IFERROR(__xludf.DUMMYFUNCTION("""COMPUTED_VALUE"""),8250.0)</f>
        <v>8250</v>
      </c>
      <c r="D638" s="1">
        <f>IFERROR(__xludf.DUMMYFUNCTION("""COMPUTED_VALUE"""),7800.0)</f>
        <v>7800</v>
      </c>
      <c r="E638" s="1">
        <f>IFERROR(__xludf.DUMMYFUNCTION("""COMPUTED_VALUE"""),7800.0)</f>
        <v>7800</v>
      </c>
      <c r="F638" s="1">
        <f>IFERROR(__xludf.DUMMYFUNCTION("""COMPUTED_VALUE"""),89302.0)</f>
        <v>89302</v>
      </c>
    </row>
    <row r="639">
      <c r="A639" s="2">
        <f>IFERROR(__xludf.DUMMYFUNCTION("""COMPUTED_VALUE"""),41851.645833333336)</f>
        <v>41851.64583</v>
      </c>
      <c r="B639" s="1">
        <f>IFERROR(__xludf.DUMMYFUNCTION("""COMPUTED_VALUE"""),7920.0)</f>
        <v>7920</v>
      </c>
      <c r="C639" s="1">
        <f>IFERROR(__xludf.DUMMYFUNCTION("""COMPUTED_VALUE"""),8420.0)</f>
        <v>8420</v>
      </c>
      <c r="D639" s="1">
        <f>IFERROR(__xludf.DUMMYFUNCTION("""COMPUTED_VALUE"""),7670.0)</f>
        <v>7670</v>
      </c>
      <c r="E639" s="1">
        <f>IFERROR(__xludf.DUMMYFUNCTION("""COMPUTED_VALUE"""),8370.0)</f>
        <v>8370</v>
      </c>
      <c r="F639" s="1">
        <f>IFERROR(__xludf.DUMMYFUNCTION("""COMPUTED_VALUE"""),165644.0)</f>
        <v>165644</v>
      </c>
    </row>
    <row r="640">
      <c r="A640" s="2">
        <f>IFERROR(__xludf.DUMMYFUNCTION("""COMPUTED_VALUE"""),41852.645833333336)</f>
        <v>41852.64583</v>
      </c>
      <c r="B640" s="1">
        <f>IFERROR(__xludf.DUMMYFUNCTION("""COMPUTED_VALUE"""),8240.0)</f>
        <v>8240</v>
      </c>
      <c r="C640" s="1">
        <f>IFERROR(__xludf.DUMMYFUNCTION("""COMPUTED_VALUE"""),8440.0)</f>
        <v>8440</v>
      </c>
      <c r="D640" s="1">
        <f>IFERROR(__xludf.DUMMYFUNCTION("""COMPUTED_VALUE"""),8190.0)</f>
        <v>8190</v>
      </c>
      <c r="E640" s="1">
        <f>IFERROR(__xludf.DUMMYFUNCTION("""COMPUTED_VALUE"""),8350.0)</f>
        <v>8350</v>
      </c>
      <c r="F640" s="1">
        <f>IFERROR(__xludf.DUMMYFUNCTION("""COMPUTED_VALUE"""),61513.0)</f>
        <v>61513</v>
      </c>
    </row>
    <row r="641">
      <c r="A641" s="2">
        <f>IFERROR(__xludf.DUMMYFUNCTION("""COMPUTED_VALUE"""),41855.645833333336)</f>
        <v>41855.64583</v>
      </c>
      <c r="B641" s="1">
        <f>IFERROR(__xludf.DUMMYFUNCTION("""COMPUTED_VALUE"""),8300.0)</f>
        <v>8300</v>
      </c>
      <c r="C641" s="1">
        <f>IFERROR(__xludf.DUMMYFUNCTION("""COMPUTED_VALUE"""),8720.0)</f>
        <v>8720</v>
      </c>
      <c r="D641" s="1">
        <f>IFERROR(__xludf.DUMMYFUNCTION("""COMPUTED_VALUE"""),8110.0)</f>
        <v>8110</v>
      </c>
      <c r="E641" s="1">
        <f>IFERROR(__xludf.DUMMYFUNCTION("""COMPUTED_VALUE"""),8690.0)</f>
        <v>8690</v>
      </c>
      <c r="F641" s="1">
        <f>IFERROR(__xludf.DUMMYFUNCTION("""COMPUTED_VALUE"""),141398.0)</f>
        <v>141398</v>
      </c>
    </row>
    <row r="642">
      <c r="A642" s="2">
        <f>IFERROR(__xludf.DUMMYFUNCTION("""COMPUTED_VALUE"""),41856.645833333336)</f>
        <v>41856.64583</v>
      </c>
      <c r="B642" s="1">
        <f>IFERROR(__xludf.DUMMYFUNCTION("""COMPUTED_VALUE"""),8730.0)</f>
        <v>8730</v>
      </c>
      <c r="C642" s="1">
        <f>IFERROR(__xludf.DUMMYFUNCTION("""COMPUTED_VALUE"""),9080.0)</f>
        <v>9080</v>
      </c>
      <c r="D642" s="1">
        <f>IFERROR(__xludf.DUMMYFUNCTION("""COMPUTED_VALUE"""),8610.0)</f>
        <v>8610</v>
      </c>
      <c r="E642" s="1">
        <f>IFERROR(__xludf.DUMMYFUNCTION("""COMPUTED_VALUE"""),8710.0)</f>
        <v>8710</v>
      </c>
      <c r="F642" s="1">
        <f>IFERROR(__xludf.DUMMYFUNCTION("""COMPUTED_VALUE"""),184559.0)</f>
        <v>184559</v>
      </c>
    </row>
    <row r="643">
      <c r="A643" s="2">
        <f>IFERROR(__xludf.DUMMYFUNCTION("""COMPUTED_VALUE"""),41857.645833333336)</f>
        <v>41857.64583</v>
      </c>
      <c r="B643" s="1">
        <f>IFERROR(__xludf.DUMMYFUNCTION("""COMPUTED_VALUE"""),8620.0)</f>
        <v>8620</v>
      </c>
      <c r="C643" s="1">
        <f>IFERROR(__xludf.DUMMYFUNCTION("""COMPUTED_VALUE"""),9970.0)</f>
        <v>9970</v>
      </c>
      <c r="D643" s="1">
        <f>IFERROR(__xludf.DUMMYFUNCTION("""COMPUTED_VALUE"""),8620.0)</f>
        <v>8620</v>
      </c>
      <c r="E643" s="1">
        <f>IFERROR(__xludf.DUMMYFUNCTION("""COMPUTED_VALUE"""),9880.0)</f>
        <v>9880</v>
      </c>
      <c r="F643" s="1">
        <f>IFERROR(__xludf.DUMMYFUNCTION("""COMPUTED_VALUE"""),466632.0)</f>
        <v>466632</v>
      </c>
    </row>
    <row r="644">
      <c r="A644" s="2">
        <f>IFERROR(__xludf.DUMMYFUNCTION("""COMPUTED_VALUE"""),41858.645833333336)</f>
        <v>41858.64583</v>
      </c>
      <c r="B644" s="1">
        <f>IFERROR(__xludf.DUMMYFUNCTION("""COMPUTED_VALUE"""),9960.0)</f>
        <v>9960</v>
      </c>
      <c r="C644" s="1">
        <f>IFERROR(__xludf.DUMMYFUNCTION("""COMPUTED_VALUE"""),9990.0)</f>
        <v>9990</v>
      </c>
      <c r="D644" s="1">
        <f>IFERROR(__xludf.DUMMYFUNCTION("""COMPUTED_VALUE"""),9230.0)</f>
        <v>9230</v>
      </c>
      <c r="E644" s="1">
        <f>IFERROR(__xludf.DUMMYFUNCTION("""COMPUTED_VALUE"""),9350.0)</f>
        <v>9350</v>
      </c>
      <c r="F644" s="1">
        <f>IFERROR(__xludf.DUMMYFUNCTION("""COMPUTED_VALUE"""),200718.0)</f>
        <v>200718</v>
      </c>
    </row>
    <row r="645">
      <c r="A645" s="2">
        <f>IFERROR(__xludf.DUMMYFUNCTION("""COMPUTED_VALUE"""),41859.645833333336)</f>
        <v>41859.64583</v>
      </c>
      <c r="B645" s="1">
        <f>IFERROR(__xludf.DUMMYFUNCTION("""COMPUTED_VALUE"""),9450.0)</f>
        <v>9450</v>
      </c>
      <c r="C645" s="1">
        <f>IFERROR(__xludf.DUMMYFUNCTION("""COMPUTED_VALUE"""),9760.0)</f>
        <v>9760</v>
      </c>
      <c r="D645" s="1">
        <f>IFERROR(__xludf.DUMMYFUNCTION("""COMPUTED_VALUE"""),9200.0)</f>
        <v>9200</v>
      </c>
      <c r="E645" s="1">
        <f>IFERROR(__xludf.DUMMYFUNCTION("""COMPUTED_VALUE"""),9680.0)</f>
        <v>9680</v>
      </c>
      <c r="F645" s="1">
        <f>IFERROR(__xludf.DUMMYFUNCTION("""COMPUTED_VALUE"""),147320.0)</f>
        <v>147320</v>
      </c>
    </row>
    <row r="646">
      <c r="A646" s="2">
        <f>IFERROR(__xludf.DUMMYFUNCTION("""COMPUTED_VALUE"""),41862.645833333336)</f>
        <v>41862.64583</v>
      </c>
      <c r="B646" s="1">
        <f>IFERROR(__xludf.DUMMYFUNCTION("""COMPUTED_VALUE"""),9650.0)</f>
        <v>9650</v>
      </c>
      <c r="C646" s="1">
        <f>IFERROR(__xludf.DUMMYFUNCTION("""COMPUTED_VALUE"""),9700.0)</f>
        <v>9700</v>
      </c>
      <c r="D646" s="1">
        <f>IFERROR(__xludf.DUMMYFUNCTION("""COMPUTED_VALUE"""),8760.0)</f>
        <v>8760</v>
      </c>
      <c r="E646" s="1">
        <f>IFERROR(__xludf.DUMMYFUNCTION("""COMPUTED_VALUE"""),8770.0)</f>
        <v>8770</v>
      </c>
      <c r="F646" s="1">
        <f>IFERROR(__xludf.DUMMYFUNCTION("""COMPUTED_VALUE"""),287905.0)</f>
        <v>287905</v>
      </c>
    </row>
    <row r="647">
      <c r="A647" s="2">
        <f>IFERROR(__xludf.DUMMYFUNCTION("""COMPUTED_VALUE"""),41863.645833333336)</f>
        <v>41863.64583</v>
      </c>
      <c r="B647" s="1">
        <f>IFERROR(__xludf.DUMMYFUNCTION("""COMPUTED_VALUE"""),8770.0)</f>
        <v>8770</v>
      </c>
      <c r="C647" s="1">
        <f>IFERROR(__xludf.DUMMYFUNCTION("""COMPUTED_VALUE"""),8790.0)</f>
        <v>8790</v>
      </c>
      <c r="D647" s="1">
        <f>IFERROR(__xludf.DUMMYFUNCTION("""COMPUTED_VALUE"""),8380.0)</f>
        <v>8380</v>
      </c>
      <c r="E647" s="1">
        <f>IFERROR(__xludf.DUMMYFUNCTION("""COMPUTED_VALUE"""),8590.0)</f>
        <v>8590</v>
      </c>
      <c r="F647" s="1">
        <f>IFERROR(__xludf.DUMMYFUNCTION("""COMPUTED_VALUE"""),190211.0)</f>
        <v>190211</v>
      </c>
    </row>
    <row r="648">
      <c r="A648" s="2">
        <f>IFERROR(__xludf.DUMMYFUNCTION("""COMPUTED_VALUE"""),41864.645833333336)</f>
        <v>41864.64583</v>
      </c>
      <c r="B648" s="1">
        <f>IFERROR(__xludf.DUMMYFUNCTION("""COMPUTED_VALUE"""),8500.0)</f>
        <v>8500</v>
      </c>
      <c r="C648" s="1">
        <f>IFERROR(__xludf.DUMMYFUNCTION("""COMPUTED_VALUE"""),8590.0)</f>
        <v>8590</v>
      </c>
      <c r="D648" s="1">
        <f>IFERROR(__xludf.DUMMYFUNCTION("""COMPUTED_VALUE"""),8080.0)</f>
        <v>8080</v>
      </c>
      <c r="E648" s="1">
        <f>IFERROR(__xludf.DUMMYFUNCTION("""COMPUTED_VALUE"""),8150.0)</f>
        <v>8150</v>
      </c>
      <c r="F648" s="1">
        <f>IFERROR(__xludf.DUMMYFUNCTION("""COMPUTED_VALUE"""),197441.0)</f>
        <v>197441</v>
      </c>
    </row>
    <row r="649">
      <c r="A649" s="2">
        <f>IFERROR(__xludf.DUMMYFUNCTION("""COMPUTED_VALUE"""),41865.645833333336)</f>
        <v>41865.64583</v>
      </c>
      <c r="B649" s="1">
        <f>IFERROR(__xludf.DUMMYFUNCTION("""COMPUTED_VALUE"""),8230.0)</f>
        <v>8230</v>
      </c>
      <c r="C649" s="1">
        <f>IFERROR(__xludf.DUMMYFUNCTION("""COMPUTED_VALUE"""),8630.0)</f>
        <v>8630</v>
      </c>
      <c r="D649" s="1">
        <f>IFERROR(__xludf.DUMMYFUNCTION("""COMPUTED_VALUE"""),8170.0)</f>
        <v>8170</v>
      </c>
      <c r="E649" s="1">
        <f>IFERROR(__xludf.DUMMYFUNCTION("""COMPUTED_VALUE"""),8450.0)</f>
        <v>8450</v>
      </c>
      <c r="F649" s="1">
        <f>IFERROR(__xludf.DUMMYFUNCTION("""COMPUTED_VALUE"""),124408.0)</f>
        <v>124408</v>
      </c>
    </row>
    <row r="650">
      <c r="A650" s="2">
        <f>IFERROR(__xludf.DUMMYFUNCTION("""COMPUTED_VALUE"""),41869.645833333336)</f>
        <v>41869.64583</v>
      </c>
      <c r="B650" s="1">
        <f>IFERROR(__xludf.DUMMYFUNCTION("""COMPUTED_VALUE"""),8450.0)</f>
        <v>8450</v>
      </c>
      <c r="C650" s="1">
        <f>IFERROR(__xludf.DUMMYFUNCTION("""COMPUTED_VALUE"""),8540.0)</f>
        <v>8540</v>
      </c>
      <c r="D650" s="1">
        <f>IFERROR(__xludf.DUMMYFUNCTION("""COMPUTED_VALUE"""),8200.0)</f>
        <v>8200</v>
      </c>
      <c r="E650" s="1">
        <f>IFERROR(__xludf.DUMMYFUNCTION("""COMPUTED_VALUE"""),8440.0)</f>
        <v>8440</v>
      </c>
      <c r="F650" s="1">
        <f>IFERROR(__xludf.DUMMYFUNCTION("""COMPUTED_VALUE"""),58804.0)</f>
        <v>58804</v>
      </c>
    </row>
    <row r="651">
      <c r="A651" s="2">
        <f>IFERROR(__xludf.DUMMYFUNCTION("""COMPUTED_VALUE"""),41870.645833333336)</f>
        <v>41870.64583</v>
      </c>
      <c r="B651" s="1">
        <f>IFERROR(__xludf.DUMMYFUNCTION("""COMPUTED_VALUE"""),8440.0)</f>
        <v>8440</v>
      </c>
      <c r="C651" s="1">
        <f>IFERROR(__xludf.DUMMYFUNCTION("""COMPUTED_VALUE"""),8610.0)</f>
        <v>8610</v>
      </c>
      <c r="D651" s="1">
        <f>IFERROR(__xludf.DUMMYFUNCTION("""COMPUTED_VALUE"""),8250.0)</f>
        <v>8250</v>
      </c>
      <c r="E651" s="1">
        <f>IFERROR(__xludf.DUMMYFUNCTION("""COMPUTED_VALUE"""),8610.0)</f>
        <v>8610</v>
      </c>
      <c r="F651" s="1">
        <f>IFERROR(__xludf.DUMMYFUNCTION("""COMPUTED_VALUE"""),69372.0)</f>
        <v>69372</v>
      </c>
    </row>
    <row r="652">
      <c r="A652" s="2">
        <f>IFERROR(__xludf.DUMMYFUNCTION("""COMPUTED_VALUE"""),41871.645833333336)</f>
        <v>41871.64583</v>
      </c>
      <c r="B652" s="1">
        <f>IFERROR(__xludf.DUMMYFUNCTION("""COMPUTED_VALUE"""),8630.0)</f>
        <v>8630</v>
      </c>
      <c r="C652" s="1">
        <f>IFERROR(__xludf.DUMMYFUNCTION("""COMPUTED_VALUE"""),8630.0)</f>
        <v>8630</v>
      </c>
      <c r="D652" s="1">
        <f>IFERROR(__xludf.DUMMYFUNCTION("""COMPUTED_VALUE"""),8420.0)</f>
        <v>8420</v>
      </c>
      <c r="E652" s="1">
        <f>IFERROR(__xludf.DUMMYFUNCTION("""COMPUTED_VALUE"""),8530.0)</f>
        <v>8530</v>
      </c>
      <c r="F652" s="1">
        <f>IFERROR(__xludf.DUMMYFUNCTION("""COMPUTED_VALUE"""),46676.0)</f>
        <v>46676</v>
      </c>
    </row>
    <row r="653">
      <c r="A653" s="2">
        <f>IFERROR(__xludf.DUMMYFUNCTION("""COMPUTED_VALUE"""),41872.645833333336)</f>
        <v>41872.64583</v>
      </c>
      <c r="B653" s="1">
        <f>IFERROR(__xludf.DUMMYFUNCTION("""COMPUTED_VALUE"""),8570.0)</f>
        <v>8570</v>
      </c>
      <c r="C653" s="1">
        <f>IFERROR(__xludf.DUMMYFUNCTION("""COMPUTED_VALUE"""),8580.0)</f>
        <v>8580</v>
      </c>
      <c r="D653" s="1">
        <f>IFERROR(__xludf.DUMMYFUNCTION("""COMPUTED_VALUE"""),7900.0)</f>
        <v>7900</v>
      </c>
      <c r="E653" s="1">
        <f>IFERROR(__xludf.DUMMYFUNCTION("""COMPUTED_VALUE"""),8100.0)</f>
        <v>8100</v>
      </c>
      <c r="F653" s="1">
        <f>IFERROR(__xludf.DUMMYFUNCTION("""COMPUTED_VALUE"""),165319.0)</f>
        <v>165319</v>
      </c>
    </row>
    <row r="654">
      <c r="A654" s="2">
        <f>IFERROR(__xludf.DUMMYFUNCTION("""COMPUTED_VALUE"""),41873.645833333336)</f>
        <v>41873.64583</v>
      </c>
      <c r="B654" s="1">
        <f>IFERROR(__xludf.DUMMYFUNCTION("""COMPUTED_VALUE"""),8100.0)</f>
        <v>8100</v>
      </c>
      <c r="C654" s="1">
        <f>IFERROR(__xludf.DUMMYFUNCTION("""COMPUTED_VALUE"""),8280.0)</f>
        <v>8280</v>
      </c>
      <c r="D654" s="1">
        <f>IFERROR(__xludf.DUMMYFUNCTION("""COMPUTED_VALUE"""),7950.0)</f>
        <v>7950</v>
      </c>
      <c r="E654" s="1">
        <f>IFERROR(__xludf.DUMMYFUNCTION("""COMPUTED_VALUE"""),8100.0)</f>
        <v>8100</v>
      </c>
      <c r="F654" s="1">
        <f>IFERROR(__xludf.DUMMYFUNCTION("""COMPUTED_VALUE"""),39124.0)</f>
        <v>39124</v>
      </c>
    </row>
    <row r="655">
      <c r="A655" s="2">
        <f>IFERROR(__xludf.DUMMYFUNCTION("""COMPUTED_VALUE"""),41876.645833333336)</f>
        <v>41876.64583</v>
      </c>
      <c r="B655" s="1">
        <f>IFERROR(__xludf.DUMMYFUNCTION("""COMPUTED_VALUE"""),8230.0)</f>
        <v>8230</v>
      </c>
      <c r="C655" s="1">
        <f>IFERROR(__xludf.DUMMYFUNCTION("""COMPUTED_VALUE"""),8230.0)</f>
        <v>8230</v>
      </c>
      <c r="D655" s="1">
        <f>IFERROR(__xludf.DUMMYFUNCTION("""COMPUTED_VALUE"""),7530.0)</f>
        <v>7530</v>
      </c>
      <c r="E655" s="1">
        <f>IFERROR(__xludf.DUMMYFUNCTION("""COMPUTED_VALUE"""),7730.0)</f>
        <v>7730</v>
      </c>
      <c r="F655" s="1">
        <f>IFERROR(__xludf.DUMMYFUNCTION("""COMPUTED_VALUE"""),172661.0)</f>
        <v>172661</v>
      </c>
    </row>
    <row r="656">
      <c r="A656" s="2">
        <f>IFERROR(__xludf.DUMMYFUNCTION("""COMPUTED_VALUE"""),41877.645833333336)</f>
        <v>41877.64583</v>
      </c>
      <c r="B656" s="1">
        <f>IFERROR(__xludf.DUMMYFUNCTION("""COMPUTED_VALUE"""),7730.0)</f>
        <v>7730</v>
      </c>
      <c r="C656" s="1">
        <f>IFERROR(__xludf.DUMMYFUNCTION("""COMPUTED_VALUE"""),8410.0)</f>
        <v>8410</v>
      </c>
      <c r="D656" s="1">
        <f>IFERROR(__xludf.DUMMYFUNCTION("""COMPUTED_VALUE"""),7620.0)</f>
        <v>7620</v>
      </c>
      <c r="E656" s="1">
        <f>IFERROR(__xludf.DUMMYFUNCTION("""COMPUTED_VALUE"""),8110.0)</f>
        <v>8110</v>
      </c>
      <c r="F656" s="1">
        <f>IFERROR(__xludf.DUMMYFUNCTION("""COMPUTED_VALUE"""),161267.0)</f>
        <v>161267</v>
      </c>
    </row>
    <row r="657">
      <c r="A657" s="2">
        <f>IFERROR(__xludf.DUMMYFUNCTION("""COMPUTED_VALUE"""),41878.645833333336)</f>
        <v>41878.64583</v>
      </c>
      <c r="B657" s="1">
        <f>IFERROR(__xludf.DUMMYFUNCTION("""COMPUTED_VALUE"""),8200.0)</f>
        <v>8200</v>
      </c>
      <c r="C657" s="1">
        <f>IFERROR(__xludf.DUMMYFUNCTION("""COMPUTED_VALUE"""),8330.0)</f>
        <v>8330</v>
      </c>
      <c r="D657" s="1">
        <f>IFERROR(__xludf.DUMMYFUNCTION("""COMPUTED_VALUE"""),8050.0)</f>
        <v>8050</v>
      </c>
      <c r="E657" s="1">
        <f>IFERROR(__xludf.DUMMYFUNCTION("""COMPUTED_VALUE"""),8300.0)</f>
        <v>8300</v>
      </c>
      <c r="F657" s="1">
        <f>IFERROR(__xludf.DUMMYFUNCTION("""COMPUTED_VALUE"""),63809.0)</f>
        <v>63809</v>
      </c>
    </row>
    <row r="658">
      <c r="A658" s="2">
        <f>IFERROR(__xludf.DUMMYFUNCTION("""COMPUTED_VALUE"""),41879.645833333336)</f>
        <v>41879.64583</v>
      </c>
      <c r="B658" s="1">
        <f>IFERROR(__xludf.DUMMYFUNCTION("""COMPUTED_VALUE"""),8250.0)</f>
        <v>8250</v>
      </c>
      <c r="C658" s="1">
        <f>IFERROR(__xludf.DUMMYFUNCTION("""COMPUTED_VALUE"""),8350.0)</f>
        <v>8350</v>
      </c>
      <c r="D658" s="1">
        <f>IFERROR(__xludf.DUMMYFUNCTION("""COMPUTED_VALUE"""),7960.0)</f>
        <v>7960</v>
      </c>
      <c r="E658" s="1">
        <f>IFERROR(__xludf.DUMMYFUNCTION("""COMPUTED_VALUE"""),8200.0)</f>
        <v>8200</v>
      </c>
      <c r="F658" s="1">
        <f>IFERROR(__xludf.DUMMYFUNCTION("""COMPUTED_VALUE"""),55015.0)</f>
        <v>55015</v>
      </c>
    </row>
    <row r="659">
      <c r="A659" s="2">
        <f>IFERROR(__xludf.DUMMYFUNCTION("""COMPUTED_VALUE"""),41880.645833333336)</f>
        <v>41880.64583</v>
      </c>
      <c r="B659" s="1">
        <f>IFERROR(__xludf.DUMMYFUNCTION("""COMPUTED_VALUE"""),8080.0)</f>
        <v>8080</v>
      </c>
      <c r="C659" s="1">
        <f>IFERROR(__xludf.DUMMYFUNCTION("""COMPUTED_VALUE"""),8160.0)</f>
        <v>8160</v>
      </c>
      <c r="D659" s="1">
        <f>IFERROR(__xludf.DUMMYFUNCTION("""COMPUTED_VALUE"""),7220.0)</f>
        <v>7220</v>
      </c>
      <c r="E659" s="1">
        <f>IFERROR(__xludf.DUMMYFUNCTION("""COMPUTED_VALUE"""),7430.0)</f>
        <v>7430</v>
      </c>
      <c r="F659" s="1">
        <f>IFERROR(__xludf.DUMMYFUNCTION("""COMPUTED_VALUE"""),335830.0)</f>
        <v>335830</v>
      </c>
    </row>
    <row r="660">
      <c r="A660" s="2">
        <f>IFERROR(__xludf.DUMMYFUNCTION("""COMPUTED_VALUE"""),41883.645833333336)</f>
        <v>41883.64583</v>
      </c>
      <c r="B660" s="1">
        <f>IFERROR(__xludf.DUMMYFUNCTION("""COMPUTED_VALUE"""),7400.0)</f>
        <v>7400</v>
      </c>
      <c r="C660" s="1">
        <f>IFERROR(__xludf.DUMMYFUNCTION("""COMPUTED_VALUE"""),7500.0)</f>
        <v>7500</v>
      </c>
      <c r="D660" s="1">
        <f>IFERROR(__xludf.DUMMYFUNCTION("""COMPUTED_VALUE"""),6890.0)</f>
        <v>6890</v>
      </c>
      <c r="E660" s="1">
        <f>IFERROR(__xludf.DUMMYFUNCTION("""COMPUTED_VALUE"""),7020.0)</f>
        <v>7020</v>
      </c>
      <c r="F660" s="1">
        <f>IFERROR(__xludf.DUMMYFUNCTION("""COMPUTED_VALUE"""),264857.0)</f>
        <v>264857</v>
      </c>
    </row>
    <row r="661">
      <c r="A661" s="2">
        <f>IFERROR(__xludf.DUMMYFUNCTION("""COMPUTED_VALUE"""),41884.645833333336)</f>
        <v>41884.64583</v>
      </c>
      <c r="B661" s="1">
        <f>IFERROR(__xludf.DUMMYFUNCTION("""COMPUTED_VALUE"""),7020.0)</f>
        <v>7020</v>
      </c>
      <c r="C661" s="1">
        <f>IFERROR(__xludf.DUMMYFUNCTION("""COMPUTED_VALUE"""),7270.0)</f>
        <v>7270</v>
      </c>
      <c r="D661" s="1">
        <f>IFERROR(__xludf.DUMMYFUNCTION("""COMPUTED_VALUE"""),6970.0)</f>
        <v>6970</v>
      </c>
      <c r="E661" s="1">
        <f>IFERROR(__xludf.DUMMYFUNCTION("""COMPUTED_VALUE"""),7020.0)</f>
        <v>7020</v>
      </c>
      <c r="F661" s="1">
        <f>IFERROR(__xludf.DUMMYFUNCTION("""COMPUTED_VALUE"""),142365.0)</f>
        <v>142365</v>
      </c>
    </row>
    <row r="662">
      <c r="A662" s="2">
        <f>IFERROR(__xludf.DUMMYFUNCTION("""COMPUTED_VALUE"""),41885.645833333336)</f>
        <v>41885.64583</v>
      </c>
      <c r="B662" s="1">
        <f>IFERROR(__xludf.DUMMYFUNCTION("""COMPUTED_VALUE"""),7000.0)</f>
        <v>7000</v>
      </c>
      <c r="C662" s="1">
        <f>IFERROR(__xludf.DUMMYFUNCTION("""COMPUTED_VALUE"""),7240.0)</f>
        <v>7240</v>
      </c>
      <c r="D662" s="1">
        <f>IFERROR(__xludf.DUMMYFUNCTION("""COMPUTED_VALUE"""),6860.0)</f>
        <v>6860</v>
      </c>
      <c r="E662" s="1">
        <f>IFERROR(__xludf.DUMMYFUNCTION("""COMPUTED_VALUE"""),7230.0)</f>
        <v>7230</v>
      </c>
      <c r="F662" s="1">
        <f>IFERROR(__xludf.DUMMYFUNCTION("""COMPUTED_VALUE"""),135197.0)</f>
        <v>135197</v>
      </c>
    </row>
    <row r="663">
      <c r="A663" s="2">
        <f>IFERROR(__xludf.DUMMYFUNCTION("""COMPUTED_VALUE"""),41886.645833333336)</f>
        <v>41886.64583</v>
      </c>
      <c r="B663" s="1">
        <f>IFERROR(__xludf.DUMMYFUNCTION("""COMPUTED_VALUE"""),7210.0)</f>
        <v>7210</v>
      </c>
      <c r="C663" s="1">
        <f>IFERROR(__xludf.DUMMYFUNCTION("""COMPUTED_VALUE"""),7300.0)</f>
        <v>7300</v>
      </c>
      <c r="D663" s="1">
        <f>IFERROR(__xludf.DUMMYFUNCTION("""COMPUTED_VALUE"""),6580.0)</f>
        <v>6580</v>
      </c>
      <c r="E663" s="1">
        <f>IFERROR(__xludf.DUMMYFUNCTION("""COMPUTED_VALUE"""),6690.0)</f>
        <v>6690</v>
      </c>
      <c r="F663" s="1">
        <f>IFERROR(__xludf.DUMMYFUNCTION("""COMPUTED_VALUE"""),246282.0)</f>
        <v>246282</v>
      </c>
    </row>
    <row r="664">
      <c r="A664" s="2">
        <f>IFERROR(__xludf.DUMMYFUNCTION("""COMPUTED_VALUE"""),41887.645833333336)</f>
        <v>41887.64583</v>
      </c>
      <c r="B664" s="1">
        <f>IFERROR(__xludf.DUMMYFUNCTION("""COMPUTED_VALUE"""),6700.0)</f>
        <v>6700</v>
      </c>
      <c r="C664" s="1">
        <f>IFERROR(__xludf.DUMMYFUNCTION("""COMPUTED_VALUE"""),6870.0)</f>
        <v>6870</v>
      </c>
      <c r="D664" s="1">
        <f>IFERROR(__xludf.DUMMYFUNCTION("""COMPUTED_VALUE"""),6490.0)</f>
        <v>6490</v>
      </c>
      <c r="E664" s="1">
        <f>IFERROR(__xludf.DUMMYFUNCTION("""COMPUTED_VALUE"""),6760.0)</f>
        <v>6760</v>
      </c>
      <c r="F664" s="1">
        <f>IFERROR(__xludf.DUMMYFUNCTION("""COMPUTED_VALUE"""),75373.0)</f>
        <v>75373</v>
      </c>
    </row>
    <row r="665">
      <c r="A665" s="2">
        <f>IFERROR(__xludf.DUMMYFUNCTION("""COMPUTED_VALUE"""),41893.645833333336)</f>
        <v>41893.64583</v>
      </c>
      <c r="B665" s="1">
        <f>IFERROR(__xludf.DUMMYFUNCTION("""COMPUTED_VALUE"""),6770.0)</f>
        <v>6770</v>
      </c>
      <c r="C665" s="1">
        <f>IFERROR(__xludf.DUMMYFUNCTION("""COMPUTED_VALUE"""),6860.0)</f>
        <v>6860</v>
      </c>
      <c r="D665" s="1">
        <f>IFERROR(__xludf.DUMMYFUNCTION("""COMPUTED_VALUE"""),6620.0)</f>
        <v>6620</v>
      </c>
      <c r="E665" s="1">
        <f>IFERROR(__xludf.DUMMYFUNCTION("""COMPUTED_VALUE"""),6750.0)</f>
        <v>6750</v>
      </c>
      <c r="F665" s="1">
        <f>IFERROR(__xludf.DUMMYFUNCTION("""COMPUTED_VALUE"""),44016.0)</f>
        <v>44016</v>
      </c>
    </row>
    <row r="666">
      <c r="A666" s="2">
        <f>IFERROR(__xludf.DUMMYFUNCTION("""COMPUTED_VALUE"""),41894.645833333336)</f>
        <v>41894.64583</v>
      </c>
      <c r="B666" s="1">
        <f>IFERROR(__xludf.DUMMYFUNCTION("""COMPUTED_VALUE"""),6710.0)</f>
        <v>6710</v>
      </c>
      <c r="C666" s="1">
        <f>IFERROR(__xludf.DUMMYFUNCTION("""COMPUTED_VALUE"""),6830.0)</f>
        <v>6830</v>
      </c>
      <c r="D666" s="1">
        <f>IFERROR(__xludf.DUMMYFUNCTION("""COMPUTED_VALUE"""),6610.0)</f>
        <v>6610</v>
      </c>
      <c r="E666" s="1">
        <f>IFERROR(__xludf.DUMMYFUNCTION("""COMPUTED_VALUE"""),6610.0)</f>
        <v>6610</v>
      </c>
      <c r="F666" s="1">
        <f>IFERROR(__xludf.DUMMYFUNCTION("""COMPUTED_VALUE"""),27512.0)</f>
        <v>27512</v>
      </c>
    </row>
    <row r="667">
      <c r="A667" s="2">
        <f>IFERROR(__xludf.DUMMYFUNCTION("""COMPUTED_VALUE"""),41897.645833333336)</f>
        <v>41897.64583</v>
      </c>
      <c r="B667" s="1">
        <f>IFERROR(__xludf.DUMMYFUNCTION("""COMPUTED_VALUE"""),6760.0)</f>
        <v>6760</v>
      </c>
      <c r="C667" s="1">
        <f>IFERROR(__xludf.DUMMYFUNCTION("""COMPUTED_VALUE"""),6760.0)</f>
        <v>6760</v>
      </c>
      <c r="D667" s="1">
        <f>IFERROR(__xludf.DUMMYFUNCTION("""COMPUTED_VALUE"""),6400.0)</f>
        <v>6400</v>
      </c>
      <c r="E667" s="1">
        <f>IFERROR(__xludf.DUMMYFUNCTION("""COMPUTED_VALUE"""),6400.0)</f>
        <v>6400</v>
      </c>
      <c r="F667" s="1">
        <f>IFERROR(__xludf.DUMMYFUNCTION("""COMPUTED_VALUE"""),30166.0)</f>
        <v>30166</v>
      </c>
    </row>
    <row r="668">
      <c r="A668" s="2">
        <f>IFERROR(__xludf.DUMMYFUNCTION("""COMPUTED_VALUE"""),41898.645833333336)</f>
        <v>41898.64583</v>
      </c>
      <c r="B668" s="1">
        <f>IFERROR(__xludf.DUMMYFUNCTION("""COMPUTED_VALUE"""),6350.0)</f>
        <v>6350</v>
      </c>
      <c r="C668" s="1">
        <f>IFERROR(__xludf.DUMMYFUNCTION("""COMPUTED_VALUE"""),6640.0)</f>
        <v>6640</v>
      </c>
      <c r="D668" s="1">
        <f>IFERROR(__xludf.DUMMYFUNCTION("""COMPUTED_VALUE"""),6340.0)</f>
        <v>6340</v>
      </c>
      <c r="E668" s="1">
        <f>IFERROR(__xludf.DUMMYFUNCTION("""COMPUTED_VALUE"""),6430.0)</f>
        <v>6430</v>
      </c>
      <c r="F668" s="1">
        <f>IFERROR(__xludf.DUMMYFUNCTION("""COMPUTED_VALUE"""),57945.0)</f>
        <v>57945</v>
      </c>
    </row>
    <row r="669">
      <c r="A669" s="2">
        <f>IFERROR(__xludf.DUMMYFUNCTION("""COMPUTED_VALUE"""),41899.645833333336)</f>
        <v>41899.64583</v>
      </c>
      <c r="B669" s="1">
        <f>IFERROR(__xludf.DUMMYFUNCTION("""COMPUTED_VALUE"""),6550.0)</f>
        <v>6550</v>
      </c>
      <c r="C669" s="1">
        <f>IFERROR(__xludf.DUMMYFUNCTION("""COMPUTED_VALUE"""),6750.0)</f>
        <v>6750</v>
      </c>
      <c r="D669" s="1">
        <f>IFERROR(__xludf.DUMMYFUNCTION("""COMPUTED_VALUE"""),6430.0)</f>
        <v>6430</v>
      </c>
      <c r="E669" s="1">
        <f>IFERROR(__xludf.DUMMYFUNCTION("""COMPUTED_VALUE"""),6720.0)</f>
        <v>6720</v>
      </c>
      <c r="F669" s="1">
        <f>IFERROR(__xludf.DUMMYFUNCTION("""COMPUTED_VALUE"""),100632.0)</f>
        <v>100632</v>
      </c>
    </row>
    <row r="670">
      <c r="A670" s="2">
        <f>IFERROR(__xludf.DUMMYFUNCTION("""COMPUTED_VALUE"""),41900.645833333336)</f>
        <v>41900.64583</v>
      </c>
      <c r="B670" s="1">
        <f>IFERROR(__xludf.DUMMYFUNCTION("""COMPUTED_VALUE"""),6780.0)</f>
        <v>6780</v>
      </c>
      <c r="C670" s="1">
        <f>IFERROR(__xludf.DUMMYFUNCTION("""COMPUTED_VALUE"""),6850.0)</f>
        <v>6850</v>
      </c>
      <c r="D670" s="1">
        <f>IFERROR(__xludf.DUMMYFUNCTION("""COMPUTED_VALUE"""),6650.0)</f>
        <v>6650</v>
      </c>
      <c r="E670" s="1">
        <f>IFERROR(__xludf.DUMMYFUNCTION("""COMPUTED_VALUE"""),6760.0)</f>
        <v>6760</v>
      </c>
      <c r="F670" s="1">
        <f>IFERROR(__xludf.DUMMYFUNCTION("""COMPUTED_VALUE"""),45398.0)</f>
        <v>45398</v>
      </c>
    </row>
    <row r="671">
      <c r="A671" s="2">
        <f>IFERROR(__xludf.DUMMYFUNCTION("""COMPUTED_VALUE"""),41901.645833333336)</f>
        <v>41901.64583</v>
      </c>
      <c r="B671" s="1">
        <f>IFERROR(__xludf.DUMMYFUNCTION("""COMPUTED_VALUE"""),6840.0)</f>
        <v>6840</v>
      </c>
      <c r="C671" s="1">
        <f>IFERROR(__xludf.DUMMYFUNCTION("""COMPUTED_VALUE"""),6840.0)</f>
        <v>6840</v>
      </c>
      <c r="D671" s="1">
        <f>IFERROR(__xludf.DUMMYFUNCTION("""COMPUTED_VALUE"""),6710.0)</f>
        <v>6710</v>
      </c>
      <c r="E671" s="1">
        <f>IFERROR(__xludf.DUMMYFUNCTION("""COMPUTED_VALUE"""),6780.0)</f>
        <v>6780</v>
      </c>
      <c r="F671" s="1">
        <f>IFERROR(__xludf.DUMMYFUNCTION("""COMPUTED_VALUE"""),33465.0)</f>
        <v>33465</v>
      </c>
    </row>
    <row r="672">
      <c r="A672" s="2">
        <f>IFERROR(__xludf.DUMMYFUNCTION("""COMPUTED_VALUE"""),41904.645833333336)</f>
        <v>41904.64583</v>
      </c>
      <c r="B672" s="1">
        <f>IFERROR(__xludf.DUMMYFUNCTION("""COMPUTED_VALUE"""),6800.0)</f>
        <v>6800</v>
      </c>
      <c r="C672" s="1">
        <f>IFERROR(__xludf.DUMMYFUNCTION("""COMPUTED_VALUE"""),6850.0)</f>
        <v>6850</v>
      </c>
      <c r="D672" s="1">
        <f>IFERROR(__xludf.DUMMYFUNCTION("""COMPUTED_VALUE"""),6690.0)</f>
        <v>6690</v>
      </c>
      <c r="E672" s="1">
        <f>IFERROR(__xludf.DUMMYFUNCTION("""COMPUTED_VALUE"""),6820.0)</f>
        <v>6820</v>
      </c>
      <c r="F672" s="1">
        <f>IFERROR(__xludf.DUMMYFUNCTION("""COMPUTED_VALUE"""),44722.0)</f>
        <v>44722</v>
      </c>
    </row>
    <row r="673">
      <c r="A673" s="2">
        <f>IFERROR(__xludf.DUMMYFUNCTION("""COMPUTED_VALUE"""),41905.645833333336)</f>
        <v>41905.64583</v>
      </c>
      <c r="B673" s="1">
        <f>IFERROR(__xludf.DUMMYFUNCTION("""COMPUTED_VALUE"""),6780.0)</f>
        <v>6780</v>
      </c>
      <c r="C673" s="1">
        <f>IFERROR(__xludf.DUMMYFUNCTION("""COMPUTED_VALUE"""),6800.0)</f>
        <v>6800</v>
      </c>
      <c r="D673" s="1">
        <f>IFERROR(__xludf.DUMMYFUNCTION("""COMPUTED_VALUE"""),6200.0)</f>
        <v>6200</v>
      </c>
      <c r="E673" s="1">
        <f>IFERROR(__xludf.DUMMYFUNCTION("""COMPUTED_VALUE"""),6420.0)</f>
        <v>6420</v>
      </c>
      <c r="F673" s="1">
        <f>IFERROR(__xludf.DUMMYFUNCTION("""COMPUTED_VALUE"""),191222.0)</f>
        <v>191222</v>
      </c>
    </row>
    <row r="674">
      <c r="A674" s="2">
        <f>IFERROR(__xludf.DUMMYFUNCTION("""COMPUTED_VALUE"""),41906.645833333336)</f>
        <v>41906.64583</v>
      </c>
      <c r="B674" s="1">
        <f>IFERROR(__xludf.DUMMYFUNCTION("""COMPUTED_VALUE"""),6420.0)</f>
        <v>6420</v>
      </c>
      <c r="C674" s="1">
        <f>IFERROR(__xludf.DUMMYFUNCTION("""COMPUTED_VALUE"""),6550.0)</f>
        <v>6550</v>
      </c>
      <c r="D674" s="1">
        <f>IFERROR(__xludf.DUMMYFUNCTION("""COMPUTED_VALUE"""),6300.0)</f>
        <v>6300</v>
      </c>
      <c r="E674" s="1">
        <f>IFERROR(__xludf.DUMMYFUNCTION("""COMPUTED_VALUE"""),6400.0)</f>
        <v>6400</v>
      </c>
      <c r="F674" s="1">
        <f>IFERROR(__xludf.DUMMYFUNCTION("""COMPUTED_VALUE"""),42393.0)</f>
        <v>42393</v>
      </c>
    </row>
    <row r="675">
      <c r="A675" s="2">
        <f>IFERROR(__xludf.DUMMYFUNCTION("""COMPUTED_VALUE"""),41907.645833333336)</f>
        <v>41907.64583</v>
      </c>
      <c r="B675" s="1">
        <f>IFERROR(__xludf.DUMMYFUNCTION("""COMPUTED_VALUE"""),6400.0)</f>
        <v>6400</v>
      </c>
      <c r="C675" s="1">
        <f>IFERROR(__xludf.DUMMYFUNCTION("""COMPUTED_VALUE"""),6610.0)</f>
        <v>6610</v>
      </c>
      <c r="D675" s="1">
        <f>IFERROR(__xludf.DUMMYFUNCTION("""COMPUTED_VALUE"""),6360.0)</f>
        <v>6360</v>
      </c>
      <c r="E675" s="1">
        <f>IFERROR(__xludf.DUMMYFUNCTION("""COMPUTED_VALUE"""),6430.0)</f>
        <v>6430</v>
      </c>
      <c r="F675" s="1">
        <f>IFERROR(__xludf.DUMMYFUNCTION("""COMPUTED_VALUE"""),54881.0)</f>
        <v>54881</v>
      </c>
    </row>
    <row r="676">
      <c r="A676" s="2">
        <f>IFERROR(__xludf.DUMMYFUNCTION("""COMPUTED_VALUE"""),41908.645833333336)</f>
        <v>41908.64583</v>
      </c>
      <c r="B676" s="1">
        <f>IFERROR(__xludf.DUMMYFUNCTION("""COMPUTED_VALUE"""),6330.0)</f>
        <v>6330</v>
      </c>
      <c r="C676" s="1">
        <f>IFERROR(__xludf.DUMMYFUNCTION("""COMPUTED_VALUE"""),6450.0)</f>
        <v>6450</v>
      </c>
      <c r="D676" s="1">
        <f>IFERROR(__xludf.DUMMYFUNCTION("""COMPUTED_VALUE"""),6270.0)</f>
        <v>6270</v>
      </c>
      <c r="E676" s="1">
        <f>IFERROR(__xludf.DUMMYFUNCTION("""COMPUTED_VALUE"""),6330.0)</f>
        <v>6330</v>
      </c>
      <c r="F676" s="1">
        <f>IFERROR(__xludf.DUMMYFUNCTION("""COMPUTED_VALUE"""),40812.0)</f>
        <v>40812</v>
      </c>
    </row>
    <row r="677">
      <c r="A677" s="2">
        <f>IFERROR(__xludf.DUMMYFUNCTION("""COMPUTED_VALUE"""),41911.645833333336)</f>
        <v>41911.64583</v>
      </c>
      <c r="B677" s="1">
        <f>IFERROR(__xludf.DUMMYFUNCTION("""COMPUTED_VALUE"""),6350.0)</f>
        <v>6350</v>
      </c>
      <c r="C677" s="1">
        <f>IFERROR(__xludf.DUMMYFUNCTION("""COMPUTED_VALUE"""),6360.0)</f>
        <v>6360</v>
      </c>
      <c r="D677" s="1">
        <f>IFERROR(__xludf.DUMMYFUNCTION("""COMPUTED_VALUE"""),5850.0)</f>
        <v>5850</v>
      </c>
      <c r="E677" s="1">
        <f>IFERROR(__xludf.DUMMYFUNCTION("""COMPUTED_VALUE"""),5900.0)</f>
        <v>5900</v>
      </c>
      <c r="F677" s="1">
        <f>IFERROR(__xludf.DUMMYFUNCTION("""COMPUTED_VALUE"""),87711.0)</f>
        <v>87711</v>
      </c>
    </row>
    <row r="678">
      <c r="A678" s="2">
        <f>IFERROR(__xludf.DUMMYFUNCTION("""COMPUTED_VALUE"""),41912.645833333336)</f>
        <v>41912.64583</v>
      </c>
      <c r="B678" s="1">
        <f>IFERROR(__xludf.DUMMYFUNCTION("""COMPUTED_VALUE"""),5920.0)</f>
        <v>5920</v>
      </c>
      <c r="C678" s="1">
        <f>IFERROR(__xludf.DUMMYFUNCTION("""COMPUTED_VALUE"""),6270.0)</f>
        <v>6270</v>
      </c>
      <c r="D678" s="1">
        <f>IFERROR(__xludf.DUMMYFUNCTION("""COMPUTED_VALUE"""),5850.0)</f>
        <v>5850</v>
      </c>
      <c r="E678" s="1">
        <f>IFERROR(__xludf.DUMMYFUNCTION("""COMPUTED_VALUE"""),6180.0)</f>
        <v>6180</v>
      </c>
      <c r="F678" s="1">
        <f>IFERROR(__xludf.DUMMYFUNCTION("""COMPUTED_VALUE"""),57430.0)</f>
        <v>57430</v>
      </c>
    </row>
    <row r="679">
      <c r="A679" s="2">
        <f>IFERROR(__xludf.DUMMYFUNCTION("""COMPUTED_VALUE"""),41913.645833333336)</f>
        <v>41913.64583</v>
      </c>
      <c r="B679" s="1">
        <f>IFERROR(__xludf.DUMMYFUNCTION("""COMPUTED_VALUE"""),6170.0)</f>
        <v>6170</v>
      </c>
      <c r="C679" s="1">
        <f>IFERROR(__xludf.DUMMYFUNCTION("""COMPUTED_VALUE"""),6290.0)</f>
        <v>6290</v>
      </c>
      <c r="D679" s="1">
        <f>IFERROR(__xludf.DUMMYFUNCTION("""COMPUTED_VALUE"""),5890.0)</f>
        <v>5890</v>
      </c>
      <c r="E679" s="1">
        <f>IFERROR(__xludf.DUMMYFUNCTION("""COMPUTED_VALUE"""),6030.0)</f>
        <v>6030</v>
      </c>
      <c r="F679" s="1">
        <f>IFERROR(__xludf.DUMMYFUNCTION("""COMPUTED_VALUE"""),42295.0)</f>
        <v>42295</v>
      </c>
    </row>
    <row r="680">
      <c r="A680" s="2">
        <f>IFERROR(__xludf.DUMMYFUNCTION("""COMPUTED_VALUE"""),41914.645833333336)</f>
        <v>41914.64583</v>
      </c>
      <c r="B680" s="1">
        <f>IFERROR(__xludf.DUMMYFUNCTION("""COMPUTED_VALUE"""),5900.0)</f>
        <v>5900</v>
      </c>
      <c r="C680" s="1">
        <f>IFERROR(__xludf.DUMMYFUNCTION("""COMPUTED_VALUE"""),6080.0)</f>
        <v>6080</v>
      </c>
      <c r="D680" s="1">
        <f>IFERROR(__xludf.DUMMYFUNCTION("""COMPUTED_VALUE"""),5900.0)</f>
        <v>5900</v>
      </c>
      <c r="E680" s="1">
        <f>IFERROR(__xludf.DUMMYFUNCTION("""COMPUTED_VALUE"""),6080.0)</f>
        <v>6080</v>
      </c>
      <c r="F680" s="1">
        <f>IFERROR(__xludf.DUMMYFUNCTION("""COMPUTED_VALUE"""),40172.0)</f>
        <v>40172</v>
      </c>
    </row>
    <row r="681">
      <c r="A681" s="2">
        <f>IFERROR(__xludf.DUMMYFUNCTION("""COMPUTED_VALUE"""),41918.645833333336)</f>
        <v>41918.64583</v>
      </c>
      <c r="B681" s="1">
        <f>IFERROR(__xludf.DUMMYFUNCTION("""COMPUTED_VALUE"""),6200.0)</f>
        <v>6200</v>
      </c>
      <c r="C681" s="1">
        <f>IFERROR(__xludf.DUMMYFUNCTION("""COMPUTED_VALUE"""),6200.0)</f>
        <v>6200</v>
      </c>
      <c r="D681" s="1">
        <f>IFERROR(__xludf.DUMMYFUNCTION("""COMPUTED_VALUE"""),5800.0)</f>
        <v>5800</v>
      </c>
      <c r="E681" s="1">
        <f>IFERROR(__xludf.DUMMYFUNCTION("""COMPUTED_VALUE"""),5880.0)</f>
        <v>5880</v>
      </c>
      <c r="F681" s="1">
        <f>IFERROR(__xludf.DUMMYFUNCTION("""COMPUTED_VALUE"""),69433.0)</f>
        <v>69433</v>
      </c>
    </row>
    <row r="682">
      <c r="A682" s="2">
        <f>IFERROR(__xludf.DUMMYFUNCTION("""COMPUTED_VALUE"""),41919.645833333336)</f>
        <v>41919.64583</v>
      </c>
      <c r="B682" s="1">
        <f>IFERROR(__xludf.DUMMYFUNCTION("""COMPUTED_VALUE"""),5840.0)</f>
        <v>5840</v>
      </c>
      <c r="C682" s="1">
        <f>IFERROR(__xludf.DUMMYFUNCTION("""COMPUTED_VALUE"""),5950.0)</f>
        <v>5950</v>
      </c>
      <c r="D682" s="1">
        <f>IFERROR(__xludf.DUMMYFUNCTION("""COMPUTED_VALUE"""),5620.0)</f>
        <v>5620</v>
      </c>
      <c r="E682" s="1">
        <f>IFERROR(__xludf.DUMMYFUNCTION("""COMPUTED_VALUE"""),5660.0)</f>
        <v>5660</v>
      </c>
      <c r="F682" s="1">
        <f>IFERROR(__xludf.DUMMYFUNCTION("""COMPUTED_VALUE"""),57096.0)</f>
        <v>57096</v>
      </c>
    </row>
    <row r="683">
      <c r="A683" s="2">
        <f>IFERROR(__xludf.DUMMYFUNCTION("""COMPUTED_VALUE"""),41920.645833333336)</f>
        <v>41920.64583</v>
      </c>
      <c r="B683" s="1">
        <f>IFERROR(__xludf.DUMMYFUNCTION("""COMPUTED_VALUE"""),5670.0)</f>
        <v>5670</v>
      </c>
      <c r="C683" s="1">
        <f>IFERROR(__xludf.DUMMYFUNCTION("""COMPUTED_VALUE"""),6220.0)</f>
        <v>6220</v>
      </c>
      <c r="D683" s="1">
        <f>IFERROR(__xludf.DUMMYFUNCTION("""COMPUTED_VALUE"""),5600.0)</f>
        <v>5600</v>
      </c>
      <c r="E683" s="1">
        <f>IFERROR(__xludf.DUMMYFUNCTION("""COMPUTED_VALUE"""),6080.0)</f>
        <v>6080</v>
      </c>
      <c r="F683" s="1">
        <f>IFERROR(__xludf.DUMMYFUNCTION("""COMPUTED_VALUE"""),131908.0)</f>
        <v>131908</v>
      </c>
    </row>
    <row r="684">
      <c r="A684" s="2">
        <f>IFERROR(__xludf.DUMMYFUNCTION("""COMPUTED_VALUE"""),41922.645833333336)</f>
        <v>41922.64583</v>
      </c>
      <c r="B684" s="1">
        <f>IFERROR(__xludf.DUMMYFUNCTION("""COMPUTED_VALUE"""),6060.0)</f>
        <v>6060</v>
      </c>
      <c r="C684" s="1">
        <f>IFERROR(__xludf.DUMMYFUNCTION("""COMPUTED_VALUE"""),6250.0)</f>
        <v>6250</v>
      </c>
      <c r="D684" s="1">
        <f>IFERROR(__xludf.DUMMYFUNCTION("""COMPUTED_VALUE"""),5890.0)</f>
        <v>5890</v>
      </c>
      <c r="E684" s="1">
        <f>IFERROR(__xludf.DUMMYFUNCTION("""COMPUTED_VALUE"""),5960.0)</f>
        <v>5960</v>
      </c>
      <c r="F684" s="1">
        <f>IFERROR(__xludf.DUMMYFUNCTION("""COMPUTED_VALUE"""),58106.0)</f>
        <v>58106</v>
      </c>
    </row>
    <row r="685">
      <c r="A685" s="2">
        <f>IFERROR(__xludf.DUMMYFUNCTION("""COMPUTED_VALUE"""),41925.645833333336)</f>
        <v>41925.64583</v>
      </c>
      <c r="B685" s="1">
        <f>IFERROR(__xludf.DUMMYFUNCTION("""COMPUTED_VALUE"""),5830.0)</f>
        <v>5830</v>
      </c>
      <c r="C685" s="1">
        <f>IFERROR(__xludf.DUMMYFUNCTION("""COMPUTED_VALUE"""),5950.0)</f>
        <v>5950</v>
      </c>
      <c r="D685" s="1">
        <f>IFERROR(__xludf.DUMMYFUNCTION("""COMPUTED_VALUE"""),5720.0)</f>
        <v>5720</v>
      </c>
      <c r="E685" s="1">
        <f>IFERROR(__xludf.DUMMYFUNCTION("""COMPUTED_VALUE"""),5780.0)</f>
        <v>5780</v>
      </c>
      <c r="F685" s="1">
        <f>IFERROR(__xludf.DUMMYFUNCTION("""COMPUTED_VALUE"""),34609.0)</f>
        <v>34609</v>
      </c>
    </row>
    <row r="686">
      <c r="A686" s="2">
        <f>IFERROR(__xludf.DUMMYFUNCTION("""COMPUTED_VALUE"""),41926.645833333336)</f>
        <v>41926.64583</v>
      </c>
      <c r="B686" s="1">
        <f>IFERROR(__xludf.DUMMYFUNCTION("""COMPUTED_VALUE"""),5700.0)</f>
        <v>5700</v>
      </c>
      <c r="C686" s="1">
        <f>IFERROR(__xludf.DUMMYFUNCTION("""COMPUTED_VALUE"""),5880.0)</f>
        <v>5880</v>
      </c>
      <c r="D686" s="1">
        <f>IFERROR(__xludf.DUMMYFUNCTION("""COMPUTED_VALUE"""),5700.0)</f>
        <v>5700</v>
      </c>
      <c r="E686" s="1">
        <f>IFERROR(__xludf.DUMMYFUNCTION("""COMPUTED_VALUE"""),5800.0)</f>
        <v>5800</v>
      </c>
      <c r="F686" s="1">
        <f>IFERROR(__xludf.DUMMYFUNCTION("""COMPUTED_VALUE"""),21161.0)</f>
        <v>21161</v>
      </c>
    </row>
    <row r="687">
      <c r="A687" s="2">
        <f>IFERROR(__xludf.DUMMYFUNCTION("""COMPUTED_VALUE"""),41927.645833333336)</f>
        <v>41927.64583</v>
      </c>
      <c r="B687" s="1">
        <f>IFERROR(__xludf.DUMMYFUNCTION("""COMPUTED_VALUE"""),5800.0)</f>
        <v>5800</v>
      </c>
      <c r="C687" s="1">
        <f>IFERROR(__xludf.DUMMYFUNCTION("""COMPUTED_VALUE"""),6090.0)</f>
        <v>6090</v>
      </c>
      <c r="D687" s="1">
        <f>IFERROR(__xludf.DUMMYFUNCTION("""COMPUTED_VALUE"""),5750.0)</f>
        <v>5750</v>
      </c>
      <c r="E687" s="1">
        <f>IFERROR(__xludf.DUMMYFUNCTION("""COMPUTED_VALUE"""),6060.0)</f>
        <v>6060</v>
      </c>
      <c r="F687" s="1">
        <f>IFERROR(__xludf.DUMMYFUNCTION("""COMPUTED_VALUE"""),48724.0)</f>
        <v>48724</v>
      </c>
    </row>
    <row r="688">
      <c r="A688" s="2">
        <f>IFERROR(__xludf.DUMMYFUNCTION("""COMPUTED_VALUE"""),41928.645833333336)</f>
        <v>41928.64583</v>
      </c>
      <c r="B688" s="1">
        <f>IFERROR(__xludf.DUMMYFUNCTION("""COMPUTED_VALUE"""),6000.0)</f>
        <v>6000</v>
      </c>
      <c r="C688" s="1">
        <f>IFERROR(__xludf.DUMMYFUNCTION("""COMPUTED_VALUE"""),6100.0)</f>
        <v>6100</v>
      </c>
      <c r="D688" s="1">
        <f>IFERROR(__xludf.DUMMYFUNCTION("""COMPUTED_VALUE"""),5880.0)</f>
        <v>5880</v>
      </c>
      <c r="E688" s="1">
        <f>IFERROR(__xludf.DUMMYFUNCTION("""COMPUTED_VALUE"""),6050.0)</f>
        <v>6050</v>
      </c>
      <c r="F688" s="1">
        <f>IFERROR(__xludf.DUMMYFUNCTION("""COMPUTED_VALUE"""),18610.0)</f>
        <v>18610</v>
      </c>
    </row>
    <row r="689">
      <c r="A689" s="2">
        <f>IFERROR(__xludf.DUMMYFUNCTION("""COMPUTED_VALUE"""),41929.645833333336)</f>
        <v>41929.64583</v>
      </c>
      <c r="B689" s="1">
        <f>IFERROR(__xludf.DUMMYFUNCTION("""COMPUTED_VALUE"""),6090.0)</f>
        <v>6090</v>
      </c>
      <c r="C689" s="1">
        <f>IFERROR(__xludf.DUMMYFUNCTION("""COMPUTED_VALUE"""),6440.0)</f>
        <v>6440</v>
      </c>
      <c r="D689" s="1">
        <f>IFERROR(__xludf.DUMMYFUNCTION("""COMPUTED_VALUE"""),5960.0)</f>
        <v>5960</v>
      </c>
      <c r="E689" s="1">
        <f>IFERROR(__xludf.DUMMYFUNCTION("""COMPUTED_VALUE"""),6320.0)</f>
        <v>6320</v>
      </c>
      <c r="F689" s="1">
        <f>IFERROR(__xludf.DUMMYFUNCTION("""COMPUTED_VALUE"""),89493.0)</f>
        <v>89493</v>
      </c>
    </row>
    <row r="690">
      <c r="A690" s="2">
        <f>IFERROR(__xludf.DUMMYFUNCTION("""COMPUTED_VALUE"""),41932.645833333336)</f>
        <v>41932.64583</v>
      </c>
      <c r="B690" s="1">
        <f>IFERROR(__xludf.DUMMYFUNCTION("""COMPUTED_VALUE"""),6450.0)</f>
        <v>6450</v>
      </c>
      <c r="C690" s="1">
        <f>IFERROR(__xludf.DUMMYFUNCTION("""COMPUTED_VALUE"""),6580.0)</f>
        <v>6580</v>
      </c>
      <c r="D690" s="1">
        <f>IFERROR(__xludf.DUMMYFUNCTION("""COMPUTED_VALUE"""),6350.0)</f>
        <v>6350</v>
      </c>
      <c r="E690" s="1">
        <f>IFERROR(__xludf.DUMMYFUNCTION("""COMPUTED_VALUE"""),6490.0)</f>
        <v>6490</v>
      </c>
      <c r="F690" s="1">
        <f>IFERROR(__xludf.DUMMYFUNCTION("""COMPUTED_VALUE"""),68982.0)</f>
        <v>68982</v>
      </c>
    </row>
    <row r="691">
      <c r="A691" s="2">
        <f>IFERROR(__xludf.DUMMYFUNCTION("""COMPUTED_VALUE"""),41933.645833333336)</f>
        <v>41933.64583</v>
      </c>
      <c r="B691" s="1">
        <f>IFERROR(__xludf.DUMMYFUNCTION("""COMPUTED_VALUE"""),6600.0)</f>
        <v>6600</v>
      </c>
      <c r="C691" s="1">
        <f>IFERROR(__xludf.DUMMYFUNCTION("""COMPUTED_VALUE"""),6600.0)</f>
        <v>6600</v>
      </c>
      <c r="D691" s="1">
        <f>IFERROR(__xludf.DUMMYFUNCTION("""COMPUTED_VALUE"""),6280.0)</f>
        <v>6280</v>
      </c>
      <c r="E691" s="1">
        <f>IFERROR(__xludf.DUMMYFUNCTION("""COMPUTED_VALUE"""),6280.0)</f>
        <v>6280</v>
      </c>
      <c r="F691" s="1">
        <f>IFERROR(__xludf.DUMMYFUNCTION("""COMPUTED_VALUE"""),36361.0)</f>
        <v>36361</v>
      </c>
    </row>
    <row r="692">
      <c r="A692" s="2">
        <f>IFERROR(__xludf.DUMMYFUNCTION("""COMPUTED_VALUE"""),41934.645833333336)</f>
        <v>41934.64583</v>
      </c>
      <c r="B692" s="1">
        <f>IFERROR(__xludf.DUMMYFUNCTION("""COMPUTED_VALUE"""),6280.0)</f>
        <v>6280</v>
      </c>
      <c r="C692" s="1">
        <f>IFERROR(__xludf.DUMMYFUNCTION("""COMPUTED_VALUE"""),6350.0)</f>
        <v>6350</v>
      </c>
      <c r="D692" s="1">
        <f>IFERROR(__xludf.DUMMYFUNCTION("""COMPUTED_VALUE"""),6150.0)</f>
        <v>6150</v>
      </c>
      <c r="E692" s="1">
        <f>IFERROR(__xludf.DUMMYFUNCTION("""COMPUTED_VALUE"""),6350.0)</f>
        <v>6350</v>
      </c>
      <c r="F692" s="1">
        <f>IFERROR(__xludf.DUMMYFUNCTION("""COMPUTED_VALUE"""),46214.0)</f>
        <v>46214</v>
      </c>
    </row>
    <row r="693">
      <c r="A693" s="2">
        <f>IFERROR(__xludf.DUMMYFUNCTION("""COMPUTED_VALUE"""),41935.645833333336)</f>
        <v>41935.64583</v>
      </c>
      <c r="B693" s="1">
        <f>IFERROR(__xludf.DUMMYFUNCTION("""COMPUTED_VALUE"""),6420.0)</f>
        <v>6420</v>
      </c>
      <c r="C693" s="1">
        <f>IFERROR(__xludf.DUMMYFUNCTION("""COMPUTED_VALUE"""),6420.0)</f>
        <v>6420</v>
      </c>
      <c r="D693" s="1">
        <f>IFERROR(__xludf.DUMMYFUNCTION("""COMPUTED_VALUE"""),6180.0)</f>
        <v>6180</v>
      </c>
      <c r="E693" s="1">
        <f>IFERROR(__xludf.DUMMYFUNCTION("""COMPUTED_VALUE"""),6330.0)</f>
        <v>6330</v>
      </c>
      <c r="F693" s="1">
        <f>IFERROR(__xludf.DUMMYFUNCTION("""COMPUTED_VALUE"""),39488.0)</f>
        <v>39488</v>
      </c>
    </row>
    <row r="694">
      <c r="A694" s="2">
        <f>IFERROR(__xludf.DUMMYFUNCTION("""COMPUTED_VALUE"""),41936.645833333336)</f>
        <v>41936.64583</v>
      </c>
      <c r="B694" s="1">
        <f>IFERROR(__xludf.DUMMYFUNCTION("""COMPUTED_VALUE"""),6370.0)</f>
        <v>6370</v>
      </c>
      <c r="C694" s="1">
        <f>IFERROR(__xludf.DUMMYFUNCTION("""COMPUTED_VALUE"""),6400.0)</f>
        <v>6400</v>
      </c>
      <c r="D694" s="1">
        <f>IFERROR(__xludf.DUMMYFUNCTION("""COMPUTED_VALUE"""),6130.0)</f>
        <v>6130</v>
      </c>
      <c r="E694" s="1">
        <f>IFERROR(__xludf.DUMMYFUNCTION("""COMPUTED_VALUE"""),6200.0)</f>
        <v>6200</v>
      </c>
      <c r="F694" s="1">
        <f>IFERROR(__xludf.DUMMYFUNCTION("""COMPUTED_VALUE"""),28635.0)</f>
        <v>28635</v>
      </c>
    </row>
    <row r="695">
      <c r="A695" s="2">
        <f>IFERROR(__xludf.DUMMYFUNCTION("""COMPUTED_VALUE"""),41939.645833333336)</f>
        <v>41939.64583</v>
      </c>
      <c r="B695" s="1">
        <f>IFERROR(__xludf.DUMMYFUNCTION("""COMPUTED_VALUE"""),6200.0)</f>
        <v>6200</v>
      </c>
      <c r="C695" s="1">
        <f>IFERROR(__xludf.DUMMYFUNCTION("""COMPUTED_VALUE"""),6200.0)</f>
        <v>6200</v>
      </c>
      <c r="D695" s="1">
        <f>IFERROR(__xludf.DUMMYFUNCTION("""COMPUTED_VALUE"""),5950.0)</f>
        <v>5950</v>
      </c>
      <c r="E695" s="1">
        <f>IFERROR(__xludf.DUMMYFUNCTION("""COMPUTED_VALUE"""),6000.0)</f>
        <v>6000</v>
      </c>
      <c r="F695" s="1">
        <f>IFERROR(__xludf.DUMMYFUNCTION("""COMPUTED_VALUE"""),46219.0)</f>
        <v>46219</v>
      </c>
    </row>
    <row r="696">
      <c r="A696" s="2">
        <f>IFERROR(__xludf.DUMMYFUNCTION("""COMPUTED_VALUE"""),41940.645833333336)</f>
        <v>41940.64583</v>
      </c>
      <c r="B696" s="1">
        <f>IFERROR(__xludf.DUMMYFUNCTION("""COMPUTED_VALUE"""),5970.0)</f>
        <v>5970</v>
      </c>
      <c r="C696" s="1">
        <f>IFERROR(__xludf.DUMMYFUNCTION("""COMPUTED_VALUE"""),6070.0)</f>
        <v>6070</v>
      </c>
      <c r="D696" s="1">
        <f>IFERROR(__xludf.DUMMYFUNCTION("""COMPUTED_VALUE"""),5890.0)</f>
        <v>5890</v>
      </c>
      <c r="E696" s="1">
        <f>IFERROR(__xludf.DUMMYFUNCTION("""COMPUTED_VALUE"""),6050.0)</f>
        <v>6050</v>
      </c>
      <c r="F696" s="1">
        <f>IFERROR(__xludf.DUMMYFUNCTION("""COMPUTED_VALUE"""),29644.0)</f>
        <v>29644</v>
      </c>
    </row>
    <row r="697">
      <c r="A697" s="2">
        <f>IFERROR(__xludf.DUMMYFUNCTION("""COMPUTED_VALUE"""),41941.645833333336)</f>
        <v>41941.64583</v>
      </c>
      <c r="B697" s="1">
        <f>IFERROR(__xludf.DUMMYFUNCTION("""COMPUTED_VALUE"""),6040.0)</f>
        <v>6040</v>
      </c>
      <c r="C697" s="1">
        <f>IFERROR(__xludf.DUMMYFUNCTION("""COMPUTED_VALUE"""),6420.0)</f>
        <v>6420</v>
      </c>
      <c r="D697" s="1">
        <f>IFERROR(__xludf.DUMMYFUNCTION("""COMPUTED_VALUE"""),5970.0)</f>
        <v>5970</v>
      </c>
      <c r="E697" s="1">
        <f>IFERROR(__xludf.DUMMYFUNCTION("""COMPUTED_VALUE"""),6340.0)</f>
        <v>6340</v>
      </c>
      <c r="F697" s="1">
        <f>IFERROR(__xludf.DUMMYFUNCTION("""COMPUTED_VALUE"""),73292.0)</f>
        <v>73292</v>
      </c>
    </row>
    <row r="698">
      <c r="A698" s="2">
        <f>IFERROR(__xludf.DUMMYFUNCTION("""COMPUTED_VALUE"""),41942.645833333336)</f>
        <v>41942.64583</v>
      </c>
      <c r="B698" s="1">
        <f>IFERROR(__xludf.DUMMYFUNCTION("""COMPUTED_VALUE"""),6480.0)</f>
        <v>6480</v>
      </c>
      <c r="C698" s="1">
        <f>IFERROR(__xludf.DUMMYFUNCTION("""COMPUTED_VALUE"""),7050.0)</f>
        <v>7050</v>
      </c>
      <c r="D698" s="1">
        <f>IFERROR(__xludf.DUMMYFUNCTION("""COMPUTED_VALUE"""),6360.0)</f>
        <v>6360</v>
      </c>
      <c r="E698" s="1">
        <f>IFERROR(__xludf.DUMMYFUNCTION("""COMPUTED_VALUE"""),6740.0)</f>
        <v>6740</v>
      </c>
      <c r="F698" s="1">
        <f>IFERROR(__xludf.DUMMYFUNCTION("""COMPUTED_VALUE"""),261770.0)</f>
        <v>261770</v>
      </c>
    </row>
    <row r="699">
      <c r="A699" s="2">
        <f>IFERROR(__xludf.DUMMYFUNCTION("""COMPUTED_VALUE"""),41943.645833333336)</f>
        <v>41943.64583</v>
      </c>
      <c r="B699" s="1">
        <f>IFERROR(__xludf.DUMMYFUNCTION("""COMPUTED_VALUE"""),6820.0)</f>
        <v>6820</v>
      </c>
      <c r="C699" s="1">
        <f>IFERROR(__xludf.DUMMYFUNCTION("""COMPUTED_VALUE"""),7470.0)</f>
        <v>7470</v>
      </c>
      <c r="D699" s="1">
        <f>IFERROR(__xludf.DUMMYFUNCTION("""COMPUTED_VALUE"""),6760.0)</f>
        <v>6760</v>
      </c>
      <c r="E699" s="1">
        <f>IFERROR(__xludf.DUMMYFUNCTION("""COMPUTED_VALUE"""),7200.0)</f>
        <v>7200</v>
      </c>
      <c r="F699" s="1">
        <f>IFERROR(__xludf.DUMMYFUNCTION("""COMPUTED_VALUE"""),306941.0)</f>
        <v>306941</v>
      </c>
    </row>
    <row r="700">
      <c r="A700" s="2">
        <f>IFERROR(__xludf.DUMMYFUNCTION("""COMPUTED_VALUE"""),41946.645833333336)</f>
        <v>41946.64583</v>
      </c>
      <c r="B700" s="1">
        <f>IFERROR(__xludf.DUMMYFUNCTION("""COMPUTED_VALUE"""),7100.0)</f>
        <v>7100</v>
      </c>
      <c r="C700" s="1">
        <f>IFERROR(__xludf.DUMMYFUNCTION("""COMPUTED_VALUE"""),7240.0)</f>
        <v>7240</v>
      </c>
      <c r="D700" s="1">
        <f>IFERROR(__xludf.DUMMYFUNCTION("""COMPUTED_VALUE"""),6860.0)</f>
        <v>6860</v>
      </c>
      <c r="E700" s="1">
        <f>IFERROR(__xludf.DUMMYFUNCTION("""COMPUTED_VALUE"""),7000.0)</f>
        <v>7000</v>
      </c>
      <c r="F700" s="1">
        <f>IFERROR(__xludf.DUMMYFUNCTION("""COMPUTED_VALUE"""),113561.0)</f>
        <v>113561</v>
      </c>
    </row>
    <row r="701">
      <c r="A701" s="2">
        <f>IFERROR(__xludf.DUMMYFUNCTION("""COMPUTED_VALUE"""),41947.645833333336)</f>
        <v>41947.64583</v>
      </c>
      <c r="B701" s="1">
        <f>IFERROR(__xludf.DUMMYFUNCTION("""COMPUTED_VALUE"""),6970.0)</f>
        <v>6970</v>
      </c>
      <c r="C701" s="1">
        <f>IFERROR(__xludf.DUMMYFUNCTION("""COMPUTED_VALUE"""),6970.0)</f>
        <v>6970</v>
      </c>
      <c r="D701" s="1">
        <f>IFERROR(__xludf.DUMMYFUNCTION("""COMPUTED_VALUE"""),6560.0)</f>
        <v>6560</v>
      </c>
      <c r="E701" s="1">
        <f>IFERROR(__xludf.DUMMYFUNCTION("""COMPUTED_VALUE"""),6630.0)</f>
        <v>6630</v>
      </c>
      <c r="F701" s="1">
        <f>IFERROR(__xludf.DUMMYFUNCTION("""COMPUTED_VALUE"""),73700.0)</f>
        <v>73700</v>
      </c>
    </row>
    <row r="702">
      <c r="A702" s="2">
        <f>IFERROR(__xludf.DUMMYFUNCTION("""COMPUTED_VALUE"""),41948.645833333336)</f>
        <v>41948.64583</v>
      </c>
      <c r="B702" s="1">
        <f>IFERROR(__xludf.DUMMYFUNCTION("""COMPUTED_VALUE"""),6560.0)</f>
        <v>6560</v>
      </c>
      <c r="C702" s="1">
        <f>IFERROR(__xludf.DUMMYFUNCTION("""COMPUTED_VALUE"""),6620.0)</f>
        <v>6620</v>
      </c>
      <c r="D702" s="1">
        <f>IFERROR(__xludf.DUMMYFUNCTION("""COMPUTED_VALUE"""),6300.0)</f>
        <v>6300</v>
      </c>
      <c r="E702" s="1">
        <f>IFERROR(__xludf.DUMMYFUNCTION("""COMPUTED_VALUE"""),6500.0)</f>
        <v>6500</v>
      </c>
      <c r="F702" s="1">
        <f>IFERROR(__xludf.DUMMYFUNCTION("""COMPUTED_VALUE"""),119808.0)</f>
        <v>119808</v>
      </c>
    </row>
    <row r="703">
      <c r="A703" s="2">
        <f>IFERROR(__xludf.DUMMYFUNCTION("""COMPUTED_VALUE"""),41949.645833333336)</f>
        <v>41949.64583</v>
      </c>
      <c r="B703" s="1">
        <f>IFERROR(__xludf.DUMMYFUNCTION("""COMPUTED_VALUE"""),6530.0)</f>
        <v>6530</v>
      </c>
      <c r="C703" s="1">
        <f>IFERROR(__xludf.DUMMYFUNCTION("""COMPUTED_VALUE"""),6600.0)</f>
        <v>6600</v>
      </c>
      <c r="D703" s="1">
        <f>IFERROR(__xludf.DUMMYFUNCTION("""COMPUTED_VALUE"""),6300.0)</f>
        <v>6300</v>
      </c>
      <c r="E703" s="1">
        <f>IFERROR(__xludf.DUMMYFUNCTION("""COMPUTED_VALUE"""),6380.0)</f>
        <v>6380</v>
      </c>
      <c r="F703" s="1">
        <f>IFERROR(__xludf.DUMMYFUNCTION("""COMPUTED_VALUE"""),62621.0)</f>
        <v>62621</v>
      </c>
    </row>
    <row r="704">
      <c r="A704" s="2">
        <f>IFERROR(__xludf.DUMMYFUNCTION("""COMPUTED_VALUE"""),41950.645833333336)</f>
        <v>41950.64583</v>
      </c>
      <c r="B704" s="1">
        <f>IFERROR(__xludf.DUMMYFUNCTION("""COMPUTED_VALUE"""),6390.0)</f>
        <v>6390</v>
      </c>
      <c r="C704" s="1">
        <f>IFERROR(__xludf.DUMMYFUNCTION("""COMPUTED_VALUE"""),6750.0)</f>
        <v>6750</v>
      </c>
      <c r="D704" s="1">
        <f>IFERROR(__xludf.DUMMYFUNCTION("""COMPUTED_VALUE"""),6390.0)</f>
        <v>6390</v>
      </c>
      <c r="E704" s="1">
        <f>IFERROR(__xludf.DUMMYFUNCTION("""COMPUTED_VALUE"""),6740.0)</f>
        <v>6740</v>
      </c>
      <c r="F704" s="1">
        <f>IFERROR(__xludf.DUMMYFUNCTION("""COMPUTED_VALUE"""),67619.0)</f>
        <v>67619</v>
      </c>
    </row>
    <row r="705">
      <c r="A705" s="2">
        <f>IFERROR(__xludf.DUMMYFUNCTION("""COMPUTED_VALUE"""),41953.64583333333)</f>
        <v>41953.64583</v>
      </c>
      <c r="B705" s="1">
        <f>IFERROR(__xludf.DUMMYFUNCTION("""COMPUTED_VALUE"""),6800.0)</f>
        <v>6800</v>
      </c>
      <c r="C705" s="1">
        <f>IFERROR(__xludf.DUMMYFUNCTION("""COMPUTED_VALUE"""),6870.0)</f>
        <v>6870</v>
      </c>
      <c r="D705" s="1">
        <f>IFERROR(__xludf.DUMMYFUNCTION("""COMPUTED_VALUE"""),6610.0)</f>
        <v>6610</v>
      </c>
      <c r="E705" s="1">
        <f>IFERROR(__xludf.DUMMYFUNCTION("""COMPUTED_VALUE"""),6700.0)</f>
        <v>6700</v>
      </c>
      <c r="F705" s="1">
        <f>IFERROR(__xludf.DUMMYFUNCTION("""COMPUTED_VALUE"""),45214.0)</f>
        <v>45214</v>
      </c>
    </row>
    <row r="706">
      <c r="A706" s="2">
        <f>IFERROR(__xludf.DUMMYFUNCTION("""COMPUTED_VALUE"""),41954.64583333333)</f>
        <v>41954.64583</v>
      </c>
      <c r="B706" s="1">
        <f>IFERROR(__xludf.DUMMYFUNCTION("""COMPUTED_VALUE"""),6700.0)</f>
        <v>6700</v>
      </c>
      <c r="C706" s="1">
        <f>IFERROR(__xludf.DUMMYFUNCTION("""COMPUTED_VALUE"""),7090.0)</f>
        <v>7090</v>
      </c>
      <c r="D706" s="1">
        <f>IFERROR(__xludf.DUMMYFUNCTION("""COMPUTED_VALUE"""),6520.0)</f>
        <v>6520</v>
      </c>
      <c r="E706" s="1">
        <f>IFERROR(__xludf.DUMMYFUNCTION("""COMPUTED_VALUE"""),7070.0)</f>
        <v>7070</v>
      </c>
      <c r="F706" s="1">
        <f>IFERROR(__xludf.DUMMYFUNCTION("""COMPUTED_VALUE"""),86760.0)</f>
        <v>86760</v>
      </c>
    </row>
    <row r="707">
      <c r="A707" s="2">
        <f>IFERROR(__xludf.DUMMYFUNCTION("""COMPUTED_VALUE"""),41955.64583333333)</f>
        <v>41955.64583</v>
      </c>
      <c r="B707" s="1">
        <f>IFERROR(__xludf.DUMMYFUNCTION("""COMPUTED_VALUE"""),7120.0)</f>
        <v>7120</v>
      </c>
      <c r="C707" s="1">
        <f>IFERROR(__xludf.DUMMYFUNCTION("""COMPUTED_VALUE"""),7230.0)</f>
        <v>7230</v>
      </c>
      <c r="D707" s="1">
        <f>IFERROR(__xludf.DUMMYFUNCTION("""COMPUTED_VALUE"""),6880.0)</f>
        <v>6880</v>
      </c>
      <c r="E707" s="1">
        <f>IFERROR(__xludf.DUMMYFUNCTION("""COMPUTED_VALUE"""),6930.0)</f>
        <v>6930</v>
      </c>
      <c r="F707" s="1">
        <f>IFERROR(__xludf.DUMMYFUNCTION("""COMPUTED_VALUE"""),71329.0)</f>
        <v>71329</v>
      </c>
    </row>
    <row r="708">
      <c r="A708" s="2">
        <f>IFERROR(__xludf.DUMMYFUNCTION("""COMPUTED_VALUE"""),41956.64583333333)</f>
        <v>41956.64583</v>
      </c>
      <c r="B708" s="1">
        <f>IFERROR(__xludf.DUMMYFUNCTION("""COMPUTED_VALUE"""),6940.0)</f>
        <v>6940</v>
      </c>
      <c r="C708" s="1">
        <f>IFERROR(__xludf.DUMMYFUNCTION("""COMPUTED_VALUE"""),7090.0)</f>
        <v>7090</v>
      </c>
      <c r="D708" s="1">
        <f>IFERROR(__xludf.DUMMYFUNCTION("""COMPUTED_VALUE"""),6880.0)</f>
        <v>6880</v>
      </c>
      <c r="E708" s="1">
        <f>IFERROR(__xludf.DUMMYFUNCTION("""COMPUTED_VALUE"""),6900.0)</f>
        <v>6900</v>
      </c>
      <c r="F708" s="1">
        <f>IFERROR(__xludf.DUMMYFUNCTION("""COMPUTED_VALUE"""),25554.0)</f>
        <v>25554</v>
      </c>
    </row>
    <row r="709">
      <c r="A709" s="2">
        <f>IFERROR(__xludf.DUMMYFUNCTION("""COMPUTED_VALUE"""),41957.64583333333)</f>
        <v>41957.64583</v>
      </c>
      <c r="B709" s="1">
        <f>IFERROR(__xludf.DUMMYFUNCTION("""COMPUTED_VALUE"""),6900.0)</f>
        <v>6900</v>
      </c>
      <c r="C709" s="1">
        <f>IFERROR(__xludf.DUMMYFUNCTION("""COMPUTED_VALUE"""),6940.0)</f>
        <v>6940</v>
      </c>
      <c r="D709" s="1">
        <f>IFERROR(__xludf.DUMMYFUNCTION("""COMPUTED_VALUE"""),6460.0)</f>
        <v>6460</v>
      </c>
      <c r="E709" s="1">
        <f>IFERROR(__xludf.DUMMYFUNCTION("""COMPUTED_VALUE"""),6680.0)</f>
        <v>6680</v>
      </c>
      <c r="F709" s="1">
        <f>IFERROR(__xludf.DUMMYFUNCTION("""COMPUTED_VALUE"""),94454.0)</f>
        <v>94454</v>
      </c>
    </row>
    <row r="710">
      <c r="A710" s="2">
        <f>IFERROR(__xludf.DUMMYFUNCTION("""COMPUTED_VALUE"""),41960.64583333333)</f>
        <v>41960.64583</v>
      </c>
      <c r="B710" s="1">
        <f>IFERROR(__xludf.DUMMYFUNCTION("""COMPUTED_VALUE"""),6580.0)</f>
        <v>6580</v>
      </c>
      <c r="C710" s="1">
        <f>IFERROR(__xludf.DUMMYFUNCTION("""COMPUTED_VALUE"""),6640.0)</f>
        <v>6640</v>
      </c>
      <c r="D710" s="1">
        <f>IFERROR(__xludf.DUMMYFUNCTION("""COMPUTED_VALUE"""),6270.0)</f>
        <v>6270</v>
      </c>
      <c r="E710" s="1">
        <f>IFERROR(__xludf.DUMMYFUNCTION("""COMPUTED_VALUE"""),6450.0)</f>
        <v>6450</v>
      </c>
      <c r="F710" s="1">
        <f>IFERROR(__xludf.DUMMYFUNCTION("""COMPUTED_VALUE"""),50906.0)</f>
        <v>50906</v>
      </c>
    </row>
    <row r="711">
      <c r="A711" s="2">
        <f>IFERROR(__xludf.DUMMYFUNCTION("""COMPUTED_VALUE"""),41961.64583333333)</f>
        <v>41961.64583</v>
      </c>
      <c r="B711" s="1">
        <f>IFERROR(__xludf.DUMMYFUNCTION("""COMPUTED_VALUE"""),6540.0)</f>
        <v>6540</v>
      </c>
      <c r="C711" s="1">
        <f>IFERROR(__xludf.DUMMYFUNCTION("""COMPUTED_VALUE"""),6540.0)</f>
        <v>6540</v>
      </c>
      <c r="D711" s="1">
        <f>IFERROR(__xludf.DUMMYFUNCTION("""COMPUTED_VALUE"""),6220.0)</f>
        <v>6220</v>
      </c>
      <c r="E711" s="1">
        <f>IFERROR(__xludf.DUMMYFUNCTION("""COMPUTED_VALUE"""),6230.0)</f>
        <v>6230</v>
      </c>
      <c r="F711" s="1">
        <f>IFERROR(__xludf.DUMMYFUNCTION("""COMPUTED_VALUE"""),43300.0)</f>
        <v>43300</v>
      </c>
    </row>
    <row r="712">
      <c r="A712" s="2">
        <f>IFERROR(__xludf.DUMMYFUNCTION("""COMPUTED_VALUE"""),41962.64583333333)</f>
        <v>41962.64583</v>
      </c>
      <c r="B712" s="1">
        <f>IFERROR(__xludf.DUMMYFUNCTION("""COMPUTED_VALUE"""),6300.0)</f>
        <v>6300</v>
      </c>
      <c r="C712" s="1">
        <f>IFERROR(__xludf.DUMMYFUNCTION("""COMPUTED_VALUE"""),6360.0)</f>
        <v>6360</v>
      </c>
      <c r="D712" s="1">
        <f>IFERROR(__xludf.DUMMYFUNCTION("""COMPUTED_VALUE"""),6080.0)</f>
        <v>6080</v>
      </c>
      <c r="E712" s="1">
        <f>IFERROR(__xludf.DUMMYFUNCTION("""COMPUTED_VALUE"""),6120.0)</f>
        <v>6120</v>
      </c>
      <c r="F712" s="1">
        <f>IFERROR(__xludf.DUMMYFUNCTION("""COMPUTED_VALUE"""),28964.0)</f>
        <v>28964</v>
      </c>
    </row>
    <row r="713">
      <c r="A713" s="2">
        <f>IFERROR(__xludf.DUMMYFUNCTION("""COMPUTED_VALUE"""),41963.64583333333)</f>
        <v>41963.64583</v>
      </c>
      <c r="B713" s="1">
        <f>IFERROR(__xludf.DUMMYFUNCTION("""COMPUTED_VALUE"""),6130.0)</f>
        <v>6130</v>
      </c>
      <c r="C713" s="1">
        <f>IFERROR(__xludf.DUMMYFUNCTION("""COMPUTED_VALUE"""),6190.0)</f>
        <v>6190</v>
      </c>
      <c r="D713" s="1">
        <f>IFERROR(__xludf.DUMMYFUNCTION("""COMPUTED_VALUE"""),6020.0)</f>
        <v>6020</v>
      </c>
      <c r="E713" s="1">
        <f>IFERROR(__xludf.DUMMYFUNCTION("""COMPUTED_VALUE"""),6110.0)</f>
        <v>6110</v>
      </c>
      <c r="F713" s="1">
        <f>IFERROR(__xludf.DUMMYFUNCTION("""COMPUTED_VALUE"""),36055.0)</f>
        <v>36055</v>
      </c>
    </row>
    <row r="714">
      <c r="A714" s="2">
        <f>IFERROR(__xludf.DUMMYFUNCTION("""COMPUTED_VALUE"""),41964.64583333333)</f>
        <v>41964.64583</v>
      </c>
      <c r="B714" s="1">
        <f>IFERROR(__xludf.DUMMYFUNCTION("""COMPUTED_VALUE"""),6050.0)</f>
        <v>6050</v>
      </c>
      <c r="C714" s="1">
        <f>IFERROR(__xludf.DUMMYFUNCTION("""COMPUTED_VALUE"""),6490.0)</f>
        <v>6490</v>
      </c>
      <c r="D714" s="1">
        <f>IFERROR(__xludf.DUMMYFUNCTION("""COMPUTED_VALUE"""),6040.0)</f>
        <v>6040</v>
      </c>
      <c r="E714" s="1">
        <f>IFERROR(__xludf.DUMMYFUNCTION("""COMPUTED_VALUE"""),6170.0)</f>
        <v>6170</v>
      </c>
      <c r="F714" s="1">
        <f>IFERROR(__xludf.DUMMYFUNCTION("""COMPUTED_VALUE"""),46042.0)</f>
        <v>46042</v>
      </c>
    </row>
    <row r="715">
      <c r="A715" s="2">
        <f>IFERROR(__xludf.DUMMYFUNCTION("""COMPUTED_VALUE"""),41967.64583333333)</f>
        <v>41967.64583</v>
      </c>
      <c r="B715" s="1">
        <f>IFERROR(__xludf.DUMMYFUNCTION("""COMPUTED_VALUE"""),6200.0)</f>
        <v>6200</v>
      </c>
      <c r="C715" s="1">
        <f>IFERROR(__xludf.DUMMYFUNCTION("""COMPUTED_VALUE"""),6270.0)</f>
        <v>6270</v>
      </c>
      <c r="D715" s="1">
        <f>IFERROR(__xludf.DUMMYFUNCTION("""COMPUTED_VALUE"""),6120.0)</f>
        <v>6120</v>
      </c>
      <c r="E715" s="1">
        <f>IFERROR(__xludf.DUMMYFUNCTION("""COMPUTED_VALUE"""),6120.0)</f>
        <v>6120</v>
      </c>
      <c r="F715" s="1">
        <f>IFERROR(__xludf.DUMMYFUNCTION("""COMPUTED_VALUE"""),24237.0)</f>
        <v>24237</v>
      </c>
    </row>
    <row r="716">
      <c r="A716" s="2">
        <f>IFERROR(__xludf.DUMMYFUNCTION("""COMPUTED_VALUE"""),41968.64583333333)</f>
        <v>41968.64583</v>
      </c>
      <c r="B716" s="1">
        <f>IFERROR(__xludf.DUMMYFUNCTION("""COMPUTED_VALUE"""),6200.0)</f>
        <v>6200</v>
      </c>
      <c r="C716" s="1">
        <f>IFERROR(__xludf.DUMMYFUNCTION("""COMPUTED_VALUE"""),6200.0)</f>
        <v>6200</v>
      </c>
      <c r="D716" s="1">
        <f>IFERROR(__xludf.DUMMYFUNCTION("""COMPUTED_VALUE"""),5940.0)</f>
        <v>5940</v>
      </c>
      <c r="E716" s="1">
        <f>IFERROR(__xludf.DUMMYFUNCTION("""COMPUTED_VALUE"""),6100.0)</f>
        <v>6100</v>
      </c>
      <c r="F716" s="1">
        <f>IFERROR(__xludf.DUMMYFUNCTION("""COMPUTED_VALUE"""),36109.0)</f>
        <v>36109</v>
      </c>
    </row>
    <row r="717">
      <c r="A717" s="2">
        <f>IFERROR(__xludf.DUMMYFUNCTION("""COMPUTED_VALUE"""),41969.64583333333)</f>
        <v>41969.64583</v>
      </c>
      <c r="B717" s="1">
        <f>IFERROR(__xludf.DUMMYFUNCTION("""COMPUTED_VALUE"""),6170.0)</f>
        <v>6170</v>
      </c>
      <c r="C717" s="1">
        <f>IFERROR(__xludf.DUMMYFUNCTION("""COMPUTED_VALUE"""),6290.0)</f>
        <v>6290</v>
      </c>
      <c r="D717" s="1">
        <f>IFERROR(__xludf.DUMMYFUNCTION("""COMPUTED_VALUE"""),6100.0)</f>
        <v>6100</v>
      </c>
      <c r="E717" s="1">
        <f>IFERROR(__xludf.DUMMYFUNCTION("""COMPUTED_VALUE"""),6190.0)</f>
        <v>6190</v>
      </c>
      <c r="F717" s="1">
        <f>IFERROR(__xludf.DUMMYFUNCTION("""COMPUTED_VALUE"""),13908.0)</f>
        <v>13908</v>
      </c>
    </row>
    <row r="718">
      <c r="A718" s="2">
        <f>IFERROR(__xludf.DUMMYFUNCTION("""COMPUTED_VALUE"""),41970.64583333333)</f>
        <v>41970.64583</v>
      </c>
      <c r="B718" s="1">
        <f>IFERROR(__xludf.DUMMYFUNCTION("""COMPUTED_VALUE"""),6140.0)</f>
        <v>6140</v>
      </c>
      <c r="C718" s="1">
        <f>IFERROR(__xludf.DUMMYFUNCTION("""COMPUTED_VALUE"""),6230.0)</f>
        <v>6230</v>
      </c>
      <c r="D718" s="1">
        <f>IFERROR(__xludf.DUMMYFUNCTION("""COMPUTED_VALUE"""),6030.0)</f>
        <v>6030</v>
      </c>
      <c r="E718" s="1">
        <f>IFERROR(__xludf.DUMMYFUNCTION("""COMPUTED_VALUE"""),6080.0)</f>
        <v>6080</v>
      </c>
      <c r="F718" s="1">
        <f>IFERROR(__xludf.DUMMYFUNCTION("""COMPUTED_VALUE"""),39462.0)</f>
        <v>39462</v>
      </c>
    </row>
    <row r="719">
      <c r="A719" s="2">
        <f>IFERROR(__xludf.DUMMYFUNCTION("""COMPUTED_VALUE"""),41971.64583333333)</f>
        <v>41971.64583</v>
      </c>
      <c r="B719" s="1">
        <f>IFERROR(__xludf.DUMMYFUNCTION("""COMPUTED_VALUE"""),6090.0)</f>
        <v>6090</v>
      </c>
      <c r="C719" s="1">
        <f>IFERROR(__xludf.DUMMYFUNCTION("""COMPUTED_VALUE"""),6210.0)</f>
        <v>6210</v>
      </c>
      <c r="D719" s="1">
        <f>IFERROR(__xludf.DUMMYFUNCTION("""COMPUTED_VALUE"""),5990.0)</f>
        <v>5990</v>
      </c>
      <c r="E719" s="1">
        <f>IFERROR(__xludf.DUMMYFUNCTION("""COMPUTED_VALUE"""),6010.0)</f>
        <v>6010</v>
      </c>
      <c r="F719" s="1">
        <f>IFERROR(__xludf.DUMMYFUNCTION("""COMPUTED_VALUE"""),24989.0)</f>
        <v>24989</v>
      </c>
    </row>
    <row r="720">
      <c r="A720" s="2">
        <f>IFERROR(__xludf.DUMMYFUNCTION("""COMPUTED_VALUE"""),41974.64583333333)</f>
        <v>41974.64583</v>
      </c>
      <c r="B720" s="1">
        <f>IFERROR(__xludf.DUMMYFUNCTION("""COMPUTED_VALUE"""),6010.0)</f>
        <v>6010</v>
      </c>
      <c r="C720" s="1">
        <f>IFERROR(__xludf.DUMMYFUNCTION("""COMPUTED_VALUE"""),6220.0)</f>
        <v>6220</v>
      </c>
      <c r="D720" s="1">
        <f>IFERROR(__xludf.DUMMYFUNCTION("""COMPUTED_VALUE"""),5910.0)</f>
        <v>5910</v>
      </c>
      <c r="E720" s="1">
        <f>IFERROR(__xludf.DUMMYFUNCTION("""COMPUTED_VALUE"""),5930.0)</f>
        <v>5930</v>
      </c>
      <c r="F720" s="1">
        <f>IFERROR(__xludf.DUMMYFUNCTION("""COMPUTED_VALUE"""),31620.0)</f>
        <v>31620</v>
      </c>
    </row>
    <row r="721">
      <c r="A721" s="2">
        <f>IFERROR(__xludf.DUMMYFUNCTION("""COMPUTED_VALUE"""),41975.64583333333)</f>
        <v>41975.64583</v>
      </c>
      <c r="B721" s="1">
        <f>IFERROR(__xludf.DUMMYFUNCTION("""COMPUTED_VALUE"""),5880.0)</f>
        <v>5880</v>
      </c>
      <c r="C721" s="1">
        <f>IFERROR(__xludf.DUMMYFUNCTION("""COMPUTED_VALUE"""),6150.0)</f>
        <v>6150</v>
      </c>
      <c r="D721" s="1">
        <f>IFERROR(__xludf.DUMMYFUNCTION("""COMPUTED_VALUE"""),5730.0)</f>
        <v>5730</v>
      </c>
      <c r="E721" s="1">
        <f>IFERROR(__xludf.DUMMYFUNCTION("""COMPUTED_VALUE"""),6070.0)</f>
        <v>6070</v>
      </c>
      <c r="F721" s="1">
        <f>IFERROR(__xludf.DUMMYFUNCTION("""COMPUTED_VALUE"""),69724.0)</f>
        <v>69724</v>
      </c>
    </row>
    <row r="722">
      <c r="A722" s="2">
        <f>IFERROR(__xludf.DUMMYFUNCTION("""COMPUTED_VALUE"""),41976.64583333333)</f>
        <v>41976.64583</v>
      </c>
      <c r="B722" s="1">
        <f>IFERROR(__xludf.DUMMYFUNCTION("""COMPUTED_VALUE"""),6070.0)</f>
        <v>6070</v>
      </c>
      <c r="C722" s="1">
        <f>IFERROR(__xludf.DUMMYFUNCTION("""COMPUTED_VALUE"""),6980.0)</f>
        <v>6980</v>
      </c>
      <c r="D722" s="1">
        <f>IFERROR(__xludf.DUMMYFUNCTION("""COMPUTED_VALUE"""),6070.0)</f>
        <v>6070</v>
      </c>
      <c r="E722" s="1">
        <f>IFERROR(__xludf.DUMMYFUNCTION("""COMPUTED_VALUE"""),6980.0)</f>
        <v>6980</v>
      </c>
      <c r="F722" s="1">
        <f>IFERROR(__xludf.DUMMYFUNCTION("""COMPUTED_VALUE"""),312645.0)</f>
        <v>312645</v>
      </c>
    </row>
    <row r="723">
      <c r="A723" s="2">
        <f>IFERROR(__xludf.DUMMYFUNCTION("""COMPUTED_VALUE"""),41977.64583333333)</f>
        <v>41977.64583</v>
      </c>
      <c r="B723" s="1">
        <f>IFERROR(__xludf.DUMMYFUNCTION("""COMPUTED_VALUE"""),7500.0)</f>
        <v>7500</v>
      </c>
      <c r="C723" s="1">
        <f>IFERROR(__xludf.DUMMYFUNCTION("""COMPUTED_VALUE"""),7660.0)</f>
        <v>7660</v>
      </c>
      <c r="D723" s="1">
        <f>IFERROR(__xludf.DUMMYFUNCTION("""COMPUTED_VALUE"""),6780.0)</f>
        <v>6780</v>
      </c>
      <c r="E723" s="1">
        <f>IFERROR(__xludf.DUMMYFUNCTION("""COMPUTED_VALUE"""),6950.0)</f>
        <v>6950</v>
      </c>
      <c r="F723" s="1">
        <f>IFERROR(__xludf.DUMMYFUNCTION("""COMPUTED_VALUE"""),1103476.0)</f>
        <v>1103476</v>
      </c>
    </row>
    <row r="724">
      <c r="A724" s="2">
        <f>IFERROR(__xludf.DUMMYFUNCTION("""COMPUTED_VALUE"""),41978.64583333333)</f>
        <v>41978.64583</v>
      </c>
      <c r="B724" s="1">
        <f>IFERROR(__xludf.DUMMYFUNCTION("""COMPUTED_VALUE"""),7200.0)</f>
        <v>7200</v>
      </c>
      <c r="C724" s="1">
        <f>IFERROR(__xludf.DUMMYFUNCTION("""COMPUTED_VALUE"""),7990.0)</f>
        <v>7990</v>
      </c>
      <c r="D724" s="1">
        <f>IFERROR(__xludf.DUMMYFUNCTION("""COMPUTED_VALUE"""),7070.0)</f>
        <v>7070</v>
      </c>
      <c r="E724" s="1">
        <f>IFERROR(__xludf.DUMMYFUNCTION("""COMPUTED_VALUE"""),7650.0)</f>
        <v>7650</v>
      </c>
      <c r="F724" s="1">
        <f>IFERROR(__xludf.DUMMYFUNCTION("""COMPUTED_VALUE"""),2057270.0)</f>
        <v>2057270</v>
      </c>
    </row>
    <row r="725">
      <c r="A725" s="2">
        <f>IFERROR(__xludf.DUMMYFUNCTION("""COMPUTED_VALUE"""),41981.64583333333)</f>
        <v>41981.64583</v>
      </c>
      <c r="B725" s="1">
        <f>IFERROR(__xludf.DUMMYFUNCTION("""COMPUTED_VALUE"""),7510.0)</f>
        <v>7510</v>
      </c>
      <c r="C725" s="1">
        <f>IFERROR(__xludf.DUMMYFUNCTION("""COMPUTED_VALUE"""),7620.0)</f>
        <v>7620</v>
      </c>
      <c r="D725" s="1">
        <f>IFERROR(__xludf.DUMMYFUNCTION("""COMPUTED_VALUE"""),7310.0)</f>
        <v>7310</v>
      </c>
      <c r="E725" s="1">
        <f>IFERROR(__xludf.DUMMYFUNCTION("""COMPUTED_VALUE"""),7460.0)</f>
        <v>7460</v>
      </c>
      <c r="F725" s="1">
        <f>IFERROR(__xludf.DUMMYFUNCTION("""COMPUTED_VALUE"""),365371.0)</f>
        <v>365371</v>
      </c>
    </row>
    <row r="726">
      <c r="A726" s="2">
        <f>IFERROR(__xludf.DUMMYFUNCTION("""COMPUTED_VALUE"""),41982.64583333333)</f>
        <v>41982.64583</v>
      </c>
      <c r="B726" s="1">
        <f>IFERROR(__xludf.DUMMYFUNCTION("""COMPUTED_VALUE"""),7370.0)</f>
        <v>7370</v>
      </c>
      <c r="C726" s="1">
        <f>IFERROR(__xludf.DUMMYFUNCTION("""COMPUTED_VALUE"""),7740.0)</f>
        <v>7740</v>
      </c>
      <c r="D726" s="1">
        <f>IFERROR(__xludf.DUMMYFUNCTION("""COMPUTED_VALUE"""),7250.0)</f>
        <v>7250</v>
      </c>
      <c r="E726" s="1">
        <f>IFERROR(__xludf.DUMMYFUNCTION("""COMPUTED_VALUE"""),7650.0)</f>
        <v>7650</v>
      </c>
      <c r="F726" s="1">
        <f>IFERROR(__xludf.DUMMYFUNCTION("""COMPUTED_VALUE"""),485795.0)</f>
        <v>485795</v>
      </c>
    </row>
    <row r="727">
      <c r="A727" s="2">
        <f>IFERROR(__xludf.DUMMYFUNCTION("""COMPUTED_VALUE"""),41983.64583333333)</f>
        <v>41983.64583</v>
      </c>
      <c r="B727" s="1">
        <f>IFERROR(__xludf.DUMMYFUNCTION("""COMPUTED_VALUE"""),7750.0)</f>
        <v>7750</v>
      </c>
      <c r="C727" s="1">
        <f>IFERROR(__xludf.DUMMYFUNCTION("""COMPUTED_VALUE"""),8180.0)</f>
        <v>8180</v>
      </c>
      <c r="D727" s="1">
        <f>IFERROR(__xludf.DUMMYFUNCTION("""COMPUTED_VALUE"""),7510.0)</f>
        <v>7510</v>
      </c>
      <c r="E727" s="1">
        <f>IFERROR(__xludf.DUMMYFUNCTION("""COMPUTED_VALUE"""),7660.0)</f>
        <v>7660</v>
      </c>
      <c r="F727" s="1">
        <f>IFERROR(__xludf.DUMMYFUNCTION("""COMPUTED_VALUE"""),646765.0)</f>
        <v>646765</v>
      </c>
    </row>
    <row r="728">
      <c r="A728" s="2">
        <f>IFERROR(__xludf.DUMMYFUNCTION("""COMPUTED_VALUE"""),41984.64583333333)</f>
        <v>41984.64583</v>
      </c>
      <c r="B728" s="1">
        <f>IFERROR(__xludf.DUMMYFUNCTION("""COMPUTED_VALUE"""),7570.0)</f>
        <v>7570</v>
      </c>
      <c r="C728" s="1">
        <f>IFERROR(__xludf.DUMMYFUNCTION("""COMPUTED_VALUE"""),8080.0)</f>
        <v>8080</v>
      </c>
      <c r="D728" s="1">
        <f>IFERROR(__xludf.DUMMYFUNCTION("""COMPUTED_VALUE"""),7110.0)</f>
        <v>7110</v>
      </c>
      <c r="E728" s="1">
        <f>IFERROR(__xludf.DUMMYFUNCTION("""COMPUTED_VALUE"""),7140.0)</f>
        <v>7140</v>
      </c>
      <c r="F728" s="1">
        <f>IFERROR(__xludf.DUMMYFUNCTION("""COMPUTED_VALUE"""),543957.0)</f>
        <v>543957</v>
      </c>
    </row>
    <row r="729">
      <c r="A729" s="2">
        <f>IFERROR(__xludf.DUMMYFUNCTION("""COMPUTED_VALUE"""),41985.64583333333)</f>
        <v>41985.64583</v>
      </c>
      <c r="B729" s="1">
        <f>IFERROR(__xludf.DUMMYFUNCTION("""COMPUTED_VALUE"""),7350.0)</f>
        <v>7350</v>
      </c>
      <c r="C729" s="1">
        <f>IFERROR(__xludf.DUMMYFUNCTION("""COMPUTED_VALUE"""),7450.0)</f>
        <v>7450</v>
      </c>
      <c r="D729" s="1">
        <f>IFERROR(__xludf.DUMMYFUNCTION("""COMPUTED_VALUE"""),7100.0)</f>
        <v>7100</v>
      </c>
      <c r="E729" s="1">
        <f>IFERROR(__xludf.DUMMYFUNCTION("""COMPUTED_VALUE"""),7300.0)</f>
        <v>7300</v>
      </c>
      <c r="F729" s="1">
        <f>IFERROR(__xludf.DUMMYFUNCTION("""COMPUTED_VALUE"""),190671.0)</f>
        <v>190671</v>
      </c>
    </row>
    <row r="730">
      <c r="A730" s="2">
        <f>IFERROR(__xludf.DUMMYFUNCTION("""COMPUTED_VALUE"""),41988.64583333333)</f>
        <v>41988.64583</v>
      </c>
      <c r="B730" s="1">
        <f>IFERROR(__xludf.DUMMYFUNCTION("""COMPUTED_VALUE"""),7220.0)</f>
        <v>7220</v>
      </c>
      <c r="C730" s="1">
        <f>IFERROR(__xludf.DUMMYFUNCTION("""COMPUTED_VALUE"""),7590.0)</f>
        <v>7590</v>
      </c>
      <c r="D730" s="1">
        <f>IFERROR(__xludf.DUMMYFUNCTION("""COMPUTED_VALUE"""),7210.0)</f>
        <v>7210</v>
      </c>
      <c r="E730" s="1">
        <f>IFERROR(__xludf.DUMMYFUNCTION("""COMPUTED_VALUE"""),7290.0)</f>
        <v>7290</v>
      </c>
      <c r="F730" s="1">
        <f>IFERROR(__xludf.DUMMYFUNCTION("""COMPUTED_VALUE"""),96925.0)</f>
        <v>96925</v>
      </c>
    </row>
    <row r="731">
      <c r="A731" s="2">
        <f>IFERROR(__xludf.DUMMYFUNCTION("""COMPUTED_VALUE"""),41989.64583333333)</f>
        <v>41989.64583</v>
      </c>
      <c r="B731" s="1">
        <f>IFERROR(__xludf.DUMMYFUNCTION("""COMPUTED_VALUE"""),7240.0)</f>
        <v>7240</v>
      </c>
      <c r="C731" s="1">
        <f>IFERROR(__xludf.DUMMYFUNCTION("""COMPUTED_VALUE"""),7340.0)</f>
        <v>7340</v>
      </c>
      <c r="D731" s="1">
        <f>IFERROR(__xludf.DUMMYFUNCTION("""COMPUTED_VALUE"""),7000.0)</f>
        <v>7000</v>
      </c>
      <c r="E731" s="1">
        <f>IFERROR(__xludf.DUMMYFUNCTION("""COMPUTED_VALUE"""),7180.0)</f>
        <v>7180</v>
      </c>
      <c r="F731" s="1">
        <f>IFERROR(__xludf.DUMMYFUNCTION("""COMPUTED_VALUE"""),107498.0)</f>
        <v>107498</v>
      </c>
    </row>
    <row r="732">
      <c r="A732" s="2">
        <f>IFERROR(__xludf.DUMMYFUNCTION("""COMPUTED_VALUE"""),41990.64583333333)</f>
        <v>41990.64583</v>
      </c>
      <c r="B732" s="1">
        <f>IFERROR(__xludf.DUMMYFUNCTION("""COMPUTED_VALUE"""),7100.0)</f>
        <v>7100</v>
      </c>
      <c r="C732" s="1">
        <f>IFERROR(__xludf.DUMMYFUNCTION("""COMPUTED_VALUE"""),7530.0)</f>
        <v>7530</v>
      </c>
      <c r="D732" s="1">
        <f>IFERROR(__xludf.DUMMYFUNCTION("""COMPUTED_VALUE"""),7100.0)</f>
        <v>7100</v>
      </c>
      <c r="E732" s="1">
        <f>IFERROR(__xludf.DUMMYFUNCTION("""COMPUTED_VALUE"""),7350.0)</f>
        <v>7350</v>
      </c>
      <c r="F732" s="1">
        <f>IFERROR(__xludf.DUMMYFUNCTION("""COMPUTED_VALUE"""),173537.0)</f>
        <v>173537</v>
      </c>
    </row>
    <row r="733">
      <c r="A733" s="2">
        <f>IFERROR(__xludf.DUMMYFUNCTION("""COMPUTED_VALUE"""),41991.64583333333)</f>
        <v>41991.64583</v>
      </c>
      <c r="B733" s="1">
        <f>IFERROR(__xludf.DUMMYFUNCTION("""COMPUTED_VALUE"""),7450.0)</f>
        <v>7450</v>
      </c>
      <c r="C733" s="1">
        <f>IFERROR(__xludf.DUMMYFUNCTION("""COMPUTED_VALUE"""),7450.0)</f>
        <v>7450</v>
      </c>
      <c r="D733" s="1">
        <f>IFERROR(__xludf.DUMMYFUNCTION("""COMPUTED_VALUE"""),6900.0)</f>
        <v>6900</v>
      </c>
      <c r="E733" s="1">
        <f>IFERROR(__xludf.DUMMYFUNCTION("""COMPUTED_VALUE"""),7030.0)</f>
        <v>7030</v>
      </c>
      <c r="F733" s="1">
        <f>IFERROR(__xludf.DUMMYFUNCTION("""COMPUTED_VALUE"""),117335.0)</f>
        <v>117335</v>
      </c>
    </row>
    <row r="734">
      <c r="A734" s="2">
        <f>IFERROR(__xludf.DUMMYFUNCTION("""COMPUTED_VALUE"""),41992.64583333333)</f>
        <v>41992.64583</v>
      </c>
      <c r="B734" s="1">
        <f>IFERROR(__xludf.DUMMYFUNCTION("""COMPUTED_VALUE"""),7060.0)</f>
        <v>7060</v>
      </c>
      <c r="C734" s="1">
        <f>IFERROR(__xludf.DUMMYFUNCTION("""COMPUTED_VALUE"""),7240.0)</f>
        <v>7240</v>
      </c>
      <c r="D734" s="1">
        <f>IFERROR(__xludf.DUMMYFUNCTION("""COMPUTED_VALUE"""),6960.0)</f>
        <v>6960</v>
      </c>
      <c r="E734" s="1">
        <f>IFERROR(__xludf.DUMMYFUNCTION("""COMPUTED_VALUE"""),7130.0)</f>
        <v>7130</v>
      </c>
      <c r="F734" s="1">
        <f>IFERROR(__xludf.DUMMYFUNCTION("""COMPUTED_VALUE"""),51166.0)</f>
        <v>51166</v>
      </c>
    </row>
    <row r="735">
      <c r="A735" s="2">
        <f>IFERROR(__xludf.DUMMYFUNCTION("""COMPUTED_VALUE"""),41995.64583333333)</f>
        <v>41995.64583</v>
      </c>
      <c r="B735" s="1">
        <f>IFERROR(__xludf.DUMMYFUNCTION("""COMPUTED_VALUE"""),7250.0)</f>
        <v>7250</v>
      </c>
      <c r="C735" s="1">
        <f>IFERROR(__xludf.DUMMYFUNCTION("""COMPUTED_VALUE"""),7250.0)</f>
        <v>7250</v>
      </c>
      <c r="D735" s="1">
        <f>IFERROR(__xludf.DUMMYFUNCTION("""COMPUTED_VALUE"""),7030.0)</f>
        <v>7030</v>
      </c>
      <c r="E735" s="1">
        <f>IFERROR(__xludf.DUMMYFUNCTION("""COMPUTED_VALUE"""),7150.0)</f>
        <v>7150</v>
      </c>
      <c r="F735" s="1">
        <f>IFERROR(__xludf.DUMMYFUNCTION("""COMPUTED_VALUE"""),45300.0)</f>
        <v>45300</v>
      </c>
    </row>
    <row r="736">
      <c r="A736" s="2">
        <f>IFERROR(__xludf.DUMMYFUNCTION("""COMPUTED_VALUE"""),41996.64583333333)</f>
        <v>41996.64583</v>
      </c>
      <c r="B736" s="1">
        <f>IFERROR(__xludf.DUMMYFUNCTION("""COMPUTED_VALUE"""),7150.0)</f>
        <v>7150</v>
      </c>
      <c r="C736" s="1">
        <f>IFERROR(__xludf.DUMMYFUNCTION("""COMPUTED_VALUE"""),7220.0)</f>
        <v>7220</v>
      </c>
      <c r="D736" s="1">
        <f>IFERROR(__xludf.DUMMYFUNCTION("""COMPUTED_VALUE"""),6800.0)</f>
        <v>6800</v>
      </c>
      <c r="E736" s="1">
        <f>IFERROR(__xludf.DUMMYFUNCTION("""COMPUTED_VALUE"""),6800.0)</f>
        <v>6800</v>
      </c>
      <c r="F736" s="1">
        <f>IFERROR(__xludf.DUMMYFUNCTION("""COMPUTED_VALUE"""),111253.0)</f>
        <v>111253</v>
      </c>
    </row>
    <row r="737">
      <c r="A737" s="2">
        <f>IFERROR(__xludf.DUMMYFUNCTION("""COMPUTED_VALUE"""),41997.64583333333)</f>
        <v>41997.64583</v>
      </c>
      <c r="B737" s="1">
        <f>IFERROR(__xludf.DUMMYFUNCTION("""COMPUTED_VALUE"""),6770.0)</f>
        <v>6770</v>
      </c>
      <c r="C737" s="1">
        <f>IFERROR(__xludf.DUMMYFUNCTION("""COMPUTED_VALUE"""),6890.0)</f>
        <v>6890</v>
      </c>
      <c r="D737" s="1">
        <f>IFERROR(__xludf.DUMMYFUNCTION("""COMPUTED_VALUE"""),6670.0)</f>
        <v>6670</v>
      </c>
      <c r="E737" s="1">
        <f>IFERROR(__xludf.DUMMYFUNCTION("""COMPUTED_VALUE"""),6730.0)</f>
        <v>6730</v>
      </c>
      <c r="F737" s="1">
        <f>IFERROR(__xludf.DUMMYFUNCTION("""COMPUTED_VALUE"""),55823.0)</f>
        <v>55823</v>
      </c>
    </row>
    <row r="738">
      <c r="A738" s="2">
        <f>IFERROR(__xludf.DUMMYFUNCTION("""COMPUTED_VALUE"""),41999.64583333333)</f>
        <v>41999.64583</v>
      </c>
      <c r="B738" s="1">
        <f>IFERROR(__xludf.DUMMYFUNCTION("""COMPUTED_VALUE"""),6730.0)</f>
        <v>6730</v>
      </c>
      <c r="C738" s="1">
        <f>IFERROR(__xludf.DUMMYFUNCTION("""COMPUTED_VALUE"""),6800.0)</f>
        <v>6800</v>
      </c>
      <c r="D738" s="1">
        <f>IFERROR(__xludf.DUMMYFUNCTION("""COMPUTED_VALUE"""),6530.0)</f>
        <v>6530</v>
      </c>
      <c r="E738" s="1">
        <f>IFERROR(__xludf.DUMMYFUNCTION("""COMPUTED_VALUE"""),6600.0)</f>
        <v>6600</v>
      </c>
      <c r="F738" s="1">
        <f>IFERROR(__xludf.DUMMYFUNCTION("""COMPUTED_VALUE"""),105233.0)</f>
        <v>105233</v>
      </c>
    </row>
    <row r="739">
      <c r="A739" s="2">
        <f>IFERROR(__xludf.DUMMYFUNCTION("""COMPUTED_VALUE"""),42002.64583333333)</f>
        <v>42002.64583</v>
      </c>
      <c r="B739" s="1">
        <f>IFERROR(__xludf.DUMMYFUNCTION("""COMPUTED_VALUE"""),6610.0)</f>
        <v>6610</v>
      </c>
      <c r="C739" s="1">
        <f>IFERROR(__xludf.DUMMYFUNCTION("""COMPUTED_VALUE"""),6840.0)</f>
        <v>6840</v>
      </c>
      <c r="D739" s="1">
        <f>IFERROR(__xludf.DUMMYFUNCTION("""COMPUTED_VALUE"""),6530.0)</f>
        <v>6530</v>
      </c>
      <c r="E739" s="1">
        <f>IFERROR(__xludf.DUMMYFUNCTION("""COMPUTED_VALUE"""),6800.0)</f>
        <v>6800</v>
      </c>
      <c r="F739" s="1">
        <f>IFERROR(__xludf.DUMMYFUNCTION("""COMPUTED_VALUE"""),31218.0)</f>
        <v>31218</v>
      </c>
    </row>
    <row r="740">
      <c r="A740" s="2">
        <f>IFERROR(__xludf.DUMMYFUNCTION("""COMPUTED_VALUE"""),42003.64583333333)</f>
        <v>42003.64583</v>
      </c>
      <c r="B740" s="1">
        <f>IFERROR(__xludf.DUMMYFUNCTION("""COMPUTED_VALUE"""),6790.0)</f>
        <v>6790</v>
      </c>
      <c r="C740" s="1">
        <f>IFERROR(__xludf.DUMMYFUNCTION("""COMPUTED_VALUE"""),6840.0)</f>
        <v>6840</v>
      </c>
      <c r="D740" s="1">
        <f>IFERROR(__xludf.DUMMYFUNCTION("""COMPUTED_VALUE"""),6620.0)</f>
        <v>6620</v>
      </c>
      <c r="E740" s="1">
        <f>IFERROR(__xludf.DUMMYFUNCTION("""COMPUTED_VALUE"""),6720.0)</f>
        <v>6720</v>
      </c>
      <c r="F740" s="1">
        <f>IFERROR(__xludf.DUMMYFUNCTION("""COMPUTED_VALUE"""),54766.0)</f>
        <v>54766</v>
      </c>
    </row>
    <row r="741">
      <c r="A741" s="2">
        <f>IFERROR(__xludf.DUMMYFUNCTION("""COMPUTED_VALUE"""),42006.64583333333)</f>
        <v>42006.64583</v>
      </c>
      <c r="B741" s="1">
        <f>IFERROR(__xludf.DUMMYFUNCTION("""COMPUTED_VALUE"""),6780.0)</f>
        <v>6780</v>
      </c>
      <c r="C741" s="1">
        <f>IFERROR(__xludf.DUMMYFUNCTION("""COMPUTED_VALUE"""),6780.0)</f>
        <v>6780</v>
      </c>
      <c r="D741" s="1">
        <f>IFERROR(__xludf.DUMMYFUNCTION("""COMPUTED_VALUE"""),6550.0)</f>
        <v>6550</v>
      </c>
      <c r="E741" s="1">
        <f>IFERROR(__xludf.DUMMYFUNCTION("""COMPUTED_VALUE"""),6700.0)</f>
        <v>6700</v>
      </c>
      <c r="F741" s="1">
        <f>IFERROR(__xludf.DUMMYFUNCTION("""COMPUTED_VALUE"""),26466.0)</f>
        <v>26466</v>
      </c>
    </row>
    <row r="742">
      <c r="A742" s="2">
        <f>IFERROR(__xludf.DUMMYFUNCTION("""COMPUTED_VALUE"""),42009.64583333333)</f>
        <v>42009.64583</v>
      </c>
      <c r="B742" s="1">
        <f>IFERROR(__xludf.DUMMYFUNCTION("""COMPUTED_VALUE"""),6770.0)</f>
        <v>6770</v>
      </c>
      <c r="C742" s="1">
        <f>IFERROR(__xludf.DUMMYFUNCTION("""COMPUTED_VALUE"""),7200.0)</f>
        <v>7200</v>
      </c>
      <c r="D742" s="1">
        <f>IFERROR(__xludf.DUMMYFUNCTION("""COMPUTED_VALUE"""),6710.0)</f>
        <v>6710</v>
      </c>
      <c r="E742" s="1">
        <f>IFERROR(__xludf.DUMMYFUNCTION("""COMPUTED_VALUE"""),7100.0)</f>
        <v>7100</v>
      </c>
      <c r="F742" s="1">
        <f>IFERROR(__xludf.DUMMYFUNCTION("""COMPUTED_VALUE"""),150018.0)</f>
        <v>150018</v>
      </c>
    </row>
    <row r="743">
      <c r="A743" s="2">
        <f>IFERROR(__xludf.DUMMYFUNCTION("""COMPUTED_VALUE"""),42010.64583333333)</f>
        <v>42010.64583</v>
      </c>
      <c r="B743" s="1">
        <f>IFERROR(__xludf.DUMMYFUNCTION("""COMPUTED_VALUE"""),7190.0)</f>
        <v>7190</v>
      </c>
      <c r="C743" s="1">
        <f>IFERROR(__xludf.DUMMYFUNCTION("""COMPUTED_VALUE"""),7290.0)</f>
        <v>7290</v>
      </c>
      <c r="D743" s="1">
        <f>IFERROR(__xludf.DUMMYFUNCTION("""COMPUTED_VALUE"""),7060.0)</f>
        <v>7060</v>
      </c>
      <c r="E743" s="1">
        <f>IFERROR(__xludf.DUMMYFUNCTION("""COMPUTED_VALUE"""),7130.0)</f>
        <v>7130</v>
      </c>
      <c r="F743" s="1">
        <f>IFERROR(__xludf.DUMMYFUNCTION("""COMPUTED_VALUE"""),102595.0)</f>
        <v>102595</v>
      </c>
    </row>
    <row r="744">
      <c r="A744" s="2">
        <f>IFERROR(__xludf.DUMMYFUNCTION("""COMPUTED_VALUE"""),42012.64583333333)</f>
        <v>42012.64583</v>
      </c>
      <c r="B744" s="1">
        <f>IFERROR(__xludf.DUMMYFUNCTION("""COMPUTED_VALUE"""),7180.0)</f>
        <v>7180</v>
      </c>
      <c r="C744" s="1">
        <f>IFERROR(__xludf.DUMMYFUNCTION("""COMPUTED_VALUE"""),7640.0)</f>
        <v>7640</v>
      </c>
      <c r="D744" s="1">
        <f>IFERROR(__xludf.DUMMYFUNCTION("""COMPUTED_VALUE"""),7170.0)</f>
        <v>7170</v>
      </c>
      <c r="E744" s="1">
        <f>IFERROR(__xludf.DUMMYFUNCTION("""COMPUTED_VALUE"""),7600.0)</f>
        <v>7600</v>
      </c>
      <c r="F744" s="1">
        <f>IFERROR(__xludf.DUMMYFUNCTION("""COMPUTED_VALUE"""),238687.0)</f>
        <v>238687</v>
      </c>
    </row>
    <row r="745">
      <c r="A745" s="2">
        <f>IFERROR(__xludf.DUMMYFUNCTION("""COMPUTED_VALUE"""),42013.64583333333)</f>
        <v>42013.64583</v>
      </c>
      <c r="B745" s="1">
        <f>IFERROR(__xludf.DUMMYFUNCTION("""COMPUTED_VALUE"""),7600.0)</f>
        <v>7600</v>
      </c>
      <c r="C745" s="1">
        <f>IFERROR(__xludf.DUMMYFUNCTION("""COMPUTED_VALUE"""),7950.0)</f>
        <v>7950</v>
      </c>
      <c r="D745" s="1">
        <f>IFERROR(__xludf.DUMMYFUNCTION("""COMPUTED_VALUE"""),7450.0)</f>
        <v>7450</v>
      </c>
      <c r="E745" s="1">
        <f>IFERROR(__xludf.DUMMYFUNCTION("""COMPUTED_VALUE"""),7950.0)</f>
        <v>7950</v>
      </c>
      <c r="F745" s="1">
        <f>IFERROR(__xludf.DUMMYFUNCTION("""COMPUTED_VALUE"""),207490.0)</f>
        <v>207490</v>
      </c>
    </row>
    <row r="746">
      <c r="A746" s="2">
        <f>IFERROR(__xludf.DUMMYFUNCTION("""COMPUTED_VALUE"""),42016.64583333333)</f>
        <v>42016.64583</v>
      </c>
      <c r="B746" s="1">
        <f>IFERROR(__xludf.DUMMYFUNCTION("""COMPUTED_VALUE"""),7800.0)</f>
        <v>7800</v>
      </c>
      <c r="C746" s="1">
        <f>IFERROR(__xludf.DUMMYFUNCTION("""COMPUTED_VALUE"""),7990.0)</f>
        <v>7990</v>
      </c>
      <c r="D746" s="1">
        <f>IFERROR(__xludf.DUMMYFUNCTION("""COMPUTED_VALUE"""),7750.0)</f>
        <v>7750</v>
      </c>
      <c r="E746" s="1">
        <f>IFERROR(__xludf.DUMMYFUNCTION("""COMPUTED_VALUE"""),7840.0)</f>
        <v>7840</v>
      </c>
      <c r="F746" s="1">
        <f>IFERROR(__xludf.DUMMYFUNCTION("""COMPUTED_VALUE"""),100596.0)</f>
        <v>100596</v>
      </c>
    </row>
    <row r="747">
      <c r="A747" s="2">
        <f>IFERROR(__xludf.DUMMYFUNCTION("""COMPUTED_VALUE"""),42017.64583333333)</f>
        <v>42017.64583</v>
      </c>
      <c r="B747" s="1">
        <f>IFERROR(__xludf.DUMMYFUNCTION("""COMPUTED_VALUE"""),7950.0)</f>
        <v>7950</v>
      </c>
      <c r="C747" s="1">
        <f>IFERROR(__xludf.DUMMYFUNCTION("""COMPUTED_VALUE"""),7950.0)</f>
        <v>7950</v>
      </c>
      <c r="D747" s="1">
        <f>IFERROR(__xludf.DUMMYFUNCTION("""COMPUTED_VALUE"""),7640.0)</f>
        <v>7640</v>
      </c>
      <c r="E747" s="1">
        <f>IFERROR(__xludf.DUMMYFUNCTION("""COMPUTED_VALUE"""),7840.0)</f>
        <v>7840</v>
      </c>
      <c r="F747" s="1">
        <f>IFERROR(__xludf.DUMMYFUNCTION("""COMPUTED_VALUE"""),89491.0)</f>
        <v>89491</v>
      </c>
    </row>
    <row r="748">
      <c r="A748" s="2">
        <f>IFERROR(__xludf.DUMMYFUNCTION("""COMPUTED_VALUE"""),42018.64583333333)</f>
        <v>42018.64583</v>
      </c>
      <c r="B748" s="1">
        <f>IFERROR(__xludf.DUMMYFUNCTION("""COMPUTED_VALUE"""),7790.0)</f>
        <v>7790</v>
      </c>
      <c r="C748" s="1">
        <f>IFERROR(__xludf.DUMMYFUNCTION("""COMPUTED_VALUE"""),7830.0)</f>
        <v>7830</v>
      </c>
      <c r="D748" s="1">
        <f>IFERROR(__xludf.DUMMYFUNCTION("""COMPUTED_VALUE"""),7440.0)</f>
        <v>7440</v>
      </c>
      <c r="E748" s="1">
        <f>IFERROR(__xludf.DUMMYFUNCTION("""COMPUTED_VALUE"""),7550.0)</f>
        <v>7550</v>
      </c>
      <c r="F748" s="1">
        <f>IFERROR(__xludf.DUMMYFUNCTION("""COMPUTED_VALUE"""),104716.0)</f>
        <v>104716</v>
      </c>
    </row>
    <row r="749">
      <c r="A749" s="2">
        <f>IFERROR(__xludf.DUMMYFUNCTION("""COMPUTED_VALUE"""),42019.64583333333)</f>
        <v>42019.64583</v>
      </c>
      <c r="B749" s="1">
        <f>IFERROR(__xludf.DUMMYFUNCTION("""COMPUTED_VALUE"""),7470.0)</f>
        <v>7470</v>
      </c>
      <c r="C749" s="1">
        <f>IFERROR(__xludf.DUMMYFUNCTION("""COMPUTED_VALUE"""),7760.0)</f>
        <v>7760</v>
      </c>
      <c r="D749" s="1">
        <f>IFERROR(__xludf.DUMMYFUNCTION("""COMPUTED_VALUE"""),7470.0)</f>
        <v>7470</v>
      </c>
      <c r="E749" s="1">
        <f>IFERROR(__xludf.DUMMYFUNCTION("""COMPUTED_VALUE"""),7600.0)</f>
        <v>7600</v>
      </c>
      <c r="F749" s="1">
        <f>IFERROR(__xludf.DUMMYFUNCTION("""COMPUTED_VALUE"""),54864.0)</f>
        <v>54864</v>
      </c>
    </row>
    <row r="750">
      <c r="A750" s="2">
        <f>IFERROR(__xludf.DUMMYFUNCTION("""COMPUTED_VALUE"""),42020.64583333333)</f>
        <v>42020.64583</v>
      </c>
      <c r="B750" s="1">
        <f>IFERROR(__xludf.DUMMYFUNCTION("""COMPUTED_VALUE"""),7600.0)</f>
        <v>7600</v>
      </c>
      <c r="C750" s="1">
        <f>IFERROR(__xludf.DUMMYFUNCTION("""COMPUTED_VALUE"""),7600.0)</f>
        <v>7600</v>
      </c>
      <c r="D750" s="1">
        <f>IFERROR(__xludf.DUMMYFUNCTION("""COMPUTED_VALUE"""),7370.0)</f>
        <v>7370</v>
      </c>
      <c r="E750" s="1">
        <f>IFERROR(__xludf.DUMMYFUNCTION("""COMPUTED_VALUE"""),7490.0)</f>
        <v>7490</v>
      </c>
      <c r="F750" s="1">
        <f>IFERROR(__xludf.DUMMYFUNCTION("""COMPUTED_VALUE"""),56660.0)</f>
        <v>56660</v>
      </c>
    </row>
    <row r="751">
      <c r="A751" s="2">
        <f>IFERROR(__xludf.DUMMYFUNCTION("""COMPUTED_VALUE"""),42023.64583333333)</f>
        <v>42023.64583</v>
      </c>
      <c r="B751" s="1">
        <f>IFERROR(__xludf.DUMMYFUNCTION("""COMPUTED_VALUE"""),7610.0)</f>
        <v>7610</v>
      </c>
      <c r="C751" s="1">
        <f>IFERROR(__xludf.DUMMYFUNCTION("""COMPUTED_VALUE"""),7610.0)</f>
        <v>7610</v>
      </c>
      <c r="D751" s="1">
        <f>IFERROR(__xludf.DUMMYFUNCTION("""COMPUTED_VALUE"""),7320.0)</f>
        <v>7320</v>
      </c>
      <c r="E751" s="1">
        <f>IFERROR(__xludf.DUMMYFUNCTION("""COMPUTED_VALUE"""),7450.0)</f>
        <v>7450</v>
      </c>
      <c r="F751" s="1">
        <f>IFERROR(__xludf.DUMMYFUNCTION("""COMPUTED_VALUE"""),58579.0)</f>
        <v>58579</v>
      </c>
    </row>
    <row r="752">
      <c r="A752" s="2">
        <f>IFERROR(__xludf.DUMMYFUNCTION("""COMPUTED_VALUE"""),42024.64583333333)</f>
        <v>42024.64583</v>
      </c>
      <c r="B752" s="1">
        <f>IFERROR(__xludf.DUMMYFUNCTION("""COMPUTED_VALUE"""),7410.0)</f>
        <v>7410</v>
      </c>
      <c r="C752" s="1">
        <f>IFERROR(__xludf.DUMMYFUNCTION("""COMPUTED_VALUE"""),7620.0)</f>
        <v>7620</v>
      </c>
      <c r="D752" s="1">
        <f>IFERROR(__xludf.DUMMYFUNCTION("""COMPUTED_VALUE"""),7390.0)</f>
        <v>7390</v>
      </c>
      <c r="E752" s="1">
        <f>IFERROR(__xludf.DUMMYFUNCTION("""COMPUTED_VALUE"""),7580.0)</f>
        <v>7580</v>
      </c>
      <c r="F752" s="1">
        <f>IFERROR(__xludf.DUMMYFUNCTION("""COMPUTED_VALUE"""),53686.0)</f>
        <v>53686</v>
      </c>
    </row>
    <row r="753">
      <c r="A753" s="2">
        <f>IFERROR(__xludf.DUMMYFUNCTION("""COMPUTED_VALUE"""),42025.64583333333)</f>
        <v>42025.64583</v>
      </c>
      <c r="B753" s="1">
        <f>IFERROR(__xludf.DUMMYFUNCTION("""COMPUTED_VALUE"""),7530.0)</f>
        <v>7530</v>
      </c>
      <c r="C753" s="1">
        <f>IFERROR(__xludf.DUMMYFUNCTION("""COMPUTED_VALUE"""),7650.0)</f>
        <v>7650</v>
      </c>
      <c r="D753" s="1">
        <f>IFERROR(__xludf.DUMMYFUNCTION("""COMPUTED_VALUE"""),7380.0)</f>
        <v>7380</v>
      </c>
      <c r="E753" s="1">
        <f>IFERROR(__xludf.DUMMYFUNCTION("""COMPUTED_VALUE"""),7500.0)</f>
        <v>7500</v>
      </c>
      <c r="F753" s="1">
        <f>IFERROR(__xludf.DUMMYFUNCTION("""COMPUTED_VALUE"""),64253.0)</f>
        <v>64253</v>
      </c>
    </row>
    <row r="754">
      <c r="A754" s="2">
        <f>IFERROR(__xludf.DUMMYFUNCTION("""COMPUTED_VALUE"""),42026.64583333333)</f>
        <v>42026.64583</v>
      </c>
      <c r="B754" s="1">
        <f>IFERROR(__xludf.DUMMYFUNCTION("""COMPUTED_VALUE"""),7420.0)</f>
        <v>7420</v>
      </c>
      <c r="C754" s="1">
        <f>IFERROR(__xludf.DUMMYFUNCTION("""COMPUTED_VALUE"""),7750.0)</f>
        <v>7750</v>
      </c>
      <c r="D754" s="1">
        <f>IFERROR(__xludf.DUMMYFUNCTION("""COMPUTED_VALUE"""),7330.0)</f>
        <v>7330</v>
      </c>
      <c r="E754" s="1">
        <f>IFERROR(__xludf.DUMMYFUNCTION("""COMPUTED_VALUE"""),7750.0)</f>
        <v>7750</v>
      </c>
      <c r="F754" s="1">
        <f>IFERROR(__xludf.DUMMYFUNCTION("""COMPUTED_VALUE"""),120013.0)</f>
        <v>120013</v>
      </c>
    </row>
    <row r="755">
      <c r="A755" s="2">
        <f>IFERROR(__xludf.DUMMYFUNCTION("""COMPUTED_VALUE"""),42027.64583333333)</f>
        <v>42027.64583</v>
      </c>
      <c r="B755" s="1">
        <f>IFERROR(__xludf.DUMMYFUNCTION("""COMPUTED_VALUE"""),7870.0)</f>
        <v>7870</v>
      </c>
      <c r="C755" s="1">
        <f>IFERROR(__xludf.DUMMYFUNCTION("""COMPUTED_VALUE"""),7870.0)</f>
        <v>7870</v>
      </c>
      <c r="D755" s="1">
        <f>IFERROR(__xludf.DUMMYFUNCTION("""COMPUTED_VALUE"""),7610.0)</f>
        <v>7610</v>
      </c>
      <c r="E755" s="1">
        <f>IFERROR(__xludf.DUMMYFUNCTION("""COMPUTED_VALUE"""),7650.0)</f>
        <v>7650</v>
      </c>
      <c r="F755" s="1">
        <f>IFERROR(__xludf.DUMMYFUNCTION("""COMPUTED_VALUE"""),58231.0)</f>
        <v>58231</v>
      </c>
    </row>
    <row r="756">
      <c r="A756" s="2">
        <f>IFERROR(__xludf.DUMMYFUNCTION("""COMPUTED_VALUE"""),42030.64583333333)</f>
        <v>42030.64583</v>
      </c>
      <c r="B756" s="1">
        <f>IFERROR(__xludf.DUMMYFUNCTION("""COMPUTED_VALUE"""),7630.0)</f>
        <v>7630</v>
      </c>
      <c r="C756" s="1">
        <f>IFERROR(__xludf.DUMMYFUNCTION("""COMPUTED_VALUE"""),7710.0)</f>
        <v>7710</v>
      </c>
      <c r="D756" s="1">
        <f>IFERROR(__xludf.DUMMYFUNCTION("""COMPUTED_VALUE"""),7480.0)</f>
        <v>7480</v>
      </c>
      <c r="E756" s="1">
        <f>IFERROR(__xludf.DUMMYFUNCTION("""COMPUTED_VALUE"""),7500.0)</f>
        <v>7500</v>
      </c>
      <c r="F756" s="1">
        <f>IFERROR(__xludf.DUMMYFUNCTION("""COMPUTED_VALUE"""),54565.0)</f>
        <v>54565</v>
      </c>
    </row>
    <row r="757">
      <c r="A757" s="2">
        <f>IFERROR(__xludf.DUMMYFUNCTION("""COMPUTED_VALUE"""),42031.64583333333)</f>
        <v>42031.64583</v>
      </c>
      <c r="B757" s="1">
        <f>IFERROR(__xludf.DUMMYFUNCTION("""COMPUTED_VALUE"""),7480.0)</f>
        <v>7480</v>
      </c>
      <c r="C757" s="1">
        <f>IFERROR(__xludf.DUMMYFUNCTION("""COMPUTED_VALUE"""),8620.0)</f>
        <v>8620</v>
      </c>
      <c r="D757" s="1">
        <f>IFERROR(__xludf.DUMMYFUNCTION("""COMPUTED_VALUE"""),7450.0)</f>
        <v>7450</v>
      </c>
      <c r="E757" s="1">
        <f>IFERROR(__xludf.DUMMYFUNCTION("""COMPUTED_VALUE"""),8620.0)</f>
        <v>8620</v>
      </c>
      <c r="F757" s="1">
        <f>IFERROR(__xludf.DUMMYFUNCTION("""COMPUTED_VALUE"""),619276.0)</f>
        <v>619276</v>
      </c>
    </row>
    <row r="758">
      <c r="A758" s="2">
        <f>IFERROR(__xludf.DUMMYFUNCTION("""COMPUTED_VALUE"""),42032.64583333333)</f>
        <v>42032.64583</v>
      </c>
      <c r="B758" s="1">
        <f>IFERROR(__xludf.DUMMYFUNCTION("""COMPUTED_VALUE"""),8900.0)</f>
        <v>8900</v>
      </c>
      <c r="C758" s="1">
        <f>IFERROR(__xludf.DUMMYFUNCTION("""COMPUTED_VALUE"""),9000.0)</f>
        <v>9000</v>
      </c>
      <c r="D758" s="1">
        <f>IFERROR(__xludf.DUMMYFUNCTION("""COMPUTED_VALUE"""),8470.0)</f>
        <v>8470</v>
      </c>
      <c r="E758" s="1">
        <f>IFERROR(__xludf.DUMMYFUNCTION("""COMPUTED_VALUE"""),8810.0)</f>
        <v>8810</v>
      </c>
      <c r="F758" s="1">
        <f>IFERROR(__xludf.DUMMYFUNCTION("""COMPUTED_VALUE"""),815136.0)</f>
        <v>815136</v>
      </c>
    </row>
    <row r="759">
      <c r="A759" s="2">
        <f>IFERROR(__xludf.DUMMYFUNCTION("""COMPUTED_VALUE"""),42033.64583333333)</f>
        <v>42033.64583</v>
      </c>
      <c r="B759" s="1">
        <f>IFERROR(__xludf.DUMMYFUNCTION("""COMPUTED_VALUE"""),8990.0)</f>
        <v>8990</v>
      </c>
      <c r="C759" s="1">
        <f>IFERROR(__xludf.DUMMYFUNCTION("""COMPUTED_VALUE"""),9780.0)</f>
        <v>9780</v>
      </c>
      <c r="D759" s="1">
        <f>IFERROR(__xludf.DUMMYFUNCTION("""COMPUTED_VALUE"""),8640.0)</f>
        <v>8640</v>
      </c>
      <c r="E759" s="1">
        <f>IFERROR(__xludf.DUMMYFUNCTION("""COMPUTED_VALUE"""),8670.0)</f>
        <v>8670</v>
      </c>
      <c r="F759" s="1">
        <f>IFERROR(__xludf.DUMMYFUNCTION("""COMPUTED_VALUE"""),1308225.0)</f>
        <v>1308225</v>
      </c>
    </row>
    <row r="760">
      <c r="A760" s="2">
        <f>IFERROR(__xludf.DUMMYFUNCTION("""COMPUTED_VALUE"""),42034.64583333333)</f>
        <v>42034.64583</v>
      </c>
      <c r="B760" s="1">
        <f>IFERROR(__xludf.DUMMYFUNCTION("""COMPUTED_VALUE"""),8970.0)</f>
        <v>8970</v>
      </c>
      <c r="C760" s="1">
        <f>IFERROR(__xludf.DUMMYFUNCTION("""COMPUTED_VALUE"""),9450.0)</f>
        <v>9450</v>
      </c>
      <c r="D760" s="1">
        <f>IFERROR(__xludf.DUMMYFUNCTION("""COMPUTED_VALUE"""),8900.0)</f>
        <v>8900</v>
      </c>
      <c r="E760" s="1">
        <f>IFERROR(__xludf.DUMMYFUNCTION("""COMPUTED_VALUE"""),9450.0)</f>
        <v>9450</v>
      </c>
      <c r="F760" s="1">
        <f>IFERROR(__xludf.DUMMYFUNCTION("""COMPUTED_VALUE"""),729222.0)</f>
        <v>729222</v>
      </c>
    </row>
    <row r="761">
      <c r="A761" s="2">
        <f>IFERROR(__xludf.DUMMYFUNCTION("""COMPUTED_VALUE"""),42037.64583333333)</f>
        <v>42037.64583</v>
      </c>
      <c r="B761" s="1">
        <f>IFERROR(__xludf.DUMMYFUNCTION("""COMPUTED_VALUE"""),9450.0)</f>
        <v>9450</v>
      </c>
      <c r="C761" s="1">
        <f>IFERROR(__xludf.DUMMYFUNCTION("""COMPUTED_VALUE"""),9740.0)</f>
        <v>9740</v>
      </c>
      <c r="D761" s="1">
        <f>IFERROR(__xludf.DUMMYFUNCTION("""COMPUTED_VALUE"""),9200.0)</f>
        <v>9200</v>
      </c>
      <c r="E761" s="1">
        <f>IFERROR(__xludf.DUMMYFUNCTION("""COMPUTED_VALUE"""),9380.0)</f>
        <v>9380</v>
      </c>
      <c r="F761" s="1">
        <f>IFERROR(__xludf.DUMMYFUNCTION("""COMPUTED_VALUE"""),327021.0)</f>
        <v>327021</v>
      </c>
    </row>
    <row r="762">
      <c r="A762" s="2">
        <f>IFERROR(__xludf.DUMMYFUNCTION("""COMPUTED_VALUE"""),42038.64583333333)</f>
        <v>42038.64583</v>
      </c>
      <c r="B762" s="1">
        <f>IFERROR(__xludf.DUMMYFUNCTION("""COMPUTED_VALUE"""),9300.0)</f>
        <v>9300</v>
      </c>
      <c r="C762" s="1">
        <f>IFERROR(__xludf.DUMMYFUNCTION("""COMPUTED_VALUE"""),9520.0)</f>
        <v>9520</v>
      </c>
      <c r="D762" s="1">
        <f>IFERROR(__xludf.DUMMYFUNCTION("""COMPUTED_VALUE"""),9110.0)</f>
        <v>9110</v>
      </c>
      <c r="E762" s="1">
        <f>IFERROR(__xludf.DUMMYFUNCTION("""COMPUTED_VALUE"""),9200.0)</f>
        <v>9200</v>
      </c>
      <c r="F762" s="1">
        <f>IFERROR(__xludf.DUMMYFUNCTION("""COMPUTED_VALUE"""),165014.0)</f>
        <v>165014</v>
      </c>
    </row>
    <row r="763">
      <c r="A763" s="2">
        <f>IFERROR(__xludf.DUMMYFUNCTION("""COMPUTED_VALUE"""),42039.64583333333)</f>
        <v>42039.64583</v>
      </c>
      <c r="B763" s="1">
        <f>IFERROR(__xludf.DUMMYFUNCTION("""COMPUTED_VALUE"""),9200.0)</f>
        <v>9200</v>
      </c>
      <c r="C763" s="1">
        <f>IFERROR(__xludf.DUMMYFUNCTION("""COMPUTED_VALUE"""),9970.0)</f>
        <v>9970</v>
      </c>
      <c r="D763" s="1">
        <f>IFERROR(__xludf.DUMMYFUNCTION("""COMPUTED_VALUE"""),9040.0)</f>
        <v>9040</v>
      </c>
      <c r="E763" s="1">
        <f>IFERROR(__xludf.DUMMYFUNCTION("""COMPUTED_VALUE"""),9750.0)</f>
        <v>9750</v>
      </c>
      <c r="F763" s="1">
        <f>IFERROR(__xludf.DUMMYFUNCTION("""COMPUTED_VALUE"""),746059.0)</f>
        <v>746059</v>
      </c>
    </row>
    <row r="764">
      <c r="A764" s="2">
        <f>IFERROR(__xludf.DUMMYFUNCTION("""COMPUTED_VALUE"""),42040.64583333333)</f>
        <v>42040.64583</v>
      </c>
      <c r="B764" s="1">
        <f>IFERROR(__xludf.DUMMYFUNCTION("""COMPUTED_VALUE"""),9760.0)</f>
        <v>9760</v>
      </c>
      <c r="C764" s="1">
        <f>IFERROR(__xludf.DUMMYFUNCTION("""COMPUTED_VALUE"""),10350.0)</f>
        <v>10350</v>
      </c>
      <c r="D764" s="1">
        <f>IFERROR(__xludf.DUMMYFUNCTION("""COMPUTED_VALUE"""),9580.0)</f>
        <v>9580</v>
      </c>
      <c r="E764" s="1">
        <f>IFERROR(__xludf.DUMMYFUNCTION("""COMPUTED_VALUE"""),10050.0)</f>
        <v>10050</v>
      </c>
      <c r="F764" s="1">
        <f>IFERROR(__xludf.DUMMYFUNCTION("""COMPUTED_VALUE"""),306906.0)</f>
        <v>306906</v>
      </c>
    </row>
    <row r="765">
      <c r="A765" s="2">
        <f>IFERROR(__xludf.DUMMYFUNCTION("""COMPUTED_VALUE"""),42041.64583333333)</f>
        <v>42041.64583</v>
      </c>
      <c r="B765" s="1">
        <f>IFERROR(__xludf.DUMMYFUNCTION("""COMPUTED_VALUE"""),10350.0)</f>
        <v>10350</v>
      </c>
      <c r="C765" s="1">
        <f>IFERROR(__xludf.DUMMYFUNCTION("""COMPUTED_VALUE"""),10550.0)</f>
        <v>10550</v>
      </c>
      <c r="D765" s="1">
        <f>IFERROR(__xludf.DUMMYFUNCTION("""COMPUTED_VALUE"""),9910.0)</f>
        <v>9910</v>
      </c>
      <c r="E765" s="1">
        <f>IFERROR(__xludf.DUMMYFUNCTION("""COMPUTED_VALUE"""),10000.0)</f>
        <v>10000</v>
      </c>
      <c r="F765" s="1">
        <f>IFERROR(__xludf.DUMMYFUNCTION("""COMPUTED_VALUE"""),246704.0)</f>
        <v>246704</v>
      </c>
    </row>
    <row r="766">
      <c r="A766" s="2">
        <f>IFERROR(__xludf.DUMMYFUNCTION("""COMPUTED_VALUE"""),42044.64583333333)</f>
        <v>42044.64583</v>
      </c>
      <c r="B766" s="1">
        <f>IFERROR(__xludf.DUMMYFUNCTION("""COMPUTED_VALUE"""),10100.0)</f>
        <v>10100</v>
      </c>
      <c r="C766" s="1">
        <f>IFERROR(__xludf.DUMMYFUNCTION("""COMPUTED_VALUE"""),10900.0)</f>
        <v>10900</v>
      </c>
      <c r="D766" s="1">
        <f>IFERROR(__xludf.DUMMYFUNCTION("""COMPUTED_VALUE"""),9600.0)</f>
        <v>9600</v>
      </c>
      <c r="E766" s="1">
        <f>IFERROR(__xludf.DUMMYFUNCTION("""COMPUTED_VALUE"""),10900.0)</f>
        <v>10900</v>
      </c>
      <c r="F766" s="1">
        <f>IFERROR(__xludf.DUMMYFUNCTION("""COMPUTED_VALUE"""),433663.0)</f>
        <v>433663</v>
      </c>
    </row>
    <row r="767">
      <c r="A767" s="2">
        <f>IFERROR(__xludf.DUMMYFUNCTION("""COMPUTED_VALUE"""),42045.64583333333)</f>
        <v>42045.64583</v>
      </c>
      <c r="B767" s="1">
        <f>IFERROR(__xludf.DUMMYFUNCTION("""COMPUTED_VALUE"""),11000.0)</f>
        <v>11000</v>
      </c>
      <c r="C767" s="1">
        <f>IFERROR(__xludf.DUMMYFUNCTION("""COMPUTED_VALUE"""),11050.0)</f>
        <v>11050</v>
      </c>
      <c r="D767" s="1">
        <f>IFERROR(__xludf.DUMMYFUNCTION("""COMPUTED_VALUE"""),10350.0)</f>
        <v>10350</v>
      </c>
      <c r="E767" s="1">
        <f>IFERROR(__xludf.DUMMYFUNCTION("""COMPUTED_VALUE"""),10800.0)</f>
        <v>10800</v>
      </c>
      <c r="F767" s="1">
        <f>IFERROR(__xludf.DUMMYFUNCTION("""COMPUTED_VALUE"""),291842.0)</f>
        <v>291842</v>
      </c>
    </row>
    <row r="768">
      <c r="A768" s="2">
        <f>IFERROR(__xludf.DUMMYFUNCTION("""COMPUTED_VALUE"""),42046.64583333333)</f>
        <v>42046.64583</v>
      </c>
      <c r="B768" s="1">
        <f>IFERROR(__xludf.DUMMYFUNCTION("""COMPUTED_VALUE"""),10850.0)</f>
        <v>10850</v>
      </c>
      <c r="C768" s="1">
        <f>IFERROR(__xludf.DUMMYFUNCTION("""COMPUTED_VALUE"""),11400.0)</f>
        <v>11400</v>
      </c>
      <c r="D768" s="1">
        <f>IFERROR(__xludf.DUMMYFUNCTION("""COMPUTED_VALUE"""),10500.0)</f>
        <v>10500</v>
      </c>
      <c r="E768" s="1">
        <f>IFERROR(__xludf.DUMMYFUNCTION("""COMPUTED_VALUE"""),10650.0)</f>
        <v>10650</v>
      </c>
      <c r="F768" s="1">
        <f>IFERROR(__xludf.DUMMYFUNCTION("""COMPUTED_VALUE"""),351902.0)</f>
        <v>351902</v>
      </c>
    </row>
    <row r="769">
      <c r="A769" s="2">
        <f>IFERROR(__xludf.DUMMYFUNCTION("""COMPUTED_VALUE"""),42047.64583333333)</f>
        <v>42047.64583</v>
      </c>
      <c r="B769" s="1">
        <f>IFERROR(__xludf.DUMMYFUNCTION("""COMPUTED_VALUE"""),10800.0)</f>
        <v>10800</v>
      </c>
      <c r="C769" s="1">
        <f>IFERROR(__xludf.DUMMYFUNCTION("""COMPUTED_VALUE"""),11100.0)</f>
        <v>11100</v>
      </c>
      <c r="D769" s="1">
        <f>IFERROR(__xludf.DUMMYFUNCTION("""COMPUTED_VALUE"""),10250.0)</f>
        <v>10250</v>
      </c>
      <c r="E769" s="1">
        <f>IFERROR(__xludf.DUMMYFUNCTION("""COMPUTED_VALUE"""),10550.0)</f>
        <v>10550</v>
      </c>
      <c r="F769" s="1">
        <f>IFERROR(__xludf.DUMMYFUNCTION("""COMPUTED_VALUE"""),204571.0)</f>
        <v>204571</v>
      </c>
    </row>
    <row r="770">
      <c r="A770" s="2">
        <f>IFERROR(__xludf.DUMMYFUNCTION("""COMPUTED_VALUE"""),42048.64583333333)</f>
        <v>42048.64583</v>
      </c>
      <c r="B770" s="1">
        <f>IFERROR(__xludf.DUMMYFUNCTION("""COMPUTED_VALUE"""),10750.0)</f>
        <v>10750</v>
      </c>
      <c r="C770" s="1">
        <f>IFERROR(__xludf.DUMMYFUNCTION("""COMPUTED_VALUE"""),10750.0)</f>
        <v>10750</v>
      </c>
      <c r="D770" s="1">
        <f>IFERROR(__xludf.DUMMYFUNCTION("""COMPUTED_VALUE"""),9960.0)</f>
        <v>9960</v>
      </c>
      <c r="E770" s="1">
        <f>IFERROR(__xludf.DUMMYFUNCTION("""COMPUTED_VALUE"""),10350.0)</f>
        <v>10350</v>
      </c>
      <c r="F770" s="1">
        <f>IFERROR(__xludf.DUMMYFUNCTION("""COMPUTED_VALUE"""),565685.0)</f>
        <v>565685</v>
      </c>
    </row>
    <row r="771">
      <c r="A771" s="2">
        <f>IFERROR(__xludf.DUMMYFUNCTION("""COMPUTED_VALUE"""),42051.64583333333)</f>
        <v>42051.64583</v>
      </c>
      <c r="B771" s="1">
        <f>IFERROR(__xludf.DUMMYFUNCTION("""COMPUTED_VALUE"""),10550.0)</f>
        <v>10550</v>
      </c>
      <c r="C771" s="1">
        <f>IFERROR(__xludf.DUMMYFUNCTION("""COMPUTED_VALUE"""),10700.0)</f>
        <v>10700</v>
      </c>
      <c r="D771" s="1">
        <f>IFERROR(__xludf.DUMMYFUNCTION("""COMPUTED_VALUE"""),10000.0)</f>
        <v>10000</v>
      </c>
      <c r="E771" s="1">
        <f>IFERROR(__xludf.DUMMYFUNCTION("""COMPUTED_VALUE"""),10400.0)</f>
        <v>10400</v>
      </c>
      <c r="F771" s="1">
        <f>IFERROR(__xludf.DUMMYFUNCTION("""COMPUTED_VALUE"""),429887.0)</f>
        <v>429887</v>
      </c>
    </row>
    <row r="772">
      <c r="A772" s="2">
        <f>IFERROR(__xludf.DUMMYFUNCTION("""COMPUTED_VALUE"""),42052.64583333333)</f>
        <v>42052.64583</v>
      </c>
      <c r="B772" s="1">
        <f>IFERROR(__xludf.DUMMYFUNCTION("""COMPUTED_VALUE"""),10500.0)</f>
        <v>10500</v>
      </c>
      <c r="C772" s="1">
        <f>IFERROR(__xludf.DUMMYFUNCTION("""COMPUTED_VALUE"""),10700.0)</f>
        <v>10700</v>
      </c>
      <c r="D772" s="1">
        <f>IFERROR(__xludf.DUMMYFUNCTION("""COMPUTED_VALUE"""),10250.0)</f>
        <v>10250</v>
      </c>
      <c r="E772" s="1">
        <f>IFERROR(__xludf.DUMMYFUNCTION("""COMPUTED_VALUE"""),10550.0)</f>
        <v>10550</v>
      </c>
      <c r="F772" s="1">
        <f>IFERROR(__xludf.DUMMYFUNCTION("""COMPUTED_VALUE"""),233371.0)</f>
        <v>233371</v>
      </c>
    </row>
    <row r="773">
      <c r="A773" s="2">
        <f>IFERROR(__xludf.DUMMYFUNCTION("""COMPUTED_VALUE"""),42058.64583333333)</f>
        <v>42058.64583</v>
      </c>
      <c r="B773" s="1">
        <f>IFERROR(__xludf.DUMMYFUNCTION("""COMPUTED_VALUE"""),10700.0)</f>
        <v>10700</v>
      </c>
      <c r="C773" s="1">
        <f>IFERROR(__xludf.DUMMYFUNCTION("""COMPUTED_VALUE"""),10950.0)</f>
        <v>10950</v>
      </c>
      <c r="D773" s="1">
        <f>IFERROR(__xludf.DUMMYFUNCTION("""COMPUTED_VALUE"""),10250.0)</f>
        <v>10250</v>
      </c>
      <c r="E773" s="1">
        <f>IFERROR(__xludf.DUMMYFUNCTION("""COMPUTED_VALUE"""),10250.0)</f>
        <v>10250</v>
      </c>
      <c r="F773" s="1">
        <f>IFERROR(__xludf.DUMMYFUNCTION("""COMPUTED_VALUE"""),227039.0)</f>
        <v>227039</v>
      </c>
    </row>
    <row r="774">
      <c r="A774" s="2">
        <f>IFERROR(__xludf.DUMMYFUNCTION("""COMPUTED_VALUE"""),42059.64583333333)</f>
        <v>42059.64583</v>
      </c>
      <c r="B774" s="1">
        <f>IFERROR(__xludf.DUMMYFUNCTION("""COMPUTED_VALUE"""),10300.0)</f>
        <v>10300</v>
      </c>
      <c r="C774" s="1">
        <f>IFERROR(__xludf.DUMMYFUNCTION("""COMPUTED_VALUE"""),10550.0)</f>
        <v>10550</v>
      </c>
      <c r="D774" s="1">
        <f>IFERROR(__xludf.DUMMYFUNCTION("""COMPUTED_VALUE"""),9970.0)</f>
        <v>9970</v>
      </c>
      <c r="E774" s="1">
        <f>IFERROR(__xludf.DUMMYFUNCTION("""COMPUTED_VALUE"""),10450.0)</f>
        <v>10450</v>
      </c>
      <c r="F774" s="1">
        <f>IFERROR(__xludf.DUMMYFUNCTION("""COMPUTED_VALUE"""),333138.0)</f>
        <v>333138</v>
      </c>
    </row>
    <row r="775">
      <c r="A775" s="2">
        <f>IFERROR(__xludf.DUMMYFUNCTION("""COMPUTED_VALUE"""),42060.64583333333)</f>
        <v>42060.64583</v>
      </c>
      <c r="B775" s="1">
        <f>IFERROR(__xludf.DUMMYFUNCTION("""COMPUTED_VALUE"""),10350.0)</f>
        <v>10350</v>
      </c>
      <c r="C775" s="1">
        <f>IFERROR(__xludf.DUMMYFUNCTION("""COMPUTED_VALUE"""),10400.0)</f>
        <v>10400</v>
      </c>
      <c r="D775" s="1">
        <f>IFERROR(__xludf.DUMMYFUNCTION("""COMPUTED_VALUE"""),10050.0)</f>
        <v>10050</v>
      </c>
      <c r="E775" s="1">
        <f>IFERROR(__xludf.DUMMYFUNCTION("""COMPUTED_VALUE"""),10300.0)</f>
        <v>10300</v>
      </c>
      <c r="F775" s="1">
        <f>IFERROR(__xludf.DUMMYFUNCTION("""COMPUTED_VALUE"""),151626.0)</f>
        <v>151626</v>
      </c>
    </row>
    <row r="776">
      <c r="A776" s="2">
        <f>IFERROR(__xludf.DUMMYFUNCTION("""COMPUTED_VALUE"""),42061.64583333333)</f>
        <v>42061.64583</v>
      </c>
      <c r="B776" s="1">
        <f>IFERROR(__xludf.DUMMYFUNCTION("""COMPUTED_VALUE"""),10400.0)</f>
        <v>10400</v>
      </c>
      <c r="C776" s="1">
        <f>IFERROR(__xludf.DUMMYFUNCTION("""COMPUTED_VALUE"""),10900.0)</f>
        <v>10900</v>
      </c>
      <c r="D776" s="1">
        <f>IFERROR(__xludf.DUMMYFUNCTION("""COMPUTED_VALUE"""),10100.0)</f>
        <v>10100</v>
      </c>
      <c r="E776" s="1">
        <f>IFERROR(__xludf.DUMMYFUNCTION("""COMPUTED_VALUE"""),10200.0)</f>
        <v>10200</v>
      </c>
      <c r="F776" s="1">
        <f>IFERROR(__xludf.DUMMYFUNCTION("""COMPUTED_VALUE"""),262418.0)</f>
        <v>262418</v>
      </c>
    </row>
    <row r="777">
      <c r="A777" s="2">
        <f>IFERROR(__xludf.DUMMYFUNCTION("""COMPUTED_VALUE"""),42062.64583333333)</f>
        <v>42062.64583</v>
      </c>
      <c r="B777" s="1">
        <f>IFERROR(__xludf.DUMMYFUNCTION("""COMPUTED_VALUE"""),10250.0)</f>
        <v>10250</v>
      </c>
      <c r="C777" s="1">
        <f>IFERROR(__xludf.DUMMYFUNCTION("""COMPUTED_VALUE"""),10400.0)</f>
        <v>10400</v>
      </c>
      <c r="D777" s="1">
        <f>IFERROR(__xludf.DUMMYFUNCTION("""COMPUTED_VALUE"""),10050.0)</f>
        <v>10050</v>
      </c>
      <c r="E777" s="1">
        <f>IFERROR(__xludf.DUMMYFUNCTION("""COMPUTED_VALUE"""),10350.0)</f>
        <v>10350</v>
      </c>
      <c r="F777" s="1">
        <f>IFERROR(__xludf.DUMMYFUNCTION("""COMPUTED_VALUE"""),127980.0)</f>
        <v>127980</v>
      </c>
    </row>
    <row r="778">
      <c r="A778" s="2">
        <f>IFERROR(__xludf.DUMMYFUNCTION("""COMPUTED_VALUE"""),42065.64583333333)</f>
        <v>42065.64583</v>
      </c>
      <c r="B778" s="1">
        <f>IFERROR(__xludf.DUMMYFUNCTION("""COMPUTED_VALUE"""),10300.0)</f>
        <v>10300</v>
      </c>
      <c r="C778" s="1">
        <f>IFERROR(__xludf.DUMMYFUNCTION("""COMPUTED_VALUE"""),10800.0)</f>
        <v>10800</v>
      </c>
      <c r="D778" s="1">
        <f>IFERROR(__xludf.DUMMYFUNCTION("""COMPUTED_VALUE"""),10200.0)</f>
        <v>10200</v>
      </c>
      <c r="E778" s="1">
        <f>IFERROR(__xludf.DUMMYFUNCTION("""COMPUTED_VALUE"""),10800.0)</f>
        <v>10800</v>
      </c>
      <c r="F778" s="1">
        <f>IFERROR(__xludf.DUMMYFUNCTION("""COMPUTED_VALUE"""),215027.0)</f>
        <v>215027</v>
      </c>
    </row>
    <row r="779">
      <c r="A779" s="2">
        <f>IFERROR(__xludf.DUMMYFUNCTION("""COMPUTED_VALUE"""),42066.64583333333)</f>
        <v>42066.64583</v>
      </c>
      <c r="B779" s="1">
        <f>IFERROR(__xludf.DUMMYFUNCTION("""COMPUTED_VALUE"""),10700.0)</f>
        <v>10700</v>
      </c>
      <c r="C779" s="1">
        <f>IFERROR(__xludf.DUMMYFUNCTION("""COMPUTED_VALUE"""),11200.0)</f>
        <v>11200</v>
      </c>
      <c r="D779" s="1">
        <f>IFERROR(__xludf.DUMMYFUNCTION("""COMPUTED_VALUE"""),10600.0)</f>
        <v>10600</v>
      </c>
      <c r="E779" s="1">
        <f>IFERROR(__xludf.DUMMYFUNCTION("""COMPUTED_VALUE"""),10700.0)</f>
        <v>10700</v>
      </c>
      <c r="F779" s="1">
        <f>IFERROR(__xludf.DUMMYFUNCTION("""COMPUTED_VALUE"""),172246.0)</f>
        <v>172246</v>
      </c>
    </row>
    <row r="780">
      <c r="A780" s="2">
        <f>IFERROR(__xludf.DUMMYFUNCTION("""COMPUTED_VALUE"""),42067.64583333333)</f>
        <v>42067.64583</v>
      </c>
      <c r="B780" s="1">
        <f>IFERROR(__xludf.DUMMYFUNCTION("""COMPUTED_VALUE"""),10600.0)</f>
        <v>10600</v>
      </c>
      <c r="C780" s="1">
        <f>IFERROR(__xludf.DUMMYFUNCTION("""COMPUTED_VALUE"""),10950.0)</f>
        <v>10950</v>
      </c>
      <c r="D780" s="1">
        <f>IFERROR(__xludf.DUMMYFUNCTION("""COMPUTED_VALUE"""),10550.0)</f>
        <v>10550</v>
      </c>
      <c r="E780" s="1">
        <f>IFERROR(__xludf.DUMMYFUNCTION("""COMPUTED_VALUE"""),10950.0)</f>
        <v>10950</v>
      </c>
      <c r="F780" s="1">
        <f>IFERROR(__xludf.DUMMYFUNCTION("""COMPUTED_VALUE"""),134809.0)</f>
        <v>134809</v>
      </c>
    </row>
    <row r="781">
      <c r="A781" s="2">
        <f>IFERROR(__xludf.DUMMYFUNCTION("""COMPUTED_VALUE"""),42068.64583333333)</f>
        <v>42068.64583</v>
      </c>
      <c r="B781" s="1">
        <f>IFERROR(__xludf.DUMMYFUNCTION("""COMPUTED_VALUE"""),10850.0)</f>
        <v>10850</v>
      </c>
      <c r="C781" s="1">
        <f>IFERROR(__xludf.DUMMYFUNCTION("""COMPUTED_VALUE"""),11200.0)</f>
        <v>11200</v>
      </c>
      <c r="D781" s="1">
        <f>IFERROR(__xludf.DUMMYFUNCTION("""COMPUTED_VALUE"""),10650.0)</f>
        <v>10650</v>
      </c>
      <c r="E781" s="1">
        <f>IFERROR(__xludf.DUMMYFUNCTION("""COMPUTED_VALUE"""),10750.0)</f>
        <v>10750</v>
      </c>
      <c r="F781" s="1">
        <f>IFERROR(__xludf.DUMMYFUNCTION("""COMPUTED_VALUE"""),96061.0)</f>
        <v>96061</v>
      </c>
    </row>
    <row r="782">
      <c r="A782" s="2">
        <f>IFERROR(__xludf.DUMMYFUNCTION("""COMPUTED_VALUE"""),42069.64583333333)</f>
        <v>42069.64583</v>
      </c>
      <c r="B782" s="1">
        <f>IFERROR(__xludf.DUMMYFUNCTION("""COMPUTED_VALUE"""),10850.0)</f>
        <v>10850</v>
      </c>
      <c r="C782" s="1">
        <f>IFERROR(__xludf.DUMMYFUNCTION("""COMPUTED_VALUE"""),10850.0)</f>
        <v>10850</v>
      </c>
      <c r="D782" s="1">
        <f>IFERROR(__xludf.DUMMYFUNCTION("""COMPUTED_VALUE"""),10150.0)</f>
        <v>10150</v>
      </c>
      <c r="E782" s="1">
        <f>IFERROR(__xludf.DUMMYFUNCTION("""COMPUTED_VALUE"""),10200.0)</f>
        <v>10200</v>
      </c>
      <c r="F782" s="1">
        <f>IFERROR(__xludf.DUMMYFUNCTION("""COMPUTED_VALUE"""),203193.0)</f>
        <v>203193</v>
      </c>
    </row>
    <row r="783">
      <c r="A783" s="2">
        <f>IFERROR(__xludf.DUMMYFUNCTION("""COMPUTED_VALUE"""),42072.64583333333)</f>
        <v>42072.64583</v>
      </c>
      <c r="B783" s="1">
        <f>IFERROR(__xludf.DUMMYFUNCTION("""COMPUTED_VALUE"""),10200.0)</f>
        <v>10200</v>
      </c>
      <c r="C783" s="1">
        <f>IFERROR(__xludf.DUMMYFUNCTION("""COMPUTED_VALUE"""),10200.0)</f>
        <v>10200</v>
      </c>
      <c r="D783" s="1">
        <f>IFERROR(__xludf.DUMMYFUNCTION("""COMPUTED_VALUE"""),9630.0)</f>
        <v>9630</v>
      </c>
      <c r="E783" s="1">
        <f>IFERROR(__xludf.DUMMYFUNCTION("""COMPUTED_VALUE"""),9650.0)</f>
        <v>9650</v>
      </c>
      <c r="F783" s="1">
        <f>IFERROR(__xludf.DUMMYFUNCTION("""COMPUTED_VALUE"""),284137.0)</f>
        <v>284137</v>
      </c>
    </row>
    <row r="784">
      <c r="A784" s="2">
        <f>IFERROR(__xludf.DUMMYFUNCTION("""COMPUTED_VALUE"""),42073.64583333333)</f>
        <v>42073.64583</v>
      </c>
      <c r="B784" s="1">
        <f>IFERROR(__xludf.DUMMYFUNCTION("""COMPUTED_VALUE"""),9620.0)</f>
        <v>9620</v>
      </c>
      <c r="C784" s="1">
        <f>IFERROR(__xludf.DUMMYFUNCTION("""COMPUTED_VALUE"""),9750.0)</f>
        <v>9750</v>
      </c>
      <c r="D784" s="1">
        <f>IFERROR(__xludf.DUMMYFUNCTION("""COMPUTED_VALUE"""),9400.0)</f>
        <v>9400</v>
      </c>
      <c r="E784" s="1">
        <f>IFERROR(__xludf.DUMMYFUNCTION("""COMPUTED_VALUE"""),9700.0)</f>
        <v>9700</v>
      </c>
      <c r="F784" s="1">
        <f>IFERROR(__xludf.DUMMYFUNCTION("""COMPUTED_VALUE"""),157413.0)</f>
        <v>157413</v>
      </c>
    </row>
    <row r="785">
      <c r="A785" s="2">
        <f>IFERROR(__xludf.DUMMYFUNCTION("""COMPUTED_VALUE"""),42074.64583333333)</f>
        <v>42074.64583</v>
      </c>
      <c r="B785" s="1">
        <f>IFERROR(__xludf.DUMMYFUNCTION("""COMPUTED_VALUE"""),9680.0)</f>
        <v>9680</v>
      </c>
      <c r="C785" s="1">
        <f>IFERROR(__xludf.DUMMYFUNCTION("""COMPUTED_VALUE"""),9680.0)</f>
        <v>9680</v>
      </c>
      <c r="D785" s="1">
        <f>IFERROR(__xludf.DUMMYFUNCTION("""COMPUTED_VALUE"""),9080.0)</f>
        <v>9080</v>
      </c>
      <c r="E785" s="1">
        <f>IFERROR(__xludf.DUMMYFUNCTION("""COMPUTED_VALUE"""),9440.0)</f>
        <v>9440</v>
      </c>
      <c r="F785" s="1">
        <f>IFERROR(__xludf.DUMMYFUNCTION("""COMPUTED_VALUE"""),394211.0)</f>
        <v>394211</v>
      </c>
    </row>
    <row r="786">
      <c r="A786" s="2">
        <f>IFERROR(__xludf.DUMMYFUNCTION("""COMPUTED_VALUE"""),42075.64583333333)</f>
        <v>42075.64583</v>
      </c>
      <c r="B786" s="1">
        <f>IFERROR(__xludf.DUMMYFUNCTION("""COMPUTED_VALUE"""),9320.0)</f>
        <v>9320</v>
      </c>
      <c r="C786" s="1">
        <f>IFERROR(__xludf.DUMMYFUNCTION("""COMPUTED_VALUE"""),9520.0)</f>
        <v>9520</v>
      </c>
      <c r="D786" s="1">
        <f>IFERROR(__xludf.DUMMYFUNCTION("""COMPUTED_VALUE"""),9320.0)</f>
        <v>9320</v>
      </c>
      <c r="E786" s="1">
        <f>IFERROR(__xludf.DUMMYFUNCTION("""COMPUTED_VALUE"""),9400.0)</f>
        <v>9400</v>
      </c>
      <c r="F786" s="1">
        <f>IFERROR(__xludf.DUMMYFUNCTION("""COMPUTED_VALUE"""),89579.0)</f>
        <v>89579</v>
      </c>
    </row>
    <row r="787">
      <c r="A787" s="2">
        <f>IFERROR(__xludf.DUMMYFUNCTION("""COMPUTED_VALUE"""),42076.64583333333)</f>
        <v>42076.64583</v>
      </c>
      <c r="B787" s="1">
        <f>IFERROR(__xludf.DUMMYFUNCTION("""COMPUTED_VALUE"""),9360.0)</f>
        <v>9360</v>
      </c>
      <c r="C787" s="1">
        <f>IFERROR(__xludf.DUMMYFUNCTION("""COMPUTED_VALUE"""),9500.0)</f>
        <v>9500</v>
      </c>
      <c r="D787" s="1">
        <f>IFERROR(__xludf.DUMMYFUNCTION("""COMPUTED_VALUE"""),9200.0)</f>
        <v>9200</v>
      </c>
      <c r="E787" s="1">
        <f>IFERROR(__xludf.DUMMYFUNCTION("""COMPUTED_VALUE"""),9300.0)</f>
        <v>9300</v>
      </c>
      <c r="F787" s="1">
        <f>IFERROR(__xludf.DUMMYFUNCTION("""COMPUTED_VALUE"""),91129.0)</f>
        <v>91129</v>
      </c>
    </row>
    <row r="788">
      <c r="A788" s="2">
        <f>IFERROR(__xludf.DUMMYFUNCTION("""COMPUTED_VALUE"""),42079.64583333333)</f>
        <v>42079.64583</v>
      </c>
      <c r="B788" s="1">
        <f>IFERROR(__xludf.DUMMYFUNCTION("""COMPUTED_VALUE"""),9400.0)</f>
        <v>9400</v>
      </c>
      <c r="C788" s="1">
        <f>IFERROR(__xludf.DUMMYFUNCTION("""COMPUTED_VALUE"""),9400.0)</f>
        <v>9400</v>
      </c>
      <c r="D788" s="1">
        <f>IFERROR(__xludf.DUMMYFUNCTION("""COMPUTED_VALUE"""),8940.0)</f>
        <v>8940</v>
      </c>
      <c r="E788" s="1">
        <f>IFERROR(__xludf.DUMMYFUNCTION("""COMPUTED_VALUE"""),9030.0)</f>
        <v>9030</v>
      </c>
      <c r="F788" s="1">
        <f>IFERROR(__xludf.DUMMYFUNCTION("""COMPUTED_VALUE"""),214095.0)</f>
        <v>214095</v>
      </c>
    </row>
    <row r="789">
      <c r="A789" s="2">
        <f>IFERROR(__xludf.DUMMYFUNCTION("""COMPUTED_VALUE"""),42080.64583333333)</f>
        <v>42080.64583</v>
      </c>
      <c r="B789" s="1">
        <f>IFERROR(__xludf.DUMMYFUNCTION("""COMPUTED_VALUE"""),9030.0)</f>
        <v>9030</v>
      </c>
      <c r="C789" s="1">
        <f>IFERROR(__xludf.DUMMYFUNCTION("""COMPUTED_VALUE"""),9310.0)</f>
        <v>9310</v>
      </c>
      <c r="D789" s="1">
        <f>IFERROR(__xludf.DUMMYFUNCTION("""COMPUTED_VALUE"""),8970.0)</f>
        <v>8970</v>
      </c>
      <c r="E789" s="1">
        <f>IFERROR(__xludf.DUMMYFUNCTION("""COMPUTED_VALUE"""),9030.0)</f>
        <v>9030</v>
      </c>
      <c r="F789" s="1">
        <f>IFERROR(__xludf.DUMMYFUNCTION("""COMPUTED_VALUE"""),196729.0)</f>
        <v>196729</v>
      </c>
    </row>
    <row r="790">
      <c r="A790" s="2">
        <f>IFERROR(__xludf.DUMMYFUNCTION("""COMPUTED_VALUE"""),42081.64583333333)</f>
        <v>42081.64583</v>
      </c>
      <c r="B790" s="1">
        <f>IFERROR(__xludf.DUMMYFUNCTION("""COMPUTED_VALUE"""),9020.0)</f>
        <v>9020</v>
      </c>
      <c r="C790" s="1">
        <f>IFERROR(__xludf.DUMMYFUNCTION("""COMPUTED_VALUE"""),9290.0)</f>
        <v>9290</v>
      </c>
      <c r="D790" s="1">
        <f>IFERROR(__xludf.DUMMYFUNCTION("""COMPUTED_VALUE"""),8960.0)</f>
        <v>8960</v>
      </c>
      <c r="E790" s="1">
        <f>IFERROR(__xludf.DUMMYFUNCTION("""COMPUTED_VALUE"""),9250.0)</f>
        <v>9250</v>
      </c>
      <c r="F790" s="1">
        <f>IFERROR(__xludf.DUMMYFUNCTION("""COMPUTED_VALUE"""),133877.0)</f>
        <v>133877</v>
      </c>
    </row>
    <row r="791">
      <c r="A791" s="2">
        <f>IFERROR(__xludf.DUMMYFUNCTION("""COMPUTED_VALUE"""),42082.64583333333)</f>
        <v>42082.64583</v>
      </c>
      <c r="B791" s="1">
        <f>IFERROR(__xludf.DUMMYFUNCTION("""COMPUTED_VALUE"""),9280.0)</f>
        <v>9280</v>
      </c>
      <c r="C791" s="1">
        <f>IFERROR(__xludf.DUMMYFUNCTION("""COMPUTED_VALUE"""),9350.0)</f>
        <v>9350</v>
      </c>
      <c r="D791" s="1">
        <f>IFERROR(__xludf.DUMMYFUNCTION("""COMPUTED_VALUE"""),8960.0)</f>
        <v>8960</v>
      </c>
      <c r="E791" s="1">
        <f>IFERROR(__xludf.DUMMYFUNCTION("""COMPUTED_VALUE"""),9100.0)</f>
        <v>9100</v>
      </c>
      <c r="F791" s="1">
        <f>IFERROR(__xludf.DUMMYFUNCTION("""COMPUTED_VALUE"""),156883.0)</f>
        <v>156883</v>
      </c>
    </row>
    <row r="792">
      <c r="A792" s="2">
        <f>IFERROR(__xludf.DUMMYFUNCTION("""COMPUTED_VALUE"""),42083.64583333333)</f>
        <v>42083.64583</v>
      </c>
      <c r="B792" s="1">
        <f>IFERROR(__xludf.DUMMYFUNCTION("""COMPUTED_VALUE"""),9090.0)</f>
        <v>9090</v>
      </c>
      <c r="C792" s="1">
        <f>IFERROR(__xludf.DUMMYFUNCTION("""COMPUTED_VALUE"""),9370.0)</f>
        <v>9370</v>
      </c>
      <c r="D792" s="1">
        <f>IFERROR(__xludf.DUMMYFUNCTION("""COMPUTED_VALUE"""),9010.0)</f>
        <v>9010</v>
      </c>
      <c r="E792" s="1">
        <f>IFERROR(__xludf.DUMMYFUNCTION("""COMPUTED_VALUE"""),9330.0)</f>
        <v>9330</v>
      </c>
      <c r="F792" s="1">
        <f>IFERROR(__xludf.DUMMYFUNCTION("""COMPUTED_VALUE"""),116712.0)</f>
        <v>116712</v>
      </c>
    </row>
    <row r="793">
      <c r="A793" s="2">
        <f>IFERROR(__xludf.DUMMYFUNCTION("""COMPUTED_VALUE"""),42086.64583333333)</f>
        <v>42086.64583</v>
      </c>
      <c r="B793" s="1">
        <f>IFERROR(__xludf.DUMMYFUNCTION("""COMPUTED_VALUE"""),9390.0)</f>
        <v>9390</v>
      </c>
      <c r="C793" s="1">
        <f>IFERROR(__xludf.DUMMYFUNCTION("""COMPUTED_VALUE"""),9450.0)</f>
        <v>9450</v>
      </c>
      <c r="D793" s="1">
        <f>IFERROR(__xludf.DUMMYFUNCTION("""COMPUTED_VALUE"""),9020.0)</f>
        <v>9020</v>
      </c>
      <c r="E793" s="1">
        <f>IFERROR(__xludf.DUMMYFUNCTION("""COMPUTED_VALUE"""),9090.0)</f>
        <v>9090</v>
      </c>
      <c r="F793" s="1">
        <f>IFERROR(__xludf.DUMMYFUNCTION("""COMPUTED_VALUE"""),133186.0)</f>
        <v>133186</v>
      </c>
    </row>
    <row r="794">
      <c r="A794" s="2">
        <f>IFERROR(__xludf.DUMMYFUNCTION("""COMPUTED_VALUE"""),42087.64583333333)</f>
        <v>42087.64583</v>
      </c>
      <c r="B794" s="1">
        <f>IFERROR(__xludf.DUMMYFUNCTION("""COMPUTED_VALUE"""),9140.0)</f>
        <v>9140</v>
      </c>
      <c r="C794" s="1">
        <f>IFERROR(__xludf.DUMMYFUNCTION("""COMPUTED_VALUE"""),9500.0)</f>
        <v>9500</v>
      </c>
      <c r="D794" s="1">
        <f>IFERROR(__xludf.DUMMYFUNCTION("""COMPUTED_VALUE"""),9050.0)</f>
        <v>9050</v>
      </c>
      <c r="E794" s="1">
        <f>IFERROR(__xludf.DUMMYFUNCTION("""COMPUTED_VALUE"""),9390.0)</f>
        <v>9390</v>
      </c>
      <c r="F794" s="1">
        <f>IFERROR(__xludf.DUMMYFUNCTION("""COMPUTED_VALUE"""),170312.0)</f>
        <v>170312</v>
      </c>
    </row>
    <row r="795">
      <c r="A795" s="2">
        <f>IFERROR(__xludf.DUMMYFUNCTION("""COMPUTED_VALUE"""),42088.64583333333)</f>
        <v>42088.64583</v>
      </c>
      <c r="B795" s="1">
        <f>IFERROR(__xludf.DUMMYFUNCTION("""COMPUTED_VALUE"""),9390.0)</f>
        <v>9390</v>
      </c>
      <c r="C795" s="1">
        <f>IFERROR(__xludf.DUMMYFUNCTION("""COMPUTED_VALUE"""),9780.0)</f>
        <v>9780</v>
      </c>
      <c r="D795" s="1">
        <f>IFERROR(__xludf.DUMMYFUNCTION("""COMPUTED_VALUE"""),9390.0)</f>
        <v>9390</v>
      </c>
      <c r="E795" s="1">
        <f>IFERROR(__xludf.DUMMYFUNCTION("""COMPUTED_VALUE"""),9680.0)</f>
        <v>9680</v>
      </c>
      <c r="F795" s="1">
        <f>IFERROR(__xludf.DUMMYFUNCTION("""COMPUTED_VALUE"""),265878.0)</f>
        <v>265878</v>
      </c>
    </row>
    <row r="796">
      <c r="A796" s="2">
        <f>IFERROR(__xludf.DUMMYFUNCTION("""COMPUTED_VALUE"""),42089.64583333333)</f>
        <v>42089.64583</v>
      </c>
      <c r="B796" s="1">
        <f>IFERROR(__xludf.DUMMYFUNCTION("""COMPUTED_VALUE"""),9700.0)</f>
        <v>9700</v>
      </c>
      <c r="C796" s="1">
        <f>IFERROR(__xludf.DUMMYFUNCTION("""COMPUTED_VALUE"""),10050.0)</f>
        <v>10050</v>
      </c>
      <c r="D796" s="1">
        <f>IFERROR(__xludf.DUMMYFUNCTION("""COMPUTED_VALUE"""),9400.0)</f>
        <v>9400</v>
      </c>
      <c r="E796" s="1">
        <f>IFERROR(__xludf.DUMMYFUNCTION("""COMPUTED_VALUE"""),9800.0)</f>
        <v>9800</v>
      </c>
      <c r="F796" s="1">
        <f>IFERROR(__xludf.DUMMYFUNCTION("""COMPUTED_VALUE"""),324880.0)</f>
        <v>324880</v>
      </c>
    </row>
    <row r="797">
      <c r="A797" s="2">
        <f>IFERROR(__xludf.DUMMYFUNCTION("""COMPUTED_VALUE"""),42090.64583333333)</f>
        <v>42090.64583</v>
      </c>
      <c r="B797" s="1">
        <f>IFERROR(__xludf.DUMMYFUNCTION("""COMPUTED_VALUE"""),9900.0)</f>
        <v>9900</v>
      </c>
      <c r="C797" s="1">
        <f>IFERROR(__xludf.DUMMYFUNCTION("""COMPUTED_VALUE"""),11250.0)</f>
        <v>11250</v>
      </c>
      <c r="D797" s="1">
        <f>IFERROR(__xludf.DUMMYFUNCTION("""COMPUTED_VALUE"""),9890.0)</f>
        <v>9890</v>
      </c>
      <c r="E797" s="1">
        <f>IFERROR(__xludf.DUMMYFUNCTION("""COMPUTED_VALUE"""),11250.0)</f>
        <v>11250</v>
      </c>
      <c r="F797" s="1">
        <f>IFERROR(__xludf.DUMMYFUNCTION("""COMPUTED_VALUE"""),632370.0)</f>
        <v>632370</v>
      </c>
    </row>
    <row r="798">
      <c r="A798" s="2">
        <f>IFERROR(__xludf.DUMMYFUNCTION("""COMPUTED_VALUE"""),42093.64583333333)</f>
        <v>42093.64583</v>
      </c>
      <c r="B798" s="1">
        <f>IFERROR(__xludf.DUMMYFUNCTION("""COMPUTED_VALUE"""),11900.0)</f>
        <v>11900</v>
      </c>
      <c r="C798" s="1">
        <f>IFERROR(__xludf.DUMMYFUNCTION("""COMPUTED_VALUE"""),12900.0)</f>
        <v>12900</v>
      </c>
      <c r="D798" s="1">
        <f>IFERROR(__xludf.DUMMYFUNCTION("""COMPUTED_VALUE"""),11650.0)</f>
        <v>11650</v>
      </c>
      <c r="E798" s="1">
        <f>IFERROR(__xludf.DUMMYFUNCTION("""COMPUTED_VALUE"""),12900.0)</f>
        <v>12900</v>
      </c>
      <c r="F798" s="1">
        <f>IFERROR(__xludf.DUMMYFUNCTION("""COMPUTED_VALUE"""),606567.0)</f>
        <v>606567</v>
      </c>
    </row>
    <row r="799">
      <c r="A799" s="2">
        <f>IFERROR(__xludf.DUMMYFUNCTION("""COMPUTED_VALUE"""),42094.64583333333)</f>
        <v>42094.64583</v>
      </c>
      <c r="B799" s="1">
        <f>IFERROR(__xludf.DUMMYFUNCTION("""COMPUTED_VALUE"""),13500.0)</f>
        <v>13500</v>
      </c>
      <c r="C799" s="1">
        <f>IFERROR(__xludf.DUMMYFUNCTION("""COMPUTED_VALUE"""),13650.0)</f>
        <v>13650</v>
      </c>
      <c r="D799" s="1">
        <f>IFERROR(__xludf.DUMMYFUNCTION("""COMPUTED_VALUE"""),12500.0)</f>
        <v>12500</v>
      </c>
      <c r="E799" s="1">
        <f>IFERROR(__xludf.DUMMYFUNCTION("""COMPUTED_VALUE"""),13100.0)</f>
        <v>13100</v>
      </c>
      <c r="F799" s="1">
        <f>IFERROR(__xludf.DUMMYFUNCTION("""COMPUTED_VALUE"""),899436.0)</f>
        <v>899436</v>
      </c>
    </row>
    <row r="800">
      <c r="A800" s="2">
        <f>IFERROR(__xludf.DUMMYFUNCTION("""COMPUTED_VALUE"""),42095.64583333333)</f>
        <v>42095.64583</v>
      </c>
      <c r="B800" s="1">
        <f>IFERROR(__xludf.DUMMYFUNCTION("""COMPUTED_VALUE"""),13100.0)</f>
        <v>13100</v>
      </c>
      <c r="C800" s="1">
        <f>IFERROR(__xludf.DUMMYFUNCTION("""COMPUTED_VALUE"""),13500.0)</f>
        <v>13500</v>
      </c>
      <c r="D800" s="1">
        <f>IFERROR(__xludf.DUMMYFUNCTION("""COMPUTED_VALUE"""),12800.0)</f>
        <v>12800</v>
      </c>
      <c r="E800" s="1">
        <f>IFERROR(__xludf.DUMMYFUNCTION("""COMPUTED_VALUE"""),13150.0)</f>
        <v>13150</v>
      </c>
      <c r="F800" s="1">
        <f>IFERROR(__xludf.DUMMYFUNCTION("""COMPUTED_VALUE"""),489531.0)</f>
        <v>489531</v>
      </c>
    </row>
    <row r="801">
      <c r="A801" s="2">
        <f>IFERROR(__xludf.DUMMYFUNCTION("""COMPUTED_VALUE"""),42096.64583333333)</f>
        <v>42096.64583</v>
      </c>
      <c r="B801" s="1">
        <f>IFERROR(__xludf.DUMMYFUNCTION("""COMPUTED_VALUE"""),13250.0)</f>
        <v>13250</v>
      </c>
      <c r="C801" s="1">
        <f>IFERROR(__xludf.DUMMYFUNCTION("""COMPUTED_VALUE"""),14250.0)</f>
        <v>14250</v>
      </c>
      <c r="D801" s="1">
        <f>IFERROR(__xludf.DUMMYFUNCTION("""COMPUTED_VALUE"""),12100.0)</f>
        <v>12100</v>
      </c>
      <c r="E801" s="1">
        <f>IFERROR(__xludf.DUMMYFUNCTION("""COMPUTED_VALUE"""),12650.0)</f>
        <v>12650</v>
      </c>
      <c r="F801" s="1">
        <f>IFERROR(__xludf.DUMMYFUNCTION("""COMPUTED_VALUE"""),973795.0)</f>
        <v>973795</v>
      </c>
    </row>
    <row r="802">
      <c r="A802" s="2">
        <f>IFERROR(__xludf.DUMMYFUNCTION("""COMPUTED_VALUE"""),42097.64583333333)</f>
        <v>42097.64583</v>
      </c>
      <c r="B802" s="1">
        <f>IFERROR(__xludf.DUMMYFUNCTION("""COMPUTED_VALUE"""),12800.0)</f>
        <v>12800</v>
      </c>
      <c r="C802" s="1">
        <f>IFERROR(__xludf.DUMMYFUNCTION("""COMPUTED_VALUE"""),13150.0)</f>
        <v>13150</v>
      </c>
      <c r="D802" s="1">
        <f>IFERROR(__xludf.DUMMYFUNCTION("""COMPUTED_VALUE"""),12250.0)</f>
        <v>12250</v>
      </c>
      <c r="E802" s="1">
        <f>IFERROR(__xludf.DUMMYFUNCTION("""COMPUTED_VALUE"""),12750.0)</f>
        <v>12750</v>
      </c>
      <c r="F802" s="1">
        <f>IFERROR(__xludf.DUMMYFUNCTION("""COMPUTED_VALUE"""),345201.0)</f>
        <v>345201</v>
      </c>
    </row>
    <row r="803">
      <c r="A803" s="2">
        <f>IFERROR(__xludf.DUMMYFUNCTION("""COMPUTED_VALUE"""),42100.64583333333)</f>
        <v>42100.64583</v>
      </c>
      <c r="B803" s="1">
        <f>IFERROR(__xludf.DUMMYFUNCTION("""COMPUTED_VALUE"""),12600.0)</f>
        <v>12600</v>
      </c>
      <c r="C803" s="1">
        <f>IFERROR(__xludf.DUMMYFUNCTION("""COMPUTED_VALUE"""),12800.0)</f>
        <v>12800</v>
      </c>
      <c r="D803" s="1">
        <f>IFERROR(__xludf.DUMMYFUNCTION("""COMPUTED_VALUE"""),12200.0)</f>
        <v>12200</v>
      </c>
      <c r="E803" s="1">
        <f>IFERROR(__xludf.DUMMYFUNCTION("""COMPUTED_VALUE"""),12700.0)</f>
        <v>12700</v>
      </c>
      <c r="F803" s="1">
        <f>IFERROR(__xludf.DUMMYFUNCTION("""COMPUTED_VALUE"""),214381.0)</f>
        <v>214381</v>
      </c>
    </row>
    <row r="804">
      <c r="A804" s="2">
        <f>IFERROR(__xludf.DUMMYFUNCTION("""COMPUTED_VALUE"""),42101.64583333333)</f>
        <v>42101.64583</v>
      </c>
      <c r="B804" s="1">
        <f>IFERROR(__xludf.DUMMYFUNCTION("""COMPUTED_VALUE"""),12700.0)</f>
        <v>12700</v>
      </c>
      <c r="C804" s="1">
        <f>IFERROR(__xludf.DUMMYFUNCTION("""COMPUTED_VALUE"""),13350.0)</f>
        <v>13350</v>
      </c>
      <c r="D804" s="1">
        <f>IFERROR(__xludf.DUMMYFUNCTION("""COMPUTED_VALUE"""),12450.0)</f>
        <v>12450</v>
      </c>
      <c r="E804" s="1">
        <f>IFERROR(__xludf.DUMMYFUNCTION("""COMPUTED_VALUE"""),13300.0)</f>
        <v>13300</v>
      </c>
      <c r="F804" s="1">
        <f>IFERROR(__xludf.DUMMYFUNCTION("""COMPUTED_VALUE"""),311305.0)</f>
        <v>311305</v>
      </c>
    </row>
    <row r="805">
      <c r="A805" s="2">
        <f>IFERROR(__xludf.DUMMYFUNCTION("""COMPUTED_VALUE"""),42102.64583333333)</f>
        <v>42102.64583</v>
      </c>
      <c r="B805" s="1">
        <f>IFERROR(__xludf.DUMMYFUNCTION("""COMPUTED_VALUE"""),13300.0)</f>
        <v>13300</v>
      </c>
      <c r="C805" s="1">
        <f>IFERROR(__xludf.DUMMYFUNCTION("""COMPUTED_VALUE"""),13700.0)</f>
        <v>13700</v>
      </c>
      <c r="D805" s="1">
        <f>IFERROR(__xludf.DUMMYFUNCTION("""COMPUTED_VALUE"""),12800.0)</f>
        <v>12800</v>
      </c>
      <c r="E805" s="1">
        <f>IFERROR(__xludf.DUMMYFUNCTION("""COMPUTED_VALUE"""),13050.0)</f>
        <v>13050</v>
      </c>
      <c r="F805" s="1">
        <f>IFERROR(__xludf.DUMMYFUNCTION("""COMPUTED_VALUE"""),202718.0)</f>
        <v>202718</v>
      </c>
    </row>
    <row r="806">
      <c r="A806" s="2">
        <f>IFERROR(__xludf.DUMMYFUNCTION("""COMPUTED_VALUE"""),42103.64583333333)</f>
        <v>42103.64583</v>
      </c>
      <c r="B806" s="1">
        <f>IFERROR(__xludf.DUMMYFUNCTION("""COMPUTED_VALUE"""),13300.0)</f>
        <v>13300</v>
      </c>
      <c r="C806" s="1">
        <f>IFERROR(__xludf.DUMMYFUNCTION("""COMPUTED_VALUE"""),13600.0)</f>
        <v>13600</v>
      </c>
      <c r="D806" s="1">
        <f>IFERROR(__xludf.DUMMYFUNCTION("""COMPUTED_VALUE"""),12800.0)</f>
        <v>12800</v>
      </c>
      <c r="E806" s="1">
        <f>IFERROR(__xludf.DUMMYFUNCTION("""COMPUTED_VALUE"""),13200.0)</f>
        <v>13200</v>
      </c>
      <c r="F806" s="1">
        <f>IFERROR(__xludf.DUMMYFUNCTION("""COMPUTED_VALUE"""),159635.0)</f>
        <v>159635</v>
      </c>
    </row>
    <row r="807">
      <c r="A807" s="2">
        <f>IFERROR(__xludf.DUMMYFUNCTION("""COMPUTED_VALUE"""),42104.64583333333)</f>
        <v>42104.64583</v>
      </c>
      <c r="B807" s="1">
        <f>IFERROR(__xludf.DUMMYFUNCTION("""COMPUTED_VALUE"""),13350.0)</f>
        <v>13350</v>
      </c>
      <c r="C807" s="1">
        <f>IFERROR(__xludf.DUMMYFUNCTION("""COMPUTED_VALUE"""),13750.0)</f>
        <v>13750</v>
      </c>
      <c r="D807" s="1">
        <f>IFERROR(__xludf.DUMMYFUNCTION("""COMPUTED_VALUE"""),12850.0)</f>
        <v>12850</v>
      </c>
      <c r="E807" s="1">
        <f>IFERROR(__xludf.DUMMYFUNCTION("""COMPUTED_VALUE"""),12950.0)</f>
        <v>12950</v>
      </c>
      <c r="F807" s="1">
        <f>IFERROR(__xludf.DUMMYFUNCTION("""COMPUTED_VALUE"""),178050.0)</f>
        <v>178050</v>
      </c>
    </row>
    <row r="808">
      <c r="A808" s="2">
        <f>IFERROR(__xludf.DUMMYFUNCTION("""COMPUTED_VALUE"""),42107.64583333333)</f>
        <v>42107.64583</v>
      </c>
      <c r="B808" s="1">
        <f>IFERROR(__xludf.DUMMYFUNCTION("""COMPUTED_VALUE"""),13200.0)</f>
        <v>13200</v>
      </c>
      <c r="C808" s="1">
        <f>IFERROR(__xludf.DUMMYFUNCTION("""COMPUTED_VALUE"""),13500.0)</f>
        <v>13500</v>
      </c>
      <c r="D808" s="1">
        <f>IFERROR(__xludf.DUMMYFUNCTION("""COMPUTED_VALUE"""),12850.0)</f>
        <v>12850</v>
      </c>
      <c r="E808" s="1">
        <f>IFERROR(__xludf.DUMMYFUNCTION("""COMPUTED_VALUE"""),13050.0)</f>
        <v>13050</v>
      </c>
      <c r="F808" s="1">
        <f>IFERROR(__xludf.DUMMYFUNCTION("""COMPUTED_VALUE"""),128127.0)</f>
        <v>128127</v>
      </c>
    </row>
    <row r="809">
      <c r="A809" s="2">
        <f>IFERROR(__xludf.DUMMYFUNCTION("""COMPUTED_VALUE"""),42108.64583333333)</f>
        <v>42108.64583</v>
      </c>
      <c r="B809" s="1">
        <f>IFERROR(__xludf.DUMMYFUNCTION("""COMPUTED_VALUE"""),13000.0)</f>
        <v>13000</v>
      </c>
      <c r="C809" s="1">
        <f>IFERROR(__xludf.DUMMYFUNCTION("""COMPUTED_VALUE"""),13050.0)</f>
        <v>13050</v>
      </c>
      <c r="D809" s="1">
        <f>IFERROR(__xludf.DUMMYFUNCTION("""COMPUTED_VALUE"""),11900.0)</f>
        <v>11900</v>
      </c>
      <c r="E809" s="1">
        <f>IFERROR(__xludf.DUMMYFUNCTION("""COMPUTED_VALUE"""),12200.0)</f>
        <v>12200</v>
      </c>
      <c r="F809" s="1">
        <f>IFERROR(__xludf.DUMMYFUNCTION("""COMPUTED_VALUE"""),203519.0)</f>
        <v>203519</v>
      </c>
    </row>
    <row r="810">
      <c r="A810" s="2">
        <f>IFERROR(__xludf.DUMMYFUNCTION("""COMPUTED_VALUE"""),42109.64583333333)</f>
        <v>42109.64583</v>
      </c>
      <c r="B810" s="1">
        <f>IFERROR(__xludf.DUMMYFUNCTION("""COMPUTED_VALUE"""),12200.0)</f>
        <v>12200</v>
      </c>
      <c r="C810" s="1">
        <f>IFERROR(__xludf.DUMMYFUNCTION("""COMPUTED_VALUE"""),12500.0)</f>
        <v>12500</v>
      </c>
      <c r="D810" s="1">
        <f>IFERROR(__xludf.DUMMYFUNCTION("""COMPUTED_VALUE"""),12100.0)</f>
        <v>12100</v>
      </c>
      <c r="E810" s="1">
        <f>IFERROR(__xludf.DUMMYFUNCTION("""COMPUTED_VALUE"""),12100.0)</f>
        <v>12100</v>
      </c>
      <c r="F810" s="1">
        <f>IFERROR(__xludf.DUMMYFUNCTION("""COMPUTED_VALUE"""),149855.0)</f>
        <v>149855</v>
      </c>
    </row>
    <row r="811">
      <c r="A811" s="2">
        <f>IFERROR(__xludf.DUMMYFUNCTION("""COMPUTED_VALUE"""),42110.64583333333)</f>
        <v>42110.64583</v>
      </c>
      <c r="B811" s="1">
        <f>IFERROR(__xludf.DUMMYFUNCTION("""COMPUTED_VALUE"""),12200.0)</f>
        <v>12200</v>
      </c>
      <c r="C811" s="1">
        <f>IFERROR(__xludf.DUMMYFUNCTION("""COMPUTED_VALUE"""),12300.0)</f>
        <v>12300</v>
      </c>
      <c r="D811" s="1">
        <f>IFERROR(__xludf.DUMMYFUNCTION("""COMPUTED_VALUE"""),11700.0)</f>
        <v>11700</v>
      </c>
      <c r="E811" s="1">
        <f>IFERROR(__xludf.DUMMYFUNCTION("""COMPUTED_VALUE"""),12150.0)</f>
        <v>12150</v>
      </c>
      <c r="F811" s="1">
        <f>IFERROR(__xludf.DUMMYFUNCTION("""COMPUTED_VALUE"""),172749.0)</f>
        <v>172749</v>
      </c>
    </row>
    <row r="812">
      <c r="A812" s="2">
        <f>IFERROR(__xludf.DUMMYFUNCTION("""COMPUTED_VALUE"""),42111.64583333333)</f>
        <v>42111.64583</v>
      </c>
      <c r="B812" s="1">
        <f>IFERROR(__xludf.DUMMYFUNCTION("""COMPUTED_VALUE"""),12050.0)</f>
        <v>12050</v>
      </c>
      <c r="C812" s="1">
        <f>IFERROR(__xludf.DUMMYFUNCTION("""COMPUTED_VALUE"""),12300.0)</f>
        <v>12300</v>
      </c>
      <c r="D812" s="1">
        <f>IFERROR(__xludf.DUMMYFUNCTION("""COMPUTED_VALUE"""),11800.0)</f>
        <v>11800</v>
      </c>
      <c r="E812" s="1">
        <f>IFERROR(__xludf.DUMMYFUNCTION("""COMPUTED_VALUE"""),12100.0)</f>
        <v>12100</v>
      </c>
      <c r="F812" s="1">
        <f>IFERROR(__xludf.DUMMYFUNCTION("""COMPUTED_VALUE"""),136069.0)</f>
        <v>136069</v>
      </c>
    </row>
    <row r="813">
      <c r="A813" s="2">
        <f>IFERROR(__xludf.DUMMYFUNCTION("""COMPUTED_VALUE"""),42114.64583333333)</f>
        <v>42114.64583</v>
      </c>
      <c r="B813" s="1">
        <f>IFERROR(__xludf.DUMMYFUNCTION("""COMPUTED_VALUE"""),11950.0)</f>
        <v>11950</v>
      </c>
      <c r="C813" s="1">
        <f>IFERROR(__xludf.DUMMYFUNCTION("""COMPUTED_VALUE"""),12150.0)</f>
        <v>12150</v>
      </c>
      <c r="D813" s="1">
        <f>IFERROR(__xludf.DUMMYFUNCTION("""COMPUTED_VALUE"""),11400.0)</f>
        <v>11400</v>
      </c>
      <c r="E813" s="1">
        <f>IFERROR(__xludf.DUMMYFUNCTION("""COMPUTED_VALUE"""),12150.0)</f>
        <v>12150</v>
      </c>
      <c r="F813" s="1">
        <f>IFERROR(__xludf.DUMMYFUNCTION("""COMPUTED_VALUE"""),249008.0)</f>
        <v>249008</v>
      </c>
    </row>
    <row r="814">
      <c r="A814" s="2">
        <f>IFERROR(__xludf.DUMMYFUNCTION("""COMPUTED_VALUE"""),42115.64583333333)</f>
        <v>42115.64583</v>
      </c>
      <c r="B814" s="1">
        <f>IFERROR(__xludf.DUMMYFUNCTION("""COMPUTED_VALUE"""),12150.0)</f>
        <v>12150</v>
      </c>
      <c r="C814" s="1">
        <f>IFERROR(__xludf.DUMMYFUNCTION("""COMPUTED_VALUE"""),12850.0)</f>
        <v>12850</v>
      </c>
      <c r="D814" s="1">
        <f>IFERROR(__xludf.DUMMYFUNCTION("""COMPUTED_VALUE"""),11800.0)</f>
        <v>11800</v>
      </c>
      <c r="E814" s="1">
        <f>IFERROR(__xludf.DUMMYFUNCTION("""COMPUTED_VALUE"""),11850.0)</f>
        <v>11850</v>
      </c>
      <c r="F814" s="1">
        <f>IFERROR(__xludf.DUMMYFUNCTION("""COMPUTED_VALUE"""),254044.0)</f>
        <v>254044</v>
      </c>
    </row>
    <row r="815">
      <c r="A815" s="2">
        <f>IFERROR(__xludf.DUMMYFUNCTION("""COMPUTED_VALUE"""),42116.64583333333)</f>
        <v>42116.64583</v>
      </c>
      <c r="B815" s="1">
        <f>IFERROR(__xludf.DUMMYFUNCTION("""COMPUTED_VALUE"""),11800.0)</f>
        <v>11800</v>
      </c>
      <c r="C815" s="1">
        <f>IFERROR(__xludf.DUMMYFUNCTION("""COMPUTED_VALUE"""),12500.0)</f>
        <v>12500</v>
      </c>
      <c r="D815" s="1">
        <f>IFERROR(__xludf.DUMMYFUNCTION("""COMPUTED_VALUE"""),10800.0)</f>
        <v>10800</v>
      </c>
      <c r="E815" s="1">
        <f>IFERROR(__xludf.DUMMYFUNCTION("""COMPUTED_VALUE"""),11600.0)</f>
        <v>11600</v>
      </c>
      <c r="F815" s="1">
        <f>IFERROR(__xludf.DUMMYFUNCTION("""COMPUTED_VALUE"""),301202.0)</f>
        <v>301202</v>
      </c>
    </row>
    <row r="816">
      <c r="A816" s="2">
        <f>IFERROR(__xludf.DUMMYFUNCTION("""COMPUTED_VALUE"""),42117.64583333333)</f>
        <v>42117.64583</v>
      </c>
      <c r="B816" s="1">
        <f>IFERROR(__xludf.DUMMYFUNCTION("""COMPUTED_VALUE"""),11650.0)</f>
        <v>11650</v>
      </c>
      <c r="C816" s="1">
        <f>IFERROR(__xludf.DUMMYFUNCTION("""COMPUTED_VALUE"""),12000.0)</f>
        <v>12000</v>
      </c>
      <c r="D816" s="1">
        <f>IFERROR(__xludf.DUMMYFUNCTION("""COMPUTED_VALUE"""),10950.0)</f>
        <v>10950</v>
      </c>
      <c r="E816" s="1">
        <f>IFERROR(__xludf.DUMMYFUNCTION("""COMPUTED_VALUE"""),11100.0)</f>
        <v>11100</v>
      </c>
      <c r="F816" s="1">
        <f>IFERROR(__xludf.DUMMYFUNCTION("""COMPUTED_VALUE"""),252145.0)</f>
        <v>252145</v>
      </c>
    </row>
    <row r="817">
      <c r="A817" s="2">
        <f>IFERROR(__xludf.DUMMYFUNCTION("""COMPUTED_VALUE"""),42118.64583333333)</f>
        <v>42118.64583</v>
      </c>
      <c r="B817" s="1">
        <f>IFERROR(__xludf.DUMMYFUNCTION("""COMPUTED_VALUE"""),11300.0)</f>
        <v>11300</v>
      </c>
      <c r="C817" s="1">
        <f>IFERROR(__xludf.DUMMYFUNCTION("""COMPUTED_VALUE"""),11450.0)</f>
        <v>11450</v>
      </c>
      <c r="D817" s="1">
        <f>IFERROR(__xludf.DUMMYFUNCTION("""COMPUTED_VALUE"""),10950.0)</f>
        <v>10950</v>
      </c>
      <c r="E817" s="1">
        <f>IFERROR(__xludf.DUMMYFUNCTION("""COMPUTED_VALUE"""),11300.0)</f>
        <v>11300</v>
      </c>
      <c r="F817" s="1">
        <f>IFERROR(__xludf.DUMMYFUNCTION("""COMPUTED_VALUE"""),123521.0)</f>
        <v>123521</v>
      </c>
    </row>
    <row r="818">
      <c r="A818" s="2">
        <f>IFERROR(__xludf.DUMMYFUNCTION("""COMPUTED_VALUE"""),42121.64583333333)</f>
        <v>42121.64583</v>
      </c>
      <c r="B818" s="1">
        <f>IFERROR(__xludf.DUMMYFUNCTION("""COMPUTED_VALUE"""),11450.0)</f>
        <v>11450</v>
      </c>
      <c r="C818" s="1">
        <f>IFERROR(__xludf.DUMMYFUNCTION("""COMPUTED_VALUE"""),12950.0)</f>
        <v>12950</v>
      </c>
      <c r="D818" s="1">
        <f>IFERROR(__xludf.DUMMYFUNCTION("""COMPUTED_VALUE"""),11300.0)</f>
        <v>11300</v>
      </c>
      <c r="E818" s="1">
        <f>IFERROR(__xludf.DUMMYFUNCTION("""COMPUTED_VALUE"""),12950.0)</f>
        <v>12950</v>
      </c>
      <c r="F818" s="1">
        <f>IFERROR(__xludf.DUMMYFUNCTION("""COMPUTED_VALUE"""),357065.0)</f>
        <v>357065</v>
      </c>
    </row>
    <row r="819">
      <c r="A819" s="2">
        <f>IFERROR(__xludf.DUMMYFUNCTION("""COMPUTED_VALUE"""),42122.64583333333)</f>
        <v>42122.64583</v>
      </c>
      <c r="B819" s="1">
        <f>IFERROR(__xludf.DUMMYFUNCTION("""COMPUTED_VALUE"""),13050.0)</f>
        <v>13050</v>
      </c>
      <c r="C819" s="1">
        <f>IFERROR(__xludf.DUMMYFUNCTION("""COMPUTED_VALUE"""),13200.0)</f>
        <v>13200</v>
      </c>
      <c r="D819" s="1">
        <f>IFERROR(__xludf.DUMMYFUNCTION("""COMPUTED_VALUE"""),12350.0)</f>
        <v>12350</v>
      </c>
      <c r="E819" s="1">
        <f>IFERROR(__xludf.DUMMYFUNCTION("""COMPUTED_VALUE"""),12950.0)</f>
        <v>12950</v>
      </c>
      <c r="F819" s="1">
        <f>IFERROR(__xludf.DUMMYFUNCTION("""COMPUTED_VALUE"""),225545.0)</f>
        <v>225545</v>
      </c>
    </row>
    <row r="820">
      <c r="A820" s="2">
        <f>IFERROR(__xludf.DUMMYFUNCTION("""COMPUTED_VALUE"""),42123.64583333333)</f>
        <v>42123.64583</v>
      </c>
      <c r="B820" s="1">
        <f>IFERROR(__xludf.DUMMYFUNCTION("""COMPUTED_VALUE"""),12800.0)</f>
        <v>12800</v>
      </c>
      <c r="C820" s="1">
        <f>IFERROR(__xludf.DUMMYFUNCTION("""COMPUTED_VALUE"""),13400.0)</f>
        <v>13400</v>
      </c>
      <c r="D820" s="1">
        <f>IFERROR(__xludf.DUMMYFUNCTION("""COMPUTED_VALUE"""),12150.0)</f>
        <v>12150</v>
      </c>
      <c r="E820" s="1">
        <f>IFERROR(__xludf.DUMMYFUNCTION("""COMPUTED_VALUE"""),12200.0)</f>
        <v>12200</v>
      </c>
      <c r="F820" s="1">
        <f>IFERROR(__xludf.DUMMYFUNCTION("""COMPUTED_VALUE"""),222048.0)</f>
        <v>222048</v>
      </c>
    </row>
    <row r="821">
      <c r="A821" s="2">
        <f>IFERROR(__xludf.DUMMYFUNCTION("""COMPUTED_VALUE"""),42124.64583333333)</f>
        <v>42124.64583</v>
      </c>
      <c r="B821" s="1">
        <f>IFERROR(__xludf.DUMMYFUNCTION("""COMPUTED_VALUE"""),12200.0)</f>
        <v>12200</v>
      </c>
      <c r="C821" s="1">
        <f>IFERROR(__xludf.DUMMYFUNCTION("""COMPUTED_VALUE"""),12500.0)</f>
        <v>12500</v>
      </c>
      <c r="D821" s="1">
        <f>IFERROR(__xludf.DUMMYFUNCTION("""COMPUTED_VALUE"""),11700.0)</f>
        <v>11700</v>
      </c>
      <c r="E821" s="1">
        <f>IFERROR(__xludf.DUMMYFUNCTION("""COMPUTED_VALUE"""),11850.0)</f>
        <v>11850</v>
      </c>
      <c r="F821" s="1">
        <f>IFERROR(__xludf.DUMMYFUNCTION("""COMPUTED_VALUE"""),94605.0)</f>
        <v>94605</v>
      </c>
    </row>
    <row r="822">
      <c r="A822" s="2">
        <f>IFERROR(__xludf.DUMMYFUNCTION("""COMPUTED_VALUE"""),42128.64583333333)</f>
        <v>42128.64583</v>
      </c>
      <c r="B822" s="1">
        <f>IFERROR(__xludf.DUMMYFUNCTION("""COMPUTED_VALUE"""),11900.0)</f>
        <v>11900</v>
      </c>
      <c r="C822" s="1">
        <f>IFERROR(__xludf.DUMMYFUNCTION("""COMPUTED_VALUE"""),12000.0)</f>
        <v>12000</v>
      </c>
      <c r="D822" s="1">
        <f>IFERROR(__xludf.DUMMYFUNCTION("""COMPUTED_VALUE"""),11250.0)</f>
        <v>11250</v>
      </c>
      <c r="E822" s="1">
        <f>IFERROR(__xludf.DUMMYFUNCTION("""COMPUTED_VALUE"""),11300.0)</f>
        <v>11300</v>
      </c>
      <c r="F822" s="1">
        <f>IFERROR(__xludf.DUMMYFUNCTION("""COMPUTED_VALUE"""),82896.0)</f>
        <v>82896</v>
      </c>
    </row>
    <row r="823">
      <c r="A823" s="2">
        <f>IFERROR(__xludf.DUMMYFUNCTION("""COMPUTED_VALUE"""),42130.64583333333)</f>
        <v>42130.64583</v>
      </c>
      <c r="B823" s="1">
        <f>IFERROR(__xludf.DUMMYFUNCTION("""COMPUTED_VALUE"""),11300.0)</f>
        <v>11300</v>
      </c>
      <c r="C823" s="1">
        <f>IFERROR(__xludf.DUMMYFUNCTION("""COMPUTED_VALUE"""),11400.0)</f>
        <v>11400</v>
      </c>
      <c r="D823" s="1">
        <f>IFERROR(__xludf.DUMMYFUNCTION("""COMPUTED_VALUE"""),10350.0)</f>
        <v>10350</v>
      </c>
      <c r="E823" s="1">
        <f>IFERROR(__xludf.DUMMYFUNCTION("""COMPUTED_VALUE"""),10550.0)</f>
        <v>10550</v>
      </c>
      <c r="F823" s="1">
        <f>IFERROR(__xludf.DUMMYFUNCTION("""COMPUTED_VALUE"""),166985.0)</f>
        <v>166985</v>
      </c>
    </row>
    <row r="824">
      <c r="A824" s="2">
        <f>IFERROR(__xludf.DUMMYFUNCTION("""COMPUTED_VALUE"""),42131.64583333333)</f>
        <v>42131.64583</v>
      </c>
      <c r="B824" s="1">
        <f>IFERROR(__xludf.DUMMYFUNCTION("""COMPUTED_VALUE"""),10550.0)</f>
        <v>10550</v>
      </c>
      <c r="C824" s="1">
        <f>IFERROR(__xludf.DUMMYFUNCTION("""COMPUTED_VALUE"""),11350.0)</f>
        <v>11350</v>
      </c>
      <c r="D824" s="1">
        <f>IFERROR(__xludf.DUMMYFUNCTION("""COMPUTED_VALUE"""),10400.0)</f>
        <v>10400</v>
      </c>
      <c r="E824" s="1">
        <f>IFERROR(__xludf.DUMMYFUNCTION("""COMPUTED_VALUE"""),11250.0)</f>
        <v>11250</v>
      </c>
      <c r="F824" s="1">
        <f>IFERROR(__xludf.DUMMYFUNCTION("""COMPUTED_VALUE"""),119811.0)</f>
        <v>119811</v>
      </c>
    </row>
    <row r="825">
      <c r="A825" s="2">
        <f>IFERROR(__xludf.DUMMYFUNCTION("""COMPUTED_VALUE"""),42132.64583333333)</f>
        <v>42132.64583</v>
      </c>
      <c r="B825" s="1">
        <f>IFERROR(__xludf.DUMMYFUNCTION("""COMPUTED_VALUE"""),11450.0)</f>
        <v>11450</v>
      </c>
      <c r="C825" s="1">
        <f>IFERROR(__xludf.DUMMYFUNCTION("""COMPUTED_VALUE"""),11450.0)</f>
        <v>11450</v>
      </c>
      <c r="D825" s="1">
        <f>IFERROR(__xludf.DUMMYFUNCTION("""COMPUTED_VALUE"""),10750.0)</f>
        <v>10750</v>
      </c>
      <c r="E825" s="1">
        <f>IFERROR(__xludf.DUMMYFUNCTION("""COMPUTED_VALUE"""),10800.0)</f>
        <v>10800</v>
      </c>
      <c r="F825" s="1">
        <f>IFERROR(__xludf.DUMMYFUNCTION("""COMPUTED_VALUE"""),116590.0)</f>
        <v>116590</v>
      </c>
    </row>
    <row r="826">
      <c r="A826" s="2">
        <f>IFERROR(__xludf.DUMMYFUNCTION("""COMPUTED_VALUE"""),42135.64583333333)</f>
        <v>42135.64583</v>
      </c>
      <c r="B826" s="1">
        <f>IFERROR(__xludf.DUMMYFUNCTION("""COMPUTED_VALUE"""),10750.0)</f>
        <v>10750</v>
      </c>
      <c r="C826" s="1">
        <f>IFERROR(__xludf.DUMMYFUNCTION("""COMPUTED_VALUE"""),11400.0)</f>
        <v>11400</v>
      </c>
      <c r="D826" s="1">
        <f>IFERROR(__xludf.DUMMYFUNCTION("""COMPUTED_VALUE"""),10600.0)</f>
        <v>10600</v>
      </c>
      <c r="E826" s="1">
        <f>IFERROR(__xludf.DUMMYFUNCTION("""COMPUTED_VALUE"""),11250.0)</f>
        <v>11250</v>
      </c>
      <c r="F826" s="1">
        <f>IFERROR(__xludf.DUMMYFUNCTION("""COMPUTED_VALUE"""),185053.0)</f>
        <v>185053</v>
      </c>
    </row>
    <row r="827">
      <c r="A827" s="2">
        <f>IFERROR(__xludf.DUMMYFUNCTION("""COMPUTED_VALUE"""),42136.64583333333)</f>
        <v>42136.64583</v>
      </c>
      <c r="B827" s="1">
        <f>IFERROR(__xludf.DUMMYFUNCTION("""COMPUTED_VALUE"""),11300.0)</f>
        <v>11300</v>
      </c>
      <c r="C827" s="1">
        <f>IFERROR(__xludf.DUMMYFUNCTION("""COMPUTED_VALUE"""),12250.0)</f>
        <v>12250</v>
      </c>
      <c r="D827" s="1">
        <f>IFERROR(__xludf.DUMMYFUNCTION("""COMPUTED_VALUE"""),11250.0)</f>
        <v>11250</v>
      </c>
      <c r="E827" s="1">
        <f>IFERROR(__xludf.DUMMYFUNCTION("""COMPUTED_VALUE"""),11300.0)</f>
        <v>11300</v>
      </c>
      <c r="F827" s="1">
        <f>IFERROR(__xludf.DUMMYFUNCTION("""COMPUTED_VALUE"""),269370.0)</f>
        <v>269370</v>
      </c>
    </row>
    <row r="828">
      <c r="A828" s="2">
        <f>IFERROR(__xludf.DUMMYFUNCTION("""COMPUTED_VALUE"""),42137.64583333333)</f>
        <v>42137.64583</v>
      </c>
      <c r="B828" s="1">
        <f>IFERROR(__xludf.DUMMYFUNCTION("""COMPUTED_VALUE"""),11350.0)</f>
        <v>11350</v>
      </c>
      <c r="C828" s="1">
        <f>IFERROR(__xludf.DUMMYFUNCTION("""COMPUTED_VALUE"""),12050.0)</f>
        <v>12050</v>
      </c>
      <c r="D828" s="1">
        <f>IFERROR(__xludf.DUMMYFUNCTION("""COMPUTED_VALUE"""),11200.0)</f>
        <v>11200</v>
      </c>
      <c r="E828" s="1">
        <f>IFERROR(__xludf.DUMMYFUNCTION("""COMPUTED_VALUE"""),11600.0)</f>
        <v>11600</v>
      </c>
      <c r="F828" s="1">
        <f>IFERROR(__xludf.DUMMYFUNCTION("""COMPUTED_VALUE"""),108476.0)</f>
        <v>108476</v>
      </c>
    </row>
    <row r="829">
      <c r="A829" s="2">
        <f>IFERROR(__xludf.DUMMYFUNCTION("""COMPUTED_VALUE"""),42138.64583333333)</f>
        <v>42138.64583</v>
      </c>
      <c r="B829" s="1">
        <f>IFERROR(__xludf.DUMMYFUNCTION("""COMPUTED_VALUE"""),11750.0)</f>
        <v>11750</v>
      </c>
      <c r="C829" s="1">
        <f>IFERROR(__xludf.DUMMYFUNCTION("""COMPUTED_VALUE"""),11750.0)</f>
        <v>11750</v>
      </c>
      <c r="D829" s="1">
        <f>IFERROR(__xludf.DUMMYFUNCTION("""COMPUTED_VALUE"""),10700.0)</f>
        <v>10700</v>
      </c>
      <c r="E829" s="1">
        <f>IFERROR(__xludf.DUMMYFUNCTION("""COMPUTED_VALUE"""),11000.0)</f>
        <v>11000</v>
      </c>
      <c r="F829" s="1">
        <f>IFERROR(__xludf.DUMMYFUNCTION("""COMPUTED_VALUE"""),207547.0)</f>
        <v>207547</v>
      </c>
    </row>
    <row r="830">
      <c r="A830" s="2">
        <f>IFERROR(__xludf.DUMMYFUNCTION("""COMPUTED_VALUE"""),42139.64583333333)</f>
        <v>42139.64583</v>
      </c>
      <c r="B830" s="1">
        <f>IFERROR(__xludf.DUMMYFUNCTION("""COMPUTED_VALUE"""),11100.0)</f>
        <v>11100</v>
      </c>
      <c r="C830" s="1">
        <f>IFERROR(__xludf.DUMMYFUNCTION("""COMPUTED_VALUE"""),11150.0)</f>
        <v>11150</v>
      </c>
      <c r="D830" s="1">
        <f>IFERROR(__xludf.DUMMYFUNCTION("""COMPUTED_VALUE"""),10800.0)</f>
        <v>10800</v>
      </c>
      <c r="E830" s="1">
        <f>IFERROR(__xludf.DUMMYFUNCTION("""COMPUTED_VALUE"""),10900.0)</f>
        <v>10900</v>
      </c>
      <c r="F830" s="1">
        <f>IFERROR(__xludf.DUMMYFUNCTION("""COMPUTED_VALUE"""),77293.0)</f>
        <v>77293</v>
      </c>
    </row>
    <row r="831">
      <c r="A831" s="2">
        <f>IFERROR(__xludf.DUMMYFUNCTION("""COMPUTED_VALUE"""),42142.64583333333)</f>
        <v>42142.64583</v>
      </c>
      <c r="B831" s="1">
        <f>IFERROR(__xludf.DUMMYFUNCTION("""COMPUTED_VALUE"""),11150.0)</f>
        <v>11150</v>
      </c>
      <c r="C831" s="1">
        <f>IFERROR(__xludf.DUMMYFUNCTION("""COMPUTED_VALUE"""),12500.0)</f>
        <v>12500</v>
      </c>
      <c r="D831" s="1">
        <f>IFERROR(__xludf.DUMMYFUNCTION("""COMPUTED_VALUE"""),11150.0)</f>
        <v>11150</v>
      </c>
      <c r="E831" s="1">
        <f>IFERROR(__xludf.DUMMYFUNCTION("""COMPUTED_VALUE"""),12500.0)</f>
        <v>12500</v>
      </c>
      <c r="F831" s="1">
        <f>IFERROR(__xludf.DUMMYFUNCTION("""COMPUTED_VALUE"""),528715.0)</f>
        <v>528715</v>
      </c>
    </row>
    <row r="832">
      <c r="A832" s="2">
        <f>IFERROR(__xludf.DUMMYFUNCTION("""COMPUTED_VALUE"""),42143.64583333333)</f>
        <v>42143.64583</v>
      </c>
      <c r="B832" s="1">
        <f>IFERROR(__xludf.DUMMYFUNCTION("""COMPUTED_VALUE"""),12750.0)</f>
        <v>12750</v>
      </c>
      <c r="C832" s="1">
        <f>IFERROR(__xludf.DUMMYFUNCTION("""COMPUTED_VALUE"""),12900.0)</f>
        <v>12900</v>
      </c>
      <c r="D832" s="1">
        <f>IFERROR(__xludf.DUMMYFUNCTION("""COMPUTED_VALUE"""),12000.0)</f>
        <v>12000</v>
      </c>
      <c r="E832" s="1">
        <f>IFERROR(__xludf.DUMMYFUNCTION("""COMPUTED_VALUE"""),12300.0)</f>
        <v>12300</v>
      </c>
      <c r="F832" s="1">
        <f>IFERROR(__xludf.DUMMYFUNCTION("""COMPUTED_VALUE"""),233125.0)</f>
        <v>233125</v>
      </c>
    </row>
    <row r="833">
      <c r="A833" s="2">
        <f>IFERROR(__xludf.DUMMYFUNCTION("""COMPUTED_VALUE"""),42144.64583333333)</f>
        <v>42144.64583</v>
      </c>
      <c r="B833" s="1">
        <f>IFERROR(__xludf.DUMMYFUNCTION("""COMPUTED_VALUE"""),12150.0)</f>
        <v>12150</v>
      </c>
      <c r="C833" s="1">
        <f>IFERROR(__xludf.DUMMYFUNCTION("""COMPUTED_VALUE"""),12200.0)</f>
        <v>12200</v>
      </c>
      <c r="D833" s="1">
        <f>IFERROR(__xludf.DUMMYFUNCTION("""COMPUTED_VALUE"""),11700.0)</f>
        <v>11700</v>
      </c>
      <c r="E833" s="1">
        <f>IFERROR(__xludf.DUMMYFUNCTION("""COMPUTED_VALUE"""),11900.0)</f>
        <v>11900</v>
      </c>
      <c r="F833" s="1">
        <f>IFERROR(__xludf.DUMMYFUNCTION("""COMPUTED_VALUE"""),192927.0)</f>
        <v>192927</v>
      </c>
    </row>
    <row r="834">
      <c r="A834" s="2">
        <f>IFERROR(__xludf.DUMMYFUNCTION("""COMPUTED_VALUE"""),42145.64583333333)</f>
        <v>42145.64583</v>
      </c>
      <c r="B834" s="1">
        <f>IFERROR(__xludf.DUMMYFUNCTION("""COMPUTED_VALUE"""),12050.0)</f>
        <v>12050</v>
      </c>
      <c r="C834" s="1">
        <f>IFERROR(__xludf.DUMMYFUNCTION("""COMPUTED_VALUE"""),12700.0)</f>
        <v>12700</v>
      </c>
      <c r="D834" s="1">
        <f>IFERROR(__xludf.DUMMYFUNCTION("""COMPUTED_VALUE"""),11900.0)</f>
        <v>11900</v>
      </c>
      <c r="E834" s="1">
        <f>IFERROR(__xludf.DUMMYFUNCTION("""COMPUTED_VALUE"""),12150.0)</f>
        <v>12150</v>
      </c>
      <c r="F834" s="1">
        <f>IFERROR(__xludf.DUMMYFUNCTION("""COMPUTED_VALUE"""),263953.0)</f>
        <v>263953</v>
      </c>
    </row>
    <row r="835">
      <c r="A835" s="2">
        <f>IFERROR(__xludf.DUMMYFUNCTION("""COMPUTED_VALUE"""),42146.64583333333)</f>
        <v>42146.64583</v>
      </c>
      <c r="B835" s="1">
        <f>IFERROR(__xludf.DUMMYFUNCTION("""COMPUTED_VALUE"""),12250.0)</f>
        <v>12250</v>
      </c>
      <c r="C835" s="1">
        <f>IFERROR(__xludf.DUMMYFUNCTION("""COMPUTED_VALUE"""),13950.0)</f>
        <v>13950</v>
      </c>
      <c r="D835" s="1">
        <f>IFERROR(__xludf.DUMMYFUNCTION("""COMPUTED_VALUE"""),11700.0)</f>
        <v>11700</v>
      </c>
      <c r="E835" s="1">
        <f>IFERROR(__xludf.DUMMYFUNCTION("""COMPUTED_VALUE"""),13900.0)</f>
        <v>13900</v>
      </c>
      <c r="F835" s="1">
        <f>IFERROR(__xludf.DUMMYFUNCTION("""COMPUTED_VALUE"""),908444.0)</f>
        <v>908444</v>
      </c>
    </row>
    <row r="836">
      <c r="A836" s="2">
        <f>IFERROR(__xludf.DUMMYFUNCTION("""COMPUTED_VALUE"""),42150.64583333333)</f>
        <v>42150.64583</v>
      </c>
      <c r="B836" s="1">
        <f>IFERROR(__xludf.DUMMYFUNCTION("""COMPUTED_VALUE"""),13750.0)</f>
        <v>13750</v>
      </c>
      <c r="C836" s="1">
        <f>IFERROR(__xludf.DUMMYFUNCTION("""COMPUTED_VALUE"""),13800.0)</f>
        <v>13800</v>
      </c>
      <c r="D836" s="1">
        <f>IFERROR(__xludf.DUMMYFUNCTION("""COMPUTED_VALUE"""),12400.0)</f>
        <v>12400</v>
      </c>
      <c r="E836" s="1">
        <f>IFERROR(__xludf.DUMMYFUNCTION("""COMPUTED_VALUE"""),12400.0)</f>
        <v>12400</v>
      </c>
      <c r="F836" s="1">
        <f>IFERROR(__xludf.DUMMYFUNCTION("""COMPUTED_VALUE"""),452158.0)</f>
        <v>452158</v>
      </c>
    </row>
    <row r="837">
      <c r="A837" s="2">
        <f>IFERROR(__xludf.DUMMYFUNCTION("""COMPUTED_VALUE"""),42151.64583333333)</f>
        <v>42151.64583</v>
      </c>
      <c r="B837" s="1">
        <f>IFERROR(__xludf.DUMMYFUNCTION("""COMPUTED_VALUE"""),12150.0)</f>
        <v>12150</v>
      </c>
      <c r="C837" s="1">
        <f>IFERROR(__xludf.DUMMYFUNCTION("""COMPUTED_VALUE"""),12550.0)</f>
        <v>12550</v>
      </c>
      <c r="D837" s="1">
        <f>IFERROR(__xludf.DUMMYFUNCTION("""COMPUTED_VALUE"""),11800.0)</f>
        <v>11800</v>
      </c>
      <c r="E837" s="1">
        <f>IFERROR(__xludf.DUMMYFUNCTION("""COMPUTED_VALUE"""),12300.0)</f>
        <v>12300</v>
      </c>
      <c r="F837" s="1">
        <f>IFERROR(__xludf.DUMMYFUNCTION("""COMPUTED_VALUE"""),279867.0)</f>
        <v>279867</v>
      </c>
    </row>
    <row r="838">
      <c r="A838" s="2">
        <f>IFERROR(__xludf.DUMMYFUNCTION("""COMPUTED_VALUE"""),42152.64583333333)</f>
        <v>42152.64583</v>
      </c>
      <c r="B838" s="1">
        <f>IFERROR(__xludf.DUMMYFUNCTION("""COMPUTED_VALUE"""),12400.0)</f>
        <v>12400</v>
      </c>
      <c r="C838" s="1">
        <f>IFERROR(__xludf.DUMMYFUNCTION("""COMPUTED_VALUE"""),13100.0)</f>
        <v>13100</v>
      </c>
      <c r="D838" s="1">
        <f>IFERROR(__xludf.DUMMYFUNCTION("""COMPUTED_VALUE"""),12250.0)</f>
        <v>12250</v>
      </c>
      <c r="E838" s="1">
        <f>IFERROR(__xludf.DUMMYFUNCTION("""COMPUTED_VALUE"""),12550.0)</f>
        <v>12550</v>
      </c>
      <c r="F838" s="1">
        <f>IFERROR(__xludf.DUMMYFUNCTION("""COMPUTED_VALUE"""),330293.0)</f>
        <v>330293</v>
      </c>
    </row>
    <row r="839">
      <c r="A839" s="2">
        <f>IFERROR(__xludf.DUMMYFUNCTION("""COMPUTED_VALUE"""),42153.64583333333)</f>
        <v>42153.64583</v>
      </c>
      <c r="B839" s="1">
        <f>IFERROR(__xludf.DUMMYFUNCTION("""COMPUTED_VALUE"""),12550.0)</f>
        <v>12550</v>
      </c>
      <c r="C839" s="1">
        <f>IFERROR(__xludf.DUMMYFUNCTION("""COMPUTED_VALUE"""),12900.0)</f>
        <v>12900</v>
      </c>
      <c r="D839" s="1">
        <f>IFERROR(__xludf.DUMMYFUNCTION("""COMPUTED_VALUE"""),11900.0)</f>
        <v>11900</v>
      </c>
      <c r="E839" s="1">
        <f>IFERROR(__xludf.DUMMYFUNCTION("""COMPUTED_VALUE"""),11950.0)</f>
        <v>11950</v>
      </c>
      <c r="F839" s="1">
        <f>IFERROR(__xludf.DUMMYFUNCTION("""COMPUTED_VALUE"""),248335.0)</f>
        <v>248335</v>
      </c>
    </row>
    <row r="840">
      <c r="A840" s="2">
        <f>IFERROR(__xludf.DUMMYFUNCTION("""COMPUTED_VALUE"""),42156.64583333333)</f>
        <v>42156.64583</v>
      </c>
      <c r="B840" s="1">
        <f>IFERROR(__xludf.DUMMYFUNCTION("""COMPUTED_VALUE"""),11950.0)</f>
        <v>11950</v>
      </c>
      <c r="C840" s="1">
        <f>IFERROR(__xludf.DUMMYFUNCTION("""COMPUTED_VALUE"""),12500.0)</f>
        <v>12500</v>
      </c>
      <c r="D840" s="1">
        <f>IFERROR(__xludf.DUMMYFUNCTION("""COMPUTED_VALUE"""),11400.0)</f>
        <v>11400</v>
      </c>
      <c r="E840" s="1">
        <f>IFERROR(__xludf.DUMMYFUNCTION("""COMPUTED_VALUE"""),12400.0)</f>
        <v>12400</v>
      </c>
      <c r="F840" s="1">
        <f>IFERROR(__xludf.DUMMYFUNCTION("""COMPUTED_VALUE"""),155987.0)</f>
        <v>155987</v>
      </c>
    </row>
    <row r="841">
      <c r="A841" s="2">
        <f>IFERROR(__xludf.DUMMYFUNCTION("""COMPUTED_VALUE"""),42157.64583333333)</f>
        <v>42157.64583</v>
      </c>
      <c r="B841" s="1">
        <f>IFERROR(__xludf.DUMMYFUNCTION("""COMPUTED_VALUE"""),12200.0)</f>
        <v>12200</v>
      </c>
      <c r="C841" s="1">
        <f>IFERROR(__xludf.DUMMYFUNCTION("""COMPUTED_VALUE"""),12350.0)</f>
        <v>12350</v>
      </c>
      <c r="D841" s="1">
        <f>IFERROR(__xludf.DUMMYFUNCTION("""COMPUTED_VALUE"""),11150.0)</f>
        <v>11150</v>
      </c>
      <c r="E841" s="1">
        <f>IFERROR(__xludf.DUMMYFUNCTION("""COMPUTED_VALUE"""),11150.0)</f>
        <v>11150</v>
      </c>
      <c r="F841" s="1">
        <f>IFERROR(__xludf.DUMMYFUNCTION("""COMPUTED_VALUE"""),196929.0)</f>
        <v>196929</v>
      </c>
    </row>
    <row r="842">
      <c r="A842" s="2">
        <f>IFERROR(__xludf.DUMMYFUNCTION("""COMPUTED_VALUE"""),42158.64583333333)</f>
        <v>42158.64583</v>
      </c>
      <c r="B842" s="1">
        <f>IFERROR(__xludf.DUMMYFUNCTION("""COMPUTED_VALUE"""),11200.0)</f>
        <v>11200</v>
      </c>
      <c r="C842" s="1">
        <f>IFERROR(__xludf.DUMMYFUNCTION("""COMPUTED_VALUE"""),11650.0)</f>
        <v>11650</v>
      </c>
      <c r="D842" s="1">
        <f>IFERROR(__xludf.DUMMYFUNCTION("""COMPUTED_VALUE"""),11100.0)</f>
        <v>11100</v>
      </c>
      <c r="E842" s="1">
        <f>IFERROR(__xludf.DUMMYFUNCTION("""COMPUTED_VALUE"""),11200.0)</f>
        <v>11200</v>
      </c>
      <c r="F842" s="1">
        <f>IFERROR(__xludf.DUMMYFUNCTION("""COMPUTED_VALUE"""),175122.0)</f>
        <v>175122</v>
      </c>
    </row>
    <row r="843">
      <c r="A843" s="2">
        <f>IFERROR(__xludf.DUMMYFUNCTION("""COMPUTED_VALUE"""),42159.64583333333)</f>
        <v>42159.64583</v>
      </c>
      <c r="B843" s="1">
        <f>IFERROR(__xludf.DUMMYFUNCTION("""COMPUTED_VALUE"""),11300.0)</f>
        <v>11300</v>
      </c>
      <c r="C843" s="1">
        <f>IFERROR(__xludf.DUMMYFUNCTION("""COMPUTED_VALUE"""),11650.0)</f>
        <v>11650</v>
      </c>
      <c r="D843" s="1">
        <f>IFERROR(__xludf.DUMMYFUNCTION("""COMPUTED_VALUE"""),11200.0)</f>
        <v>11200</v>
      </c>
      <c r="E843" s="1">
        <f>IFERROR(__xludf.DUMMYFUNCTION("""COMPUTED_VALUE"""),11400.0)</f>
        <v>11400</v>
      </c>
      <c r="F843" s="1">
        <f>IFERROR(__xludf.DUMMYFUNCTION("""COMPUTED_VALUE"""),95034.0)</f>
        <v>95034</v>
      </c>
    </row>
    <row r="844">
      <c r="A844" s="2">
        <f>IFERROR(__xludf.DUMMYFUNCTION("""COMPUTED_VALUE"""),42160.64583333333)</f>
        <v>42160.64583</v>
      </c>
      <c r="B844" s="1">
        <f>IFERROR(__xludf.DUMMYFUNCTION("""COMPUTED_VALUE"""),11550.0)</f>
        <v>11550</v>
      </c>
      <c r="C844" s="1">
        <f>IFERROR(__xludf.DUMMYFUNCTION("""COMPUTED_VALUE"""),12800.0)</f>
        <v>12800</v>
      </c>
      <c r="D844" s="1">
        <f>IFERROR(__xludf.DUMMYFUNCTION("""COMPUTED_VALUE"""),11500.0)</f>
        <v>11500</v>
      </c>
      <c r="E844" s="1">
        <f>IFERROR(__xludf.DUMMYFUNCTION("""COMPUTED_VALUE"""),11900.0)</f>
        <v>11900</v>
      </c>
      <c r="F844" s="1">
        <f>IFERROR(__xludf.DUMMYFUNCTION("""COMPUTED_VALUE"""),399233.0)</f>
        <v>399233</v>
      </c>
    </row>
    <row r="845">
      <c r="A845" s="2">
        <f>IFERROR(__xludf.DUMMYFUNCTION("""COMPUTED_VALUE"""),42163.64583333333)</f>
        <v>42163.64583</v>
      </c>
      <c r="B845" s="1">
        <f>IFERROR(__xludf.DUMMYFUNCTION("""COMPUTED_VALUE"""),11850.0)</f>
        <v>11850</v>
      </c>
      <c r="C845" s="1">
        <f>IFERROR(__xludf.DUMMYFUNCTION("""COMPUTED_VALUE"""),12500.0)</f>
        <v>12500</v>
      </c>
      <c r="D845" s="1">
        <f>IFERROR(__xludf.DUMMYFUNCTION("""COMPUTED_VALUE"""),11700.0)</f>
        <v>11700</v>
      </c>
      <c r="E845" s="1">
        <f>IFERROR(__xludf.DUMMYFUNCTION("""COMPUTED_VALUE"""),12250.0)</f>
        <v>12250</v>
      </c>
      <c r="F845" s="1">
        <f>IFERROR(__xludf.DUMMYFUNCTION("""COMPUTED_VALUE"""),195892.0)</f>
        <v>195892</v>
      </c>
    </row>
    <row r="846">
      <c r="A846" s="2">
        <f>IFERROR(__xludf.DUMMYFUNCTION("""COMPUTED_VALUE"""),42164.64583333333)</f>
        <v>42164.64583</v>
      </c>
      <c r="B846" s="1">
        <f>IFERROR(__xludf.DUMMYFUNCTION("""COMPUTED_VALUE"""),12350.0)</f>
        <v>12350</v>
      </c>
      <c r="C846" s="1">
        <f>IFERROR(__xludf.DUMMYFUNCTION("""COMPUTED_VALUE"""),13500.0)</f>
        <v>13500</v>
      </c>
      <c r="D846" s="1">
        <f>IFERROR(__xludf.DUMMYFUNCTION("""COMPUTED_VALUE"""),12100.0)</f>
        <v>12100</v>
      </c>
      <c r="E846" s="1">
        <f>IFERROR(__xludf.DUMMYFUNCTION("""COMPUTED_VALUE"""),12950.0)</f>
        <v>12950</v>
      </c>
      <c r="F846" s="1">
        <f>IFERROR(__xludf.DUMMYFUNCTION("""COMPUTED_VALUE"""),783269.0)</f>
        <v>783269</v>
      </c>
    </row>
    <row r="847">
      <c r="A847" s="2">
        <f>IFERROR(__xludf.DUMMYFUNCTION("""COMPUTED_VALUE"""),42165.64583333333)</f>
        <v>42165.64583</v>
      </c>
      <c r="B847" s="1">
        <f>IFERROR(__xludf.DUMMYFUNCTION("""COMPUTED_VALUE"""),13000.0)</f>
        <v>13000</v>
      </c>
      <c r="C847" s="1">
        <f>IFERROR(__xludf.DUMMYFUNCTION("""COMPUTED_VALUE"""),13300.0)</f>
        <v>13300</v>
      </c>
      <c r="D847" s="1">
        <f>IFERROR(__xludf.DUMMYFUNCTION("""COMPUTED_VALUE"""),12200.0)</f>
        <v>12200</v>
      </c>
      <c r="E847" s="1">
        <f>IFERROR(__xludf.DUMMYFUNCTION("""COMPUTED_VALUE"""),12500.0)</f>
        <v>12500</v>
      </c>
      <c r="F847" s="1">
        <f>IFERROR(__xludf.DUMMYFUNCTION("""COMPUTED_VALUE"""),226718.0)</f>
        <v>226718</v>
      </c>
    </row>
    <row r="848">
      <c r="A848" s="2">
        <f>IFERROR(__xludf.DUMMYFUNCTION("""COMPUTED_VALUE"""),42166.64583333333)</f>
        <v>42166.64583</v>
      </c>
      <c r="B848" s="1">
        <f>IFERROR(__xludf.DUMMYFUNCTION("""COMPUTED_VALUE"""),12550.0)</f>
        <v>12550</v>
      </c>
      <c r="C848" s="1">
        <f>IFERROR(__xludf.DUMMYFUNCTION("""COMPUTED_VALUE"""),12800.0)</f>
        <v>12800</v>
      </c>
      <c r="D848" s="1">
        <f>IFERROR(__xludf.DUMMYFUNCTION("""COMPUTED_VALUE"""),11950.0)</f>
        <v>11950</v>
      </c>
      <c r="E848" s="1">
        <f>IFERROR(__xludf.DUMMYFUNCTION("""COMPUTED_VALUE"""),11950.0)</f>
        <v>11950</v>
      </c>
      <c r="F848" s="1">
        <f>IFERROR(__xludf.DUMMYFUNCTION("""COMPUTED_VALUE"""),139361.0)</f>
        <v>139361</v>
      </c>
    </row>
    <row r="849">
      <c r="A849" s="2">
        <f>IFERROR(__xludf.DUMMYFUNCTION("""COMPUTED_VALUE"""),42167.64583333333)</f>
        <v>42167.64583</v>
      </c>
      <c r="B849" s="1">
        <f>IFERROR(__xludf.DUMMYFUNCTION("""COMPUTED_VALUE"""),11850.0)</f>
        <v>11850</v>
      </c>
      <c r="C849" s="1">
        <f>IFERROR(__xludf.DUMMYFUNCTION("""COMPUTED_VALUE"""),12700.0)</f>
        <v>12700</v>
      </c>
      <c r="D849" s="1">
        <f>IFERROR(__xludf.DUMMYFUNCTION("""COMPUTED_VALUE"""),11700.0)</f>
        <v>11700</v>
      </c>
      <c r="E849" s="1">
        <f>IFERROR(__xludf.DUMMYFUNCTION("""COMPUTED_VALUE"""),11800.0)</f>
        <v>11800</v>
      </c>
      <c r="F849" s="1">
        <f>IFERROR(__xludf.DUMMYFUNCTION("""COMPUTED_VALUE"""),133648.0)</f>
        <v>133648</v>
      </c>
    </row>
    <row r="850">
      <c r="A850" s="2">
        <f>IFERROR(__xludf.DUMMYFUNCTION("""COMPUTED_VALUE"""),42170.64583333333)</f>
        <v>42170.64583</v>
      </c>
      <c r="B850" s="1">
        <f>IFERROR(__xludf.DUMMYFUNCTION("""COMPUTED_VALUE"""),11650.0)</f>
        <v>11650</v>
      </c>
      <c r="C850" s="1">
        <f>IFERROR(__xludf.DUMMYFUNCTION("""COMPUTED_VALUE"""),11850.0)</f>
        <v>11850</v>
      </c>
      <c r="D850" s="1">
        <f>IFERROR(__xludf.DUMMYFUNCTION("""COMPUTED_VALUE"""),11200.0)</f>
        <v>11200</v>
      </c>
      <c r="E850" s="1">
        <f>IFERROR(__xludf.DUMMYFUNCTION("""COMPUTED_VALUE"""),11300.0)</f>
        <v>11300</v>
      </c>
      <c r="F850" s="1">
        <f>IFERROR(__xludf.DUMMYFUNCTION("""COMPUTED_VALUE"""),165717.0)</f>
        <v>165717</v>
      </c>
    </row>
    <row r="851">
      <c r="A851" s="2">
        <f>IFERROR(__xludf.DUMMYFUNCTION("""COMPUTED_VALUE"""),42171.64583333333)</f>
        <v>42171.64583</v>
      </c>
      <c r="B851" s="1">
        <f>IFERROR(__xludf.DUMMYFUNCTION("""COMPUTED_VALUE"""),11400.0)</f>
        <v>11400</v>
      </c>
      <c r="C851" s="1">
        <f>IFERROR(__xludf.DUMMYFUNCTION("""COMPUTED_VALUE"""),11950.0)</f>
        <v>11950</v>
      </c>
      <c r="D851" s="1">
        <f>IFERROR(__xludf.DUMMYFUNCTION("""COMPUTED_VALUE"""),11200.0)</f>
        <v>11200</v>
      </c>
      <c r="E851" s="1">
        <f>IFERROR(__xludf.DUMMYFUNCTION("""COMPUTED_VALUE"""),11900.0)</f>
        <v>11900</v>
      </c>
      <c r="F851" s="1">
        <f>IFERROR(__xludf.DUMMYFUNCTION("""COMPUTED_VALUE"""),141352.0)</f>
        <v>141352</v>
      </c>
    </row>
    <row r="852">
      <c r="A852" s="2">
        <f>IFERROR(__xludf.DUMMYFUNCTION("""COMPUTED_VALUE"""),42172.64583333333)</f>
        <v>42172.64583</v>
      </c>
      <c r="B852" s="1">
        <f>IFERROR(__xludf.DUMMYFUNCTION("""COMPUTED_VALUE"""),12000.0)</f>
        <v>12000</v>
      </c>
      <c r="C852" s="1">
        <f>IFERROR(__xludf.DUMMYFUNCTION("""COMPUTED_VALUE"""),12000.0)</f>
        <v>12000</v>
      </c>
      <c r="D852" s="1">
        <f>IFERROR(__xludf.DUMMYFUNCTION("""COMPUTED_VALUE"""),11400.0)</f>
        <v>11400</v>
      </c>
      <c r="E852" s="1">
        <f>IFERROR(__xludf.DUMMYFUNCTION("""COMPUTED_VALUE"""),11550.0)</f>
        <v>11550</v>
      </c>
      <c r="F852" s="1">
        <f>IFERROR(__xludf.DUMMYFUNCTION("""COMPUTED_VALUE"""),110994.0)</f>
        <v>110994</v>
      </c>
    </row>
    <row r="853">
      <c r="A853" s="2">
        <f>IFERROR(__xludf.DUMMYFUNCTION("""COMPUTED_VALUE"""),42173.64583333333)</f>
        <v>42173.64583</v>
      </c>
      <c r="B853" s="1">
        <f>IFERROR(__xludf.DUMMYFUNCTION("""COMPUTED_VALUE"""),11700.0)</f>
        <v>11700</v>
      </c>
      <c r="C853" s="1">
        <f>IFERROR(__xludf.DUMMYFUNCTION("""COMPUTED_VALUE"""),11700.0)</f>
        <v>11700</v>
      </c>
      <c r="D853" s="1">
        <f>IFERROR(__xludf.DUMMYFUNCTION("""COMPUTED_VALUE"""),11250.0)</f>
        <v>11250</v>
      </c>
      <c r="E853" s="1">
        <f>IFERROR(__xludf.DUMMYFUNCTION("""COMPUTED_VALUE"""),11500.0)</f>
        <v>11500</v>
      </c>
      <c r="F853" s="1">
        <f>IFERROR(__xludf.DUMMYFUNCTION("""COMPUTED_VALUE"""),124062.0)</f>
        <v>124062</v>
      </c>
    </row>
    <row r="854">
      <c r="A854" s="2">
        <f>IFERROR(__xludf.DUMMYFUNCTION("""COMPUTED_VALUE"""),42174.64583333333)</f>
        <v>42174.64583</v>
      </c>
      <c r="B854" s="1">
        <f>IFERROR(__xludf.DUMMYFUNCTION("""COMPUTED_VALUE"""),11650.0)</f>
        <v>11650</v>
      </c>
      <c r="C854" s="1">
        <f>IFERROR(__xludf.DUMMYFUNCTION("""COMPUTED_VALUE"""),11650.0)</f>
        <v>11650</v>
      </c>
      <c r="D854" s="1">
        <f>IFERROR(__xludf.DUMMYFUNCTION("""COMPUTED_VALUE"""),10900.0)</f>
        <v>10900</v>
      </c>
      <c r="E854" s="1">
        <f>IFERROR(__xludf.DUMMYFUNCTION("""COMPUTED_VALUE"""),11250.0)</f>
        <v>11250</v>
      </c>
      <c r="F854" s="1">
        <f>IFERROR(__xludf.DUMMYFUNCTION("""COMPUTED_VALUE"""),249025.0)</f>
        <v>249025</v>
      </c>
    </row>
    <row r="855">
      <c r="A855" s="2">
        <f>IFERROR(__xludf.DUMMYFUNCTION("""COMPUTED_VALUE"""),42177.64583333333)</f>
        <v>42177.64583</v>
      </c>
      <c r="B855" s="1">
        <f>IFERROR(__xludf.DUMMYFUNCTION("""COMPUTED_VALUE"""),11250.0)</f>
        <v>11250</v>
      </c>
      <c r="C855" s="1">
        <f>IFERROR(__xludf.DUMMYFUNCTION("""COMPUTED_VALUE"""),11400.0)</f>
        <v>11400</v>
      </c>
      <c r="D855" s="1">
        <f>IFERROR(__xludf.DUMMYFUNCTION("""COMPUTED_VALUE"""),11000.0)</f>
        <v>11000</v>
      </c>
      <c r="E855" s="1">
        <f>IFERROR(__xludf.DUMMYFUNCTION("""COMPUTED_VALUE"""),11350.0)</f>
        <v>11350</v>
      </c>
      <c r="F855" s="1">
        <f>IFERROR(__xludf.DUMMYFUNCTION("""COMPUTED_VALUE"""),70297.0)</f>
        <v>70297</v>
      </c>
    </row>
    <row r="856">
      <c r="A856" s="2">
        <f>IFERROR(__xludf.DUMMYFUNCTION("""COMPUTED_VALUE"""),42178.64583333333)</f>
        <v>42178.64583</v>
      </c>
      <c r="B856" s="1">
        <f>IFERROR(__xludf.DUMMYFUNCTION("""COMPUTED_VALUE"""),11400.0)</f>
        <v>11400</v>
      </c>
      <c r="C856" s="1">
        <f>IFERROR(__xludf.DUMMYFUNCTION("""COMPUTED_VALUE"""),11550.0)</f>
        <v>11550</v>
      </c>
      <c r="D856" s="1">
        <f>IFERROR(__xludf.DUMMYFUNCTION("""COMPUTED_VALUE"""),11050.0)</f>
        <v>11050</v>
      </c>
      <c r="E856" s="1">
        <f>IFERROR(__xludf.DUMMYFUNCTION("""COMPUTED_VALUE"""),11450.0)</f>
        <v>11450</v>
      </c>
      <c r="F856" s="1">
        <f>IFERROR(__xludf.DUMMYFUNCTION("""COMPUTED_VALUE"""),124565.0)</f>
        <v>124565</v>
      </c>
    </row>
    <row r="857">
      <c r="A857" s="2">
        <f>IFERROR(__xludf.DUMMYFUNCTION("""COMPUTED_VALUE"""),42179.64583333333)</f>
        <v>42179.64583</v>
      </c>
      <c r="B857" s="1">
        <f>IFERROR(__xludf.DUMMYFUNCTION("""COMPUTED_VALUE"""),11450.0)</f>
        <v>11450</v>
      </c>
      <c r="C857" s="1">
        <f>IFERROR(__xludf.DUMMYFUNCTION("""COMPUTED_VALUE"""),12050.0)</f>
        <v>12050</v>
      </c>
      <c r="D857" s="1">
        <f>IFERROR(__xludf.DUMMYFUNCTION("""COMPUTED_VALUE"""),11350.0)</f>
        <v>11350</v>
      </c>
      <c r="E857" s="1">
        <f>IFERROR(__xludf.DUMMYFUNCTION("""COMPUTED_VALUE"""),11750.0)</f>
        <v>11750</v>
      </c>
      <c r="F857" s="1">
        <f>IFERROR(__xludf.DUMMYFUNCTION("""COMPUTED_VALUE"""),167242.0)</f>
        <v>167242</v>
      </c>
    </row>
    <row r="858">
      <c r="A858" s="2">
        <f>IFERROR(__xludf.DUMMYFUNCTION("""COMPUTED_VALUE"""),42180.64583333333)</f>
        <v>42180.64583</v>
      </c>
      <c r="B858" s="1">
        <f>IFERROR(__xludf.DUMMYFUNCTION("""COMPUTED_VALUE"""),11850.0)</f>
        <v>11850</v>
      </c>
      <c r="C858" s="1">
        <f>IFERROR(__xludf.DUMMYFUNCTION("""COMPUTED_VALUE"""),12200.0)</f>
        <v>12200</v>
      </c>
      <c r="D858" s="1">
        <f>IFERROR(__xludf.DUMMYFUNCTION("""COMPUTED_VALUE"""),11500.0)</f>
        <v>11500</v>
      </c>
      <c r="E858" s="1">
        <f>IFERROR(__xludf.DUMMYFUNCTION("""COMPUTED_VALUE"""),11550.0)</f>
        <v>11550</v>
      </c>
      <c r="F858" s="1">
        <f>IFERROR(__xludf.DUMMYFUNCTION("""COMPUTED_VALUE"""),192545.0)</f>
        <v>192545</v>
      </c>
    </row>
    <row r="859">
      <c r="A859" s="2">
        <f>IFERROR(__xludf.DUMMYFUNCTION("""COMPUTED_VALUE"""),42181.64583333333)</f>
        <v>42181.64583</v>
      </c>
      <c r="B859" s="1">
        <f>IFERROR(__xludf.DUMMYFUNCTION("""COMPUTED_VALUE"""),11500.0)</f>
        <v>11500</v>
      </c>
      <c r="C859" s="1">
        <f>IFERROR(__xludf.DUMMYFUNCTION("""COMPUTED_VALUE"""),11900.0)</f>
        <v>11900</v>
      </c>
      <c r="D859" s="1">
        <f>IFERROR(__xludf.DUMMYFUNCTION("""COMPUTED_VALUE"""),11250.0)</f>
        <v>11250</v>
      </c>
      <c r="E859" s="1">
        <f>IFERROR(__xludf.DUMMYFUNCTION("""COMPUTED_VALUE"""),11300.0)</f>
        <v>11300</v>
      </c>
      <c r="F859" s="1">
        <f>IFERROR(__xludf.DUMMYFUNCTION("""COMPUTED_VALUE"""),122790.0)</f>
        <v>122790</v>
      </c>
    </row>
    <row r="860">
      <c r="A860" s="2">
        <f>IFERROR(__xludf.DUMMYFUNCTION("""COMPUTED_VALUE"""),42184.64583333333)</f>
        <v>42184.64583</v>
      </c>
      <c r="B860" s="1">
        <f>IFERROR(__xludf.DUMMYFUNCTION("""COMPUTED_VALUE"""),11050.0)</f>
        <v>11050</v>
      </c>
      <c r="C860" s="1">
        <f>IFERROR(__xludf.DUMMYFUNCTION("""COMPUTED_VALUE"""),11550.0)</f>
        <v>11550</v>
      </c>
      <c r="D860" s="1">
        <f>IFERROR(__xludf.DUMMYFUNCTION("""COMPUTED_VALUE"""),10850.0)</f>
        <v>10850</v>
      </c>
      <c r="E860" s="1">
        <f>IFERROR(__xludf.DUMMYFUNCTION("""COMPUTED_VALUE"""),11000.0)</f>
        <v>11000</v>
      </c>
      <c r="F860" s="1">
        <f>IFERROR(__xludf.DUMMYFUNCTION("""COMPUTED_VALUE"""),102401.0)</f>
        <v>102401</v>
      </c>
    </row>
    <row r="861">
      <c r="A861" s="2">
        <f>IFERROR(__xludf.DUMMYFUNCTION("""COMPUTED_VALUE"""),42185.64583333333)</f>
        <v>42185.64583</v>
      </c>
      <c r="B861" s="1">
        <f>IFERROR(__xludf.DUMMYFUNCTION("""COMPUTED_VALUE"""),10800.0)</f>
        <v>10800</v>
      </c>
      <c r="C861" s="1">
        <f>IFERROR(__xludf.DUMMYFUNCTION("""COMPUTED_VALUE"""),11150.0)</f>
        <v>11150</v>
      </c>
      <c r="D861" s="1">
        <f>IFERROR(__xludf.DUMMYFUNCTION("""COMPUTED_VALUE"""),10750.0)</f>
        <v>10750</v>
      </c>
      <c r="E861" s="1">
        <f>IFERROR(__xludf.DUMMYFUNCTION("""COMPUTED_VALUE"""),11000.0)</f>
        <v>11000</v>
      </c>
      <c r="F861" s="1">
        <f>IFERROR(__xludf.DUMMYFUNCTION("""COMPUTED_VALUE"""),112249.0)</f>
        <v>112249</v>
      </c>
    </row>
    <row r="862">
      <c r="A862" s="2">
        <f>IFERROR(__xludf.DUMMYFUNCTION("""COMPUTED_VALUE"""),42186.64583333333)</f>
        <v>42186.64583</v>
      </c>
      <c r="B862" s="1">
        <f>IFERROR(__xludf.DUMMYFUNCTION("""COMPUTED_VALUE"""),10950.0)</f>
        <v>10950</v>
      </c>
      <c r="C862" s="1">
        <f>IFERROR(__xludf.DUMMYFUNCTION("""COMPUTED_VALUE"""),11150.0)</f>
        <v>11150</v>
      </c>
      <c r="D862" s="1">
        <f>IFERROR(__xludf.DUMMYFUNCTION("""COMPUTED_VALUE"""),10800.0)</f>
        <v>10800</v>
      </c>
      <c r="E862" s="1">
        <f>IFERROR(__xludf.DUMMYFUNCTION("""COMPUTED_VALUE"""),11050.0)</f>
        <v>11050</v>
      </c>
      <c r="F862" s="1">
        <f>IFERROR(__xludf.DUMMYFUNCTION("""COMPUTED_VALUE"""),94545.0)</f>
        <v>94545</v>
      </c>
    </row>
    <row r="863">
      <c r="A863" s="2">
        <f>IFERROR(__xludf.DUMMYFUNCTION("""COMPUTED_VALUE"""),42187.64583333333)</f>
        <v>42187.64583</v>
      </c>
      <c r="B863" s="1">
        <f>IFERROR(__xludf.DUMMYFUNCTION("""COMPUTED_VALUE"""),11050.0)</f>
        <v>11050</v>
      </c>
      <c r="C863" s="1">
        <f>IFERROR(__xludf.DUMMYFUNCTION("""COMPUTED_VALUE"""),11350.0)</f>
        <v>11350</v>
      </c>
      <c r="D863" s="1">
        <f>IFERROR(__xludf.DUMMYFUNCTION("""COMPUTED_VALUE"""),10900.0)</f>
        <v>10900</v>
      </c>
      <c r="E863" s="1">
        <f>IFERROR(__xludf.DUMMYFUNCTION("""COMPUTED_VALUE"""),11200.0)</f>
        <v>11200</v>
      </c>
      <c r="F863" s="1">
        <f>IFERROR(__xludf.DUMMYFUNCTION("""COMPUTED_VALUE"""),89865.0)</f>
        <v>89865</v>
      </c>
    </row>
    <row r="864">
      <c r="A864" s="2">
        <f>IFERROR(__xludf.DUMMYFUNCTION("""COMPUTED_VALUE"""),42188.64583333333)</f>
        <v>42188.64583</v>
      </c>
      <c r="B864" s="1">
        <f>IFERROR(__xludf.DUMMYFUNCTION("""COMPUTED_VALUE"""),11150.0)</f>
        <v>11150</v>
      </c>
      <c r="C864" s="1">
        <f>IFERROR(__xludf.DUMMYFUNCTION("""COMPUTED_VALUE"""),11250.0)</f>
        <v>11250</v>
      </c>
      <c r="D864" s="1">
        <f>IFERROR(__xludf.DUMMYFUNCTION("""COMPUTED_VALUE"""),10800.0)</f>
        <v>10800</v>
      </c>
      <c r="E864" s="1">
        <f>IFERROR(__xludf.DUMMYFUNCTION("""COMPUTED_VALUE"""),10950.0)</f>
        <v>10950</v>
      </c>
      <c r="F864" s="1">
        <f>IFERROR(__xludf.DUMMYFUNCTION("""COMPUTED_VALUE"""),123758.0)</f>
        <v>123758</v>
      </c>
    </row>
    <row r="865">
      <c r="A865" s="2">
        <f>IFERROR(__xludf.DUMMYFUNCTION("""COMPUTED_VALUE"""),42191.64583333333)</f>
        <v>42191.64583</v>
      </c>
      <c r="B865" s="1">
        <f>IFERROR(__xludf.DUMMYFUNCTION("""COMPUTED_VALUE"""),10700.0)</f>
        <v>10700</v>
      </c>
      <c r="C865" s="1">
        <f>IFERROR(__xludf.DUMMYFUNCTION("""COMPUTED_VALUE"""),10850.0)</f>
        <v>10850</v>
      </c>
      <c r="D865" s="1">
        <f>IFERROR(__xludf.DUMMYFUNCTION("""COMPUTED_VALUE"""),9920.0)</f>
        <v>9920</v>
      </c>
      <c r="E865" s="1">
        <f>IFERROR(__xludf.DUMMYFUNCTION("""COMPUTED_VALUE"""),10000.0)</f>
        <v>10000</v>
      </c>
      <c r="F865" s="1">
        <f>IFERROR(__xludf.DUMMYFUNCTION("""COMPUTED_VALUE"""),274154.0)</f>
        <v>274154</v>
      </c>
    </row>
    <row r="866">
      <c r="A866" s="2">
        <f>IFERROR(__xludf.DUMMYFUNCTION("""COMPUTED_VALUE"""),42192.64583333333)</f>
        <v>42192.64583</v>
      </c>
      <c r="B866" s="1">
        <f>IFERROR(__xludf.DUMMYFUNCTION("""COMPUTED_VALUE"""),10050.0)</f>
        <v>10050</v>
      </c>
      <c r="C866" s="1">
        <f>IFERROR(__xludf.DUMMYFUNCTION("""COMPUTED_VALUE"""),10200.0)</f>
        <v>10200</v>
      </c>
      <c r="D866" s="1">
        <f>IFERROR(__xludf.DUMMYFUNCTION("""COMPUTED_VALUE"""),9200.0)</f>
        <v>9200</v>
      </c>
      <c r="E866" s="1">
        <f>IFERROR(__xludf.DUMMYFUNCTION("""COMPUTED_VALUE"""),9610.0)</f>
        <v>9610</v>
      </c>
      <c r="F866" s="1">
        <f>IFERROR(__xludf.DUMMYFUNCTION("""COMPUTED_VALUE"""),331187.0)</f>
        <v>331187</v>
      </c>
    </row>
    <row r="867">
      <c r="A867" s="2">
        <f>IFERROR(__xludf.DUMMYFUNCTION("""COMPUTED_VALUE"""),42193.64583333333)</f>
        <v>42193.64583</v>
      </c>
      <c r="B867" s="1">
        <f>IFERROR(__xludf.DUMMYFUNCTION("""COMPUTED_VALUE"""),9610.0)</f>
        <v>9610</v>
      </c>
      <c r="C867" s="1">
        <f>IFERROR(__xludf.DUMMYFUNCTION("""COMPUTED_VALUE"""),9820.0)</f>
        <v>9820</v>
      </c>
      <c r="D867" s="1">
        <f>IFERROR(__xludf.DUMMYFUNCTION("""COMPUTED_VALUE"""),9390.0)</f>
        <v>9390</v>
      </c>
      <c r="E867" s="1">
        <f>IFERROR(__xludf.DUMMYFUNCTION("""COMPUTED_VALUE"""),9570.0)</f>
        <v>9570</v>
      </c>
      <c r="F867" s="1">
        <f>IFERROR(__xludf.DUMMYFUNCTION("""COMPUTED_VALUE"""),91585.0)</f>
        <v>91585</v>
      </c>
    </row>
    <row r="868">
      <c r="A868" s="2">
        <f>IFERROR(__xludf.DUMMYFUNCTION("""COMPUTED_VALUE"""),42194.64583333333)</f>
        <v>42194.64583</v>
      </c>
      <c r="B868" s="1">
        <f>IFERROR(__xludf.DUMMYFUNCTION("""COMPUTED_VALUE"""),9400.0)</f>
        <v>9400</v>
      </c>
      <c r="C868" s="1">
        <f>IFERROR(__xludf.DUMMYFUNCTION("""COMPUTED_VALUE"""),9480.0)</f>
        <v>9480</v>
      </c>
      <c r="D868" s="1">
        <f>IFERROR(__xludf.DUMMYFUNCTION("""COMPUTED_VALUE"""),9000.0)</f>
        <v>9000</v>
      </c>
      <c r="E868" s="1">
        <f>IFERROR(__xludf.DUMMYFUNCTION("""COMPUTED_VALUE"""),9410.0)</f>
        <v>9410</v>
      </c>
      <c r="F868" s="1">
        <f>IFERROR(__xludf.DUMMYFUNCTION("""COMPUTED_VALUE"""),139663.0)</f>
        <v>139663</v>
      </c>
    </row>
    <row r="869">
      <c r="A869" s="2">
        <f>IFERROR(__xludf.DUMMYFUNCTION("""COMPUTED_VALUE"""),42195.64583333333)</f>
        <v>42195.64583</v>
      </c>
      <c r="B869" s="1">
        <f>IFERROR(__xludf.DUMMYFUNCTION("""COMPUTED_VALUE"""),9410.0)</f>
        <v>9410</v>
      </c>
      <c r="C869" s="1">
        <f>IFERROR(__xludf.DUMMYFUNCTION("""COMPUTED_VALUE"""),9800.0)</f>
        <v>9800</v>
      </c>
      <c r="D869" s="1">
        <f>IFERROR(__xludf.DUMMYFUNCTION("""COMPUTED_VALUE"""),9410.0)</f>
        <v>9410</v>
      </c>
      <c r="E869" s="1">
        <f>IFERROR(__xludf.DUMMYFUNCTION("""COMPUTED_VALUE"""),9440.0)</f>
        <v>9440</v>
      </c>
      <c r="F869" s="1">
        <f>IFERROR(__xludf.DUMMYFUNCTION("""COMPUTED_VALUE"""),86762.0)</f>
        <v>86762</v>
      </c>
    </row>
    <row r="870">
      <c r="A870" s="2">
        <f>IFERROR(__xludf.DUMMYFUNCTION("""COMPUTED_VALUE"""),42198.64583333333)</f>
        <v>42198.64583</v>
      </c>
      <c r="B870" s="1">
        <f>IFERROR(__xludf.DUMMYFUNCTION("""COMPUTED_VALUE"""),9440.0)</f>
        <v>9440</v>
      </c>
      <c r="C870" s="1">
        <f>IFERROR(__xludf.DUMMYFUNCTION("""COMPUTED_VALUE"""),9880.0)</f>
        <v>9880</v>
      </c>
      <c r="D870" s="1">
        <f>IFERROR(__xludf.DUMMYFUNCTION("""COMPUTED_VALUE"""),9430.0)</f>
        <v>9430</v>
      </c>
      <c r="E870" s="1">
        <f>IFERROR(__xludf.DUMMYFUNCTION("""COMPUTED_VALUE"""),9750.0)</f>
        <v>9750</v>
      </c>
      <c r="F870" s="1">
        <f>IFERROR(__xludf.DUMMYFUNCTION("""COMPUTED_VALUE"""),80370.0)</f>
        <v>80370</v>
      </c>
    </row>
    <row r="871">
      <c r="A871" s="2">
        <f>IFERROR(__xludf.DUMMYFUNCTION("""COMPUTED_VALUE"""),42199.64583333333)</f>
        <v>42199.64583</v>
      </c>
      <c r="B871" s="1">
        <f>IFERROR(__xludf.DUMMYFUNCTION("""COMPUTED_VALUE"""),9850.0)</f>
        <v>9850</v>
      </c>
      <c r="C871" s="1">
        <f>IFERROR(__xludf.DUMMYFUNCTION("""COMPUTED_VALUE"""),10550.0)</f>
        <v>10550</v>
      </c>
      <c r="D871" s="1">
        <f>IFERROR(__xludf.DUMMYFUNCTION("""COMPUTED_VALUE"""),9830.0)</f>
        <v>9830</v>
      </c>
      <c r="E871" s="1">
        <f>IFERROR(__xludf.DUMMYFUNCTION("""COMPUTED_VALUE"""),10150.0)</f>
        <v>10150</v>
      </c>
      <c r="F871" s="1">
        <f>IFERROR(__xludf.DUMMYFUNCTION("""COMPUTED_VALUE"""),256745.0)</f>
        <v>256745</v>
      </c>
    </row>
    <row r="872">
      <c r="A872" s="2">
        <f>IFERROR(__xludf.DUMMYFUNCTION("""COMPUTED_VALUE"""),42200.64583333333)</f>
        <v>42200.64583</v>
      </c>
      <c r="B872" s="1">
        <f>IFERROR(__xludf.DUMMYFUNCTION("""COMPUTED_VALUE"""),10150.0)</f>
        <v>10150</v>
      </c>
      <c r="C872" s="1">
        <f>IFERROR(__xludf.DUMMYFUNCTION("""COMPUTED_VALUE"""),10350.0)</f>
        <v>10350</v>
      </c>
      <c r="D872" s="1">
        <f>IFERROR(__xludf.DUMMYFUNCTION("""COMPUTED_VALUE"""),9900.0)</f>
        <v>9900</v>
      </c>
      <c r="E872" s="1">
        <f>IFERROR(__xludf.DUMMYFUNCTION("""COMPUTED_VALUE"""),10000.0)</f>
        <v>10000</v>
      </c>
      <c r="F872" s="1">
        <f>IFERROR(__xludf.DUMMYFUNCTION("""COMPUTED_VALUE"""),91679.0)</f>
        <v>91679</v>
      </c>
    </row>
    <row r="873">
      <c r="A873" s="2">
        <f>IFERROR(__xludf.DUMMYFUNCTION("""COMPUTED_VALUE"""),42201.64583333333)</f>
        <v>42201.64583</v>
      </c>
      <c r="B873" s="1">
        <f>IFERROR(__xludf.DUMMYFUNCTION("""COMPUTED_VALUE"""),10000.0)</f>
        <v>10000</v>
      </c>
      <c r="C873" s="1">
        <f>IFERROR(__xludf.DUMMYFUNCTION("""COMPUTED_VALUE"""),10100.0)</f>
        <v>10100</v>
      </c>
      <c r="D873" s="1">
        <f>IFERROR(__xludf.DUMMYFUNCTION("""COMPUTED_VALUE"""),9840.0)</f>
        <v>9840</v>
      </c>
      <c r="E873" s="1">
        <f>IFERROR(__xludf.DUMMYFUNCTION("""COMPUTED_VALUE"""),9920.0)</f>
        <v>9920</v>
      </c>
      <c r="F873" s="1">
        <f>IFERROR(__xludf.DUMMYFUNCTION("""COMPUTED_VALUE"""),75577.0)</f>
        <v>75577</v>
      </c>
    </row>
    <row r="874">
      <c r="A874" s="2">
        <f>IFERROR(__xludf.DUMMYFUNCTION("""COMPUTED_VALUE"""),42202.64583333333)</f>
        <v>42202.64583</v>
      </c>
      <c r="B874" s="1">
        <f>IFERROR(__xludf.DUMMYFUNCTION("""COMPUTED_VALUE"""),9990.0)</f>
        <v>9990</v>
      </c>
      <c r="C874" s="1">
        <f>IFERROR(__xludf.DUMMYFUNCTION("""COMPUTED_VALUE"""),9990.0)</f>
        <v>9990</v>
      </c>
      <c r="D874" s="1">
        <f>IFERROR(__xludf.DUMMYFUNCTION("""COMPUTED_VALUE"""),9700.0)</f>
        <v>9700</v>
      </c>
      <c r="E874" s="1">
        <f>IFERROR(__xludf.DUMMYFUNCTION("""COMPUTED_VALUE"""),9790.0)</f>
        <v>9790</v>
      </c>
      <c r="F874" s="1">
        <f>IFERROR(__xludf.DUMMYFUNCTION("""COMPUTED_VALUE"""),53147.0)</f>
        <v>53147</v>
      </c>
    </row>
    <row r="875">
      <c r="A875" s="2">
        <f>IFERROR(__xludf.DUMMYFUNCTION("""COMPUTED_VALUE"""),42205.64583333333)</f>
        <v>42205.64583</v>
      </c>
      <c r="B875" s="1">
        <f>IFERROR(__xludf.DUMMYFUNCTION("""COMPUTED_VALUE"""),9730.0)</f>
        <v>9730</v>
      </c>
      <c r="C875" s="1">
        <f>IFERROR(__xludf.DUMMYFUNCTION("""COMPUTED_VALUE"""),10250.0)</f>
        <v>10250</v>
      </c>
      <c r="D875" s="1">
        <f>IFERROR(__xludf.DUMMYFUNCTION("""COMPUTED_VALUE"""),9730.0)</f>
        <v>9730</v>
      </c>
      <c r="E875" s="1">
        <f>IFERROR(__xludf.DUMMYFUNCTION("""COMPUTED_VALUE"""),10250.0)</f>
        <v>10250</v>
      </c>
      <c r="F875" s="1">
        <f>IFERROR(__xludf.DUMMYFUNCTION("""COMPUTED_VALUE"""),71132.0)</f>
        <v>71132</v>
      </c>
    </row>
    <row r="876">
      <c r="A876" s="2">
        <f>IFERROR(__xludf.DUMMYFUNCTION("""COMPUTED_VALUE"""),42206.64583333333)</f>
        <v>42206.64583</v>
      </c>
      <c r="B876" s="1">
        <f>IFERROR(__xludf.DUMMYFUNCTION("""COMPUTED_VALUE"""),10250.0)</f>
        <v>10250</v>
      </c>
      <c r="C876" s="1">
        <f>IFERROR(__xludf.DUMMYFUNCTION("""COMPUTED_VALUE"""),10500.0)</f>
        <v>10500</v>
      </c>
      <c r="D876" s="1">
        <f>IFERROR(__xludf.DUMMYFUNCTION("""COMPUTED_VALUE"""),9960.0)</f>
        <v>9960</v>
      </c>
      <c r="E876" s="1">
        <f>IFERROR(__xludf.DUMMYFUNCTION("""COMPUTED_VALUE"""),10100.0)</f>
        <v>10100</v>
      </c>
      <c r="F876" s="1">
        <f>IFERROR(__xludf.DUMMYFUNCTION("""COMPUTED_VALUE"""),77843.0)</f>
        <v>77843</v>
      </c>
    </row>
    <row r="877">
      <c r="A877" s="2">
        <f>IFERROR(__xludf.DUMMYFUNCTION("""COMPUTED_VALUE"""),42207.64583333333)</f>
        <v>42207.64583</v>
      </c>
      <c r="B877" s="1">
        <f>IFERROR(__xludf.DUMMYFUNCTION("""COMPUTED_VALUE"""),10050.0)</f>
        <v>10050</v>
      </c>
      <c r="C877" s="1">
        <f>IFERROR(__xludf.DUMMYFUNCTION("""COMPUTED_VALUE"""),10600.0)</f>
        <v>10600</v>
      </c>
      <c r="D877" s="1">
        <f>IFERROR(__xludf.DUMMYFUNCTION("""COMPUTED_VALUE"""),9970.0)</f>
        <v>9970</v>
      </c>
      <c r="E877" s="1">
        <f>IFERROR(__xludf.DUMMYFUNCTION("""COMPUTED_VALUE"""),10600.0)</f>
        <v>10600</v>
      </c>
      <c r="F877" s="1">
        <f>IFERROR(__xludf.DUMMYFUNCTION("""COMPUTED_VALUE"""),98027.0)</f>
        <v>98027</v>
      </c>
    </row>
    <row r="878">
      <c r="A878" s="2">
        <f>IFERROR(__xludf.DUMMYFUNCTION("""COMPUTED_VALUE"""),42208.64583333333)</f>
        <v>42208.64583</v>
      </c>
      <c r="B878" s="1">
        <f>IFERROR(__xludf.DUMMYFUNCTION("""COMPUTED_VALUE"""),10700.0)</f>
        <v>10700</v>
      </c>
      <c r="C878" s="1">
        <f>IFERROR(__xludf.DUMMYFUNCTION("""COMPUTED_VALUE"""),11300.0)</f>
        <v>11300</v>
      </c>
      <c r="D878" s="1">
        <f>IFERROR(__xludf.DUMMYFUNCTION("""COMPUTED_VALUE"""),10600.0)</f>
        <v>10600</v>
      </c>
      <c r="E878" s="1">
        <f>IFERROR(__xludf.DUMMYFUNCTION("""COMPUTED_VALUE"""),10650.0)</f>
        <v>10650</v>
      </c>
      <c r="F878" s="1">
        <f>IFERROR(__xludf.DUMMYFUNCTION("""COMPUTED_VALUE"""),342506.0)</f>
        <v>342506</v>
      </c>
    </row>
    <row r="879">
      <c r="A879" s="2">
        <f>IFERROR(__xludf.DUMMYFUNCTION("""COMPUTED_VALUE"""),42209.64583333333)</f>
        <v>42209.64583</v>
      </c>
      <c r="B879" s="1">
        <f>IFERROR(__xludf.DUMMYFUNCTION("""COMPUTED_VALUE"""),10550.0)</f>
        <v>10550</v>
      </c>
      <c r="C879" s="1">
        <f>IFERROR(__xludf.DUMMYFUNCTION("""COMPUTED_VALUE"""),10850.0)</f>
        <v>10850</v>
      </c>
      <c r="D879" s="1">
        <f>IFERROR(__xludf.DUMMYFUNCTION("""COMPUTED_VALUE"""),10400.0)</f>
        <v>10400</v>
      </c>
      <c r="E879" s="1">
        <f>IFERROR(__xludf.DUMMYFUNCTION("""COMPUTED_VALUE"""),10650.0)</f>
        <v>10650</v>
      </c>
      <c r="F879" s="1">
        <f>IFERROR(__xludf.DUMMYFUNCTION("""COMPUTED_VALUE"""),47290.0)</f>
        <v>47290</v>
      </c>
    </row>
    <row r="880">
      <c r="A880" s="2">
        <f>IFERROR(__xludf.DUMMYFUNCTION("""COMPUTED_VALUE"""),42212.64583333333)</f>
        <v>42212.64583</v>
      </c>
      <c r="B880" s="1">
        <f>IFERROR(__xludf.DUMMYFUNCTION("""COMPUTED_VALUE"""),10650.0)</f>
        <v>10650</v>
      </c>
      <c r="C880" s="1">
        <f>IFERROR(__xludf.DUMMYFUNCTION("""COMPUTED_VALUE"""),10650.0)</f>
        <v>10650</v>
      </c>
      <c r="D880" s="1">
        <f>IFERROR(__xludf.DUMMYFUNCTION("""COMPUTED_VALUE"""),10150.0)</f>
        <v>10150</v>
      </c>
      <c r="E880" s="1">
        <f>IFERROR(__xludf.DUMMYFUNCTION("""COMPUTED_VALUE"""),10250.0)</f>
        <v>10250</v>
      </c>
      <c r="F880" s="1">
        <f>IFERROR(__xludf.DUMMYFUNCTION("""COMPUTED_VALUE"""),65888.0)</f>
        <v>65888</v>
      </c>
    </row>
    <row r="881">
      <c r="A881" s="2">
        <f>IFERROR(__xludf.DUMMYFUNCTION("""COMPUTED_VALUE"""),42213.64583333333)</f>
        <v>42213.64583</v>
      </c>
      <c r="B881" s="1">
        <f>IFERROR(__xludf.DUMMYFUNCTION("""COMPUTED_VALUE"""),10050.0)</f>
        <v>10050</v>
      </c>
      <c r="C881" s="1">
        <f>IFERROR(__xludf.DUMMYFUNCTION("""COMPUTED_VALUE"""),10550.0)</f>
        <v>10550</v>
      </c>
      <c r="D881" s="1">
        <f>IFERROR(__xludf.DUMMYFUNCTION("""COMPUTED_VALUE"""),9910.0)</f>
        <v>9910</v>
      </c>
      <c r="E881" s="1">
        <f>IFERROR(__xludf.DUMMYFUNCTION("""COMPUTED_VALUE"""),10150.0)</f>
        <v>10150</v>
      </c>
      <c r="F881" s="1">
        <f>IFERROR(__xludf.DUMMYFUNCTION("""COMPUTED_VALUE"""),156326.0)</f>
        <v>156326</v>
      </c>
    </row>
    <row r="882">
      <c r="A882" s="2">
        <f>IFERROR(__xludf.DUMMYFUNCTION("""COMPUTED_VALUE"""),42214.64583333333)</f>
        <v>42214.64583</v>
      </c>
      <c r="B882" s="1">
        <f>IFERROR(__xludf.DUMMYFUNCTION("""COMPUTED_VALUE"""),10200.0)</f>
        <v>10200</v>
      </c>
      <c r="C882" s="1">
        <f>IFERROR(__xludf.DUMMYFUNCTION("""COMPUTED_VALUE"""),10300.0)</f>
        <v>10300</v>
      </c>
      <c r="D882" s="1">
        <f>IFERROR(__xludf.DUMMYFUNCTION("""COMPUTED_VALUE"""),9820.0)</f>
        <v>9820</v>
      </c>
      <c r="E882" s="1">
        <f>IFERROR(__xludf.DUMMYFUNCTION("""COMPUTED_VALUE"""),9880.0)</f>
        <v>9880</v>
      </c>
      <c r="F882" s="1">
        <f>IFERROR(__xludf.DUMMYFUNCTION("""COMPUTED_VALUE"""),61288.0)</f>
        <v>61288</v>
      </c>
    </row>
    <row r="883">
      <c r="A883" s="2">
        <f>IFERROR(__xludf.DUMMYFUNCTION("""COMPUTED_VALUE"""),42215.64583333333)</f>
        <v>42215.64583</v>
      </c>
      <c r="B883" s="1">
        <f>IFERROR(__xludf.DUMMYFUNCTION("""COMPUTED_VALUE"""),9990.0)</f>
        <v>9990</v>
      </c>
      <c r="C883" s="1">
        <f>IFERROR(__xludf.DUMMYFUNCTION("""COMPUTED_VALUE"""),9990.0)</f>
        <v>9990</v>
      </c>
      <c r="D883" s="1">
        <f>IFERROR(__xludf.DUMMYFUNCTION("""COMPUTED_VALUE"""),9570.0)</f>
        <v>9570</v>
      </c>
      <c r="E883" s="1">
        <f>IFERROR(__xludf.DUMMYFUNCTION("""COMPUTED_VALUE"""),9660.0)</f>
        <v>9660</v>
      </c>
      <c r="F883" s="1">
        <f>IFERROR(__xludf.DUMMYFUNCTION("""COMPUTED_VALUE"""),48374.0)</f>
        <v>48374</v>
      </c>
    </row>
    <row r="884">
      <c r="A884" s="2">
        <f>IFERROR(__xludf.DUMMYFUNCTION("""COMPUTED_VALUE"""),42216.64583333333)</f>
        <v>42216.64583</v>
      </c>
      <c r="B884" s="1">
        <f>IFERROR(__xludf.DUMMYFUNCTION("""COMPUTED_VALUE"""),9560.0)</f>
        <v>9560</v>
      </c>
      <c r="C884" s="1">
        <f>IFERROR(__xludf.DUMMYFUNCTION("""COMPUTED_VALUE"""),9850.0)</f>
        <v>9850</v>
      </c>
      <c r="D884" s="1">
        <f>IFERROR(__xludf.DUMMYFUNCTION("""COMPUTED_VALUE"""),9550.0)</f>
        <v>9550</v>
      </c>
      <c r="E884" s="1">
        <f>IFERROR(__xludf.DUMMYFUNCTION("""COMPUTED_VALUE"""),9670.0)</f>
        <v>9670</v>
      </c>
      <c r="F884" s="1">
        <f>IFERROR(__xludf.DUMMYFUNCTION("""COMPUTED_VALUE"""),23585.0)</f>
        <v>23585</v>
      </c>
    </row>
    <row r="885">
      <c r="A885" s="2">
        <f>IFERROR(__xludf.DUMMYFUNCTION("""COMPUTED_VALUE"""),42219.64583333333)</f>
        <v>42219.64583</v>
      </c>
      <c r="B885" s="1">
        <f>IFERROR(__xludf.DUMMYFUNCTION("""COMPUTED_VALUE"""),9990.0)</f>
        <v>9990</v>
      </c>
      <c r="C885" s="1">
        <f>IFERROR(__xludf.DUMMYFUNCTION("""COMPUTED_VALUE"""),10100.0)</f>
        <v>10100</v>
      </c>
      <c r="D885" s="1">
        <f>IFERROR(__xludf.DUMMYFUNCTION("""COMPUTED_VALUE"""),9690.0)</f>
        <v>9690</v>
      </c>
      <c r="E885" s="1">
        <f>IFERROR(__xludf.DUMMYFUNCTION("""COMPUTED_VALUE"""),9900.0)</f>
        <v>9900</v>
      </c>
      <c r="F885" s="1">
        <f>IFERROR(__xludf.DUMMYFUNCTION("""COMPUTED_VALUE"""),39740.0)</f>
        <v>39740</v>
      </c>
    </row>
    <row r="886">
      <c r="A886" s="2">
        <f>IFERROR(__xludf.DUMMYFUNCTION("""COMPUTED_VALUE"""),42220.64583333333)</f>
        <v>42220.64583</v>
      </c>
      <c r="B886" s="1">
        <f>IFERROR(__xludf.DUMMYFUNCTION("""COMPUTED_VALUE"""),10000.0)</f>
        <v>10000</v>
      </c>
      <c r="C886" s="1">
        <f>IFERROR(__xludf.DUMMYFUNCTION("""COMPUTED_VALUE"""),10000.0)</f>
        <v>10000</v>
      </c>
      <c r="D886" s="1">
        <f>IFERROR(__xludf.DUMMYFUNCTION("""COMPUTED_VALUE"""),9700.0)</f>
        <v>9700</v>
      </c>
      <c r="E886" s="1">
        <f>IFERROR(__xludf.DUMMYFUNCTION("""COMPUTED_VALUE"""),9770.0)</f>
        <v>9770</v>
      </c>
      <c r="F886" s="1">
        <f>IFERROR(__xludf.DUMMYFUNCTION("""COMPUTED_VALUE"""),39498.0)</f>
        <v>39498</v>
      </c>
    </row>
    <row r="887">
      <c r="A887" s="2">
        <f>IFERROR(__xludf.DUMMYFUNCTION("""COMPUTED_VALUE"""),42221.64583333333)</f>
        <v>42221.64583</v>
      </c>
      <c r="B887" s="1">
        <f>IFERROR(__xludf.DUMMYFUNCTION("""COMPUTED_VALUE"""),9770.0)</f>
        <v>9770</v>
      </c>
      <c r="C887" s="1">
        <f>IFERROR(__xludf.DUMMYFUNCTION("""COMPUTED_VALUE"""),11500.0)</f>
        <v>11500</v>
      </c>
      <c r="D887" s="1">
        <f>IFERROR(__xludf.DUMMYFUNCTION("""COMPUTED_VALUE"""),9710.0)</f>
        <v>9710</v>
      </c>
      <c r="E887" s="1">
        <f>IFERROR(__xludf.DUMMYFUNCTION("""COMPUTED_VALUE"""),10950.0)</f>
        <v>10950</v>
      </c>
      <c r="F887" s="1">
        <f>IFERROR(__xludf.DUMMYFUNCTION("""COMPUTED_VALUE"""),416703.0)</f>
        <v>416703</v>
      </c>
    </row>
    <row r="888">
      <c r="A888" s="2">
        <f>IFERROR(__xludf.DUMMYFUNCTION("""COMPUTED_VALUE"""),42222.64583333333)</f>
        <v>42222.64583</v>
      </c>
      <c r="B888" s="1">
        <f>IFERROR(__xludf.DUMMYFUNCTION("""COMPUTED_VALUE"""),10900.0)</f>
        <v>10900</v>
      </c>
      <c r="C888" s="1">
        <f>IFERROR(__xludf.DUMMYFUNCTION("""COMPUTED_VALUE"""),11200.0)</f>
        <v>11200</v>
      </c>
      <c r="D888" s="1">
        <f>IFERROR(__xludf.DUMMYFUNCTION("""COMPUTED_VALUE"""),10600.0)</f>
        <v>10600</v>
      </c>
      <c r="E888" s="1">
        <f>IFERROR(__xludf.DUMMYFUNCTION("""COMPUTED_VALUE"""),10650.0)</f>
        <v>10650</v>
      </c>
      <c r="F888" s="1">
        <f>IFERROR(__xludf.DUMMYFUNCTION("""COMPUTED_VALUE"""),99741.0)</f>
        <v>99741</v>
      </c>
    </row>
    <row r="889">
      <c r="A889" s="2">
        <f>IFERROR(__xludf.DUMMYFUNCTION("""COMPUTED_VALUE"""),42223.64583333333)</f>
        <v>42223.64583</v>
      </c>
      <c r="B889" s="1">
        <f>IFERROR(__xludf.DUMMYFUNCTION("""COMPUTED_VALUE"""),10500.0)</f>
        <v>10500</v>
      </c>
      <c r="C889" s="1">
        <f>IFERROR(__xludf.DUMMYFUNCTION("""COMPUTED_VALUE"""),11200.0)</f>
        <v>11200</v>
      </c>
      <c r="D889" s="1">
        <f>IFERROR(__xludf.DUMMYFUNCTION("""COMPUTED_VALUE"""),10500.0)</f>
        <v>10500</v>
      </c>
      <c r="E889" s="1">
        <f>IFERROR(__xludf.DUMMYFUNCTION("""COMPUTED_VALUE"""),10850.0)</f>
        <v>10850</v>
      </c>
      <c r="F889" s="1">
        <f>IFERROR(__xludf.DUMMYFUNCTION("""COMPUTED_VALUE"""),132103.0)</f>
        <v>132103</v>
      </c>
    </row>
    <row r="890">
      <c r="A890" s="2">
        <f>IFERROR(__xludf.DUMMYFUNCTION("""COMPUTED_VALUE"""),42226.64583333333)</f>
        <v>42226.64583</v>
      </c>
      <c r="B890" s="1">
        <f>IFERROR(__xludf.DUMMYFUNCTION("""COMPUTED_VALUE"""),10900.0)</f>
        <v>10900</v>
      </c>
      <c r="C890" s="1">
        <f>IFERROR(__xludf.DUMMYFUNCTION("""COMPUTED_VALUE"""),11550.0)</f>
        <v>11550</v>
      </c>
      <c r="D890" s="1">
        <f>IFERROR(__xludf.DUMMYFUNCTION("""COMPUTED_VALUE"""),10900.0)</f>
        <v>10900</v>
      </c>
      <c r="E890" s="1">
        <f>IFERROR(__xludf.DUMMYFUNCTION("""COMPUTED_VALUE"""),11200.0)</f>
        <v>11200</v>
      </c>
      <c r="F890" s="1">
        <f>IFERROR(__xludf.DUMMYFUNCTION("""COMPUTED_VALUE"""),121662.0)</f>
        <v>121662</v>
      </c>
    </row>
    <row r="891">
      <c r="A891" s="2">
        <f>IFERROR(__xludf.DUMMYFUNCTION("""COMPUTED_VALUE"""),42227.64583333333)</f>
        <v>42227.64583</v>
      </c>
      <c r="B891" s="1">
        <f>IFERROR(__xludf.DUMMYFUNCTION("""COMPUTED_VALUE"""),11250.0)</f>
        <v>11250</v>
      </c>
      <c r="C891" s="1">
        <f>IFERROR(__xludf.DUMMYFUNCTION("""COMPUTED_VALUE"""),11400.0)</f>
        <v>11400</v>
      </c>
      <c r="D891" s="1">
        <f>IFERROR(__xludf.DUMMYFUNCTION("""COMPUTED_VALUE"""),10650.0)</f>
        <v>10650</v>
      </c>
      <c r="E891" s="1">
        <f>IFERROR(__xludf.DUMMYFUNCTION("""COMPUTED_VALUE"""),10650.0)</f>
        <v>10650</v>
      </c>
      <c r="F891" s="1">
        <f>IFERROR(__xludf.DUMMYFUNCTION("""COMPUTED_VALUE"""),66166.0)</f>
        <v>66166</v>
      </c>
    </row>
    <row r="892">
      <c r="A892" s="2">
        <f>IFERROR(__xludf.DUMMYFUNCTION("""COMPUTED_VALUE"""),42228.64583333333)</f>
        <v>42228.64583</v>
      </c>
      <c r="B892" s="1">
        <f>IFERROR(__xludf.DUMMYFUNCTION("""COMPUTED_VALUE"""),10500.0)</f>
        <v>10500</v>
      </c>
      <c r="C892" s="1">
        <f>IFERROR(__xludf.DUMMYFUNCTION("""COMPUTED_VALUE"""),10650.0)</f>
        <v>10650</v>
      </c>
      <c r="D892" s="1">
        <f>IFERROR(__xludf.DUMMYFUNCTION("""COMPUTED_VALUE"""),9900.0)</f>
        <v>9900</v>
      </c>
      <c r="E892" s="1">
        <f>IFERROR(__xludf.DUMMYFUNCTION("""COMPUTED_VALUE"""),10100.0)</f>
        <v>10100</v>
      </c>
      <c r="F892" s="1">
        <f>IFERROR(__xludf.DUMMYFUNCTION("""COMPUTED_VALUE"""),95303.0)</f>
        <v>95303</v>
      </c>
    </row>
    <row r="893">
      <c r="A893" s="2">
        <f>IFERROR(__xludf.DUMMYFUNCTION("""COMPUTED_VALUE"""),42229.64583333333)</f>
        <v>42229.64583</v>
      </c>
      <c r="B893" s="1">
        <f>IFERROR(__xludf.DUMMYFUNCTION("""COMPUTED_VALUE"""),10100.0)</f>
        <v>10100</v>
      </c>
      <c r="C893" s="1">
        <f>IFERROR(__xludf.DUMMYFUNCTION("""COMPUTED_VALUE"""),10400.0)</f>
        <v>10400</v>
      </c>
      <c r="D893" s="1">
        <f>IFERROR(__xludf.DUMMYFUNCTION("""COMPUTED_VALUE"""),9900.0)</f>
        <v>9900</v>
      </c>
      <c r="E893" s="1">
        <f>IFERROR(__xludf.DUMMYFUNCTION("""COMPUTED_VALUE"""),10250.0)</f>
        <v>10250</v>
      </c>
      <c r="F893" s="1">
        <f>IFERROR(__xludf.DUMMYFUNCTION("""COMPUTED_VALUE"""),45064.0)</f>
        <v>45064</v>
      </c>
    </row>
    <row r="894">
      <c r="A894" s="2">
        <f>IFERROR(__xludf.DUMMYFUNCTION("""COMPUTED_VALUE"""),42233.64583333333)</f>
        <v>42233.64583</v>
      </c>
      <c r="B894" s="1">
        <f>IFERROR(__xludf.DUMMYFUNCTION("""COMPUTED_VALUE"""),10400.0)</f>
        <v>10400</v>
      </c>
      <c r="C894" s="1">
        <f>IFERROR(__xludf.DUMMYFUNCTION("""COMPUTED_VALUE"""),11200.0)</f>
        <v>11200</v>
      </c>
      <c r="D894" s="1">
        <f>IFERROR(__xludf.DUMMYFUNCTION("""COMPUTED_VALUE"""),10200.0)</f>
        <v>10200</v>
      </c>
      <c r="E894" s="1">
        <f>IFERROR(__xludf.DUMMYFUNCTION("""COMPUTED_VALUE"""),10600.0)</f>
        <v>10600</v>
      </c>
      <c r="F894" s="1">
        <f>IFERROR(__xludf.DUMMYFUNCTION("""COMPUTED_VALUE"""),65599.0)</f>
        <v>65599</v>
      </c>
    </row>
    <row r="895">
      <c r="A895" s="2">
        <f>IFERROR(__xludf.DUMMYFUNCTION("""COMPUTED_VALUE"""),42234.64583333333)</f>
        <v>42234.64583</v>
      </c>
      <c r="B895" s="1">
        <f>IFERROR(__xludf.DUMMYFUNCTION("""COMPUTED_VALUE"""),10600.0)</f>
        <v>10600</v>
      </c>
      <c r="C895" s="1">
        <f>IFERROR(__xludf.DUMMYFUNCTION("""COMPUTED_VALUE"""),10800.0)</f>
        <v>10800</v>
      </c>
      <c r="D895" s="1">
        <f>IFERROR(__xludf.DUMMYFUNCTION("""COMPUTED_VALUE"""),10050.0)</f>
        <v>10050</v>
      </c>
      <c r="E895" s="1">
        <f>IFERROR(__xludf.DUMMYFUNCTION("""COMPUTED_VALUE"""),10300.0)</f>
        <v>10300</v>
      </c>
      <c r="F895" s="1">
        <f>IFERROR(__xludf.DUMMYFUNCTION("""COMPUTED_VALUE"""),98952.0)</f>
        <v>98952</v>
      </c>
    </row>
    <row r="896">
      <c r="A896" s="2">
        <f>IFERROR(__xludf.DUMMYFUNCTION("""COMPUTED_VALUE"""),42235.64583333333)</f>
        <v>42235.64583</v>
      </c>
      <c r="B896" s="1">
        <f>IFERROR(__xludf.DUMMYFUNCTION("""COMPUTED_VALUE"""),10100.0)</f>
        <v>10100</v>
      </c>
      <c r="C896" s="1">
        <f>IFERROR(__xludf.DUMMYFUNCTION("""COMPUTED_VALUE"""),10200.0)</f>
        <v>10200</v>
      </c>
      <c r="D896" s="1">
        <f>IFERROR(__xludf.DUMMYFUNCTION("""COMPUTED_VALUE"""),9600.0)</f>
        <v>9600</v>
      </c>
      <c r="E896" s="1">
        <f>IFERROR(__xludf.DUMMYFUNCTION("""COMPUTED_VALUE"""),9700.0)</f>
        <v>9700</v>
      </c>
      <c r="F896" s="1">
        <f>IFERROR(__xludf.DUMMYFUNCTION("""COMPUTED_VALUE"""),110504.0)</f>
        <v>110504</v>
      </c>
    </row>
    <row r="897">
      <c r="A897" s="2">
        <f>IFERROR(__xludf.DUMMYFUNCTION("""COMPUTED_VALUE"""),42236.64583333333)</f>
        <v>42236.64583</v>
      </c>
      <c r="B897" s="1">
        <f>IFERROR(__xludf.DUMMYFUNCTION("""COMPUTED_VALUE"""),9500.0)</f>
        <v>9500</v>
      </c>
      <c r="C897" s="1">
        <f>IFERROR(__xludf.DUMMYFUNCTION("""COMPUTED_VALUE"""),9590.0)</f>
        <v>9590</v>
      </c>
      <c r="D897" s="1">
        <f>IFERROR(__xludf.DUMMYFUNCTION("""COMPUTED_VALUE"""),9120.0)</f>
        <v>9120</v>
      </c>
      <c r="E897" s="1">
        <f>IFERROR(__xludf.DUMMYFUNCTION("""COMPUTED_VALUE"""),9140.0)</f>
        <v>9140</v>
      </c>
      <c r="F897" s="1">
        <f>IFERROR(__xludf.DUMMYFUNCTION("""COMPUTED_VALUE"""),158391.0)</f>
        <v>158391</v>
      </c>
    </row>
    <row r="898">
      <c r="A898" s="2">
        <f>IFERROR(__xludf.DUMMYFUNCTION("""COMPUTED_VALUE"""),42237.64583333333)</f>
        <v>42237.64583</v>
      </c>
      <c r="B898" s="1">
        <f>IFERROR(__xludf.DUMMYFUNCTION("""COMPUTED_VALUE"""),8560.0)</f>
        <v>8560</v>
      </c>
      <c r="C898" s="1">
        <f>IFERROR(__xludf.DUMMYFUNCTION("""COMPUTED_VALUE"""),8800.0)</f>
        <v>8800</v>
      </c>
      <c r="D898" s="1">
        <f>IFERROR(__xludf.DUMMYFUNCTION("""COMPUTED_VALUE"""),8080.0)</f>
        <v>8080</v>
      </c>
      <c r="E898" s="1">
        <f>IFERROR(__xludf.DUMMYFUNCTION("""COMPUTED_VALUE"""),8410.0)</f>
        <v>8410</v>
      </c>
      <c r="F898" s="1">
        <f>IFERROR(__xludf.DUMMYFUNCTION("""COMPUTED_VALUE"""),173520.0)</f>
        <v>173520</v>
      </c>
    </row>
    <row r="899">
      <c r="A899" s="2">
        <f>IFERROR(__xludf.DUMMYFUNCTION("""COMPUTED_VALUE"""),42240.64583333333)</f>
        <v>42240.64583</v>
      </c>
      <c r="B899" s="1">
        <f>IFERROR(__xludf.DUMMYFUNCTION("""COMPUTED_VALUE"""),8060.0)</f>
        <v>8060</v>
      </c>
      <c r="C899" s="1">
        <f>IFERROR(__xludf.DUMMYFUNCTION("""COMPUTED_VALUE"""),8590.0)</f>
        <v>8590</v>
      </c>
      <c r="D899" s="1">
        <f>IFERROR(__xludf.DUMMYFUNCTION("""COMPUTED_VALUE"""),7770.0)</f>
        <v>7770</v>
      </c>
      <c r="E899" s="1">
        <f>IFERROR(__xludf.DUMMYFUNCTION("""COMPUTED_VALUE"""),7800.0)</f>
        <v>7800</v>
      </c>
      <c r="F899" s="1">
        <f>IFERROR(__xludf.DUMMYFUNCTION("""COMPUTED_VALUE"""),136008.0)</f>
        <v>136008</v>
      </c>
    </row>
    <row r="900">
      <c r="A900" s="2">
        <f>IFERROR(__xludf.DUMMYFUNCTION("""COMPUTED_VALUE"""),42241.64583333333)</f>
        <v>42241.64583</v>
      </c>
      <c r="B900" s="1">
        <f>IFERROR(__xludf.DUMMYFUNCTION("""COMPUTED_VALUE"""),7800.0)</f>
        <v>7800</v>
      </c>
      <c r="C900" s="1">
        <f>IFERROR(__xludf.DUMMYFUNCTION("""COMPUTED_VALUE"""),8110.0)</f>
        <v>8110</v>
      </c>
      <c r="D900" s="1">
        <f>IFERROR(__xludf.DUMMYFUNCTION("""COMPUTED_VALUE"""),7510.0)</f>
        <v>7510</v>
      </c>
      <c r="E900" s="1">
        <f>IFERROR(__xludf.DUMMYFUNCTION("""COMPUTED_VALUE"""),8100.0)</f>
        <v>8100</v>
      </c>
      <c r="F900" s="1">
        <f>IFERROR(__xludf.DUMMYFUNCTION("""COMPUTED_VALUE"""),134311.0)</f>
        <v>134311</v>
      </c>
    </row>
    <row r="901">
      <c r="A901" s="2">
        <f>IFERROR(__xludf.DUMMYFUNCTION("""COMPUTED_VALUE"""),42242.64583333333)</f>
        <v>42242.64583</v>
      </c>
      <c r="B901" s="1">
        <f>IFERROR(__xludf.DUMMYFUNCTION("""COMPUTED_VALUE"""),7940.0)</f>
        <v>7940</v>
      </c>
      <c r="C901" s="1">
        <f>IFERROR(__xludf.DUMMYFUNCTION("""COMPUTED_VALUE"""),8500.0)</f>
        <v>8500</v>
      </c>
      <c r="D901" s="1">
        <f>IFERROR(__xludf.DUMMYFUNCTION("""COMPUTED_VALUE"""),7930.0)</f>
        <v>7930</v>
      </c>
      <c r="E901" s="1">
        <f>IFERROR(__xludf.DUMMYFUNCTION("""COMPUTED_VALUE"""),8380.0)</f>
        <v>8380</v>
      </c>
      <c r="F901" s="1">
        <f>IFERROR(__xludf.DUMMYFUNCTION("""COMPUTED_VALUE"""),103552.0)</f>
        <v>103552</v>
      </c>
    </row>
    <row r="902">
      <c r="A902" s="2">
        <f>IFERROR(__xludf.DUMMYFUNCTION("""COMPUTED_VALUE"""),42243.64583333333)</f>
        <v>42243.64583</v>
      </c>
      <c r="B902" s="1">
        <f>IFERROR(__xludf.DUMMYFUNCTION("""COMPUTED_VALUE"""),8700.0)</f>
        <v>8700</v>
      </c>
      <c r="C902" s="1">
        <f>IFERROR(__xludf.DUMMYFUNCTION("""COMPUTED_VALUE"""),10050.0)</f>
        <v>10050</v>
      </c>
      <c r="D902" s="1">
        <f>IFERROR(__xludf.DUMMYFUNCTION("""COMPUTED_VALUE"""),8620.0)</f>
        <v>8620</v>
      </c>
      <c r="E902" s="1">
        <f>IFERROR(__xludf.DUMMYFUNCTION("""COMPUTED_VALUE"""),9600.0)</f>
        <v>9600</v>
      </c>
      <c r="F902" s="1">
        <f>IFERROR(__xludf.DUMMYFUNCTION("""COMPUTED_VALUE"""),406136.0)</f>
        <v>406136</v>
      </c>
    </row>
    <row r="903">
      <c r="A903" s="2">
        <f>IFERROR(__xludf.DUMMYFUNCTION("""COMPUTED_VALUE"""),42244.64583333333)</f>
        <v>42244.64583</v>
      </c>
      <c r="B903" s="1">
        <f>IFERROR(__xludf.DUMMYFUNCTION("""COMPUTED_VALUE"""),9790.0)</f>
        <v>9790</v>
      </c>
      <c r="C903" s="1">
        <f>IFERROR(__xludf.DUMMYFUNCTION("""COMPUTED_VALUE"""),9790.0)</f>
        <v>9790</v>
      </c>
      <c r="D903" s="1">
        <f>IFERROR(__xludf.DUMMYFUNCTION("""COMPUTED_VALUE"""),9480.0)</f>
        <v>9480</v>
      </c>
      <c r="E903" s="1">
        <f>IFERROR(__xludf.DUMMYFUNCTION("""COMPUTED_VALUE"""),9560.0)</f>
        <v>9560</v>
      </c>
      <c r="F903" s="1">
        <f>IFERROR(__xludf.DUMMYFUNCTION("""COMPUTED_VALUE"""),80620.0)</f>
        <v>80620</v>
      </c>
    </row>
    <row r="904">
      <c r="A904" s="2">
        <f>IFERROR(__xludf.DUMMYFUNCTION("""COMPUTED_VALUE"""),42247.64583333333)</f>
        <v>42247.64583</v>
      </c>
      <c r="B904" s="1">
        <f>IFERROR(__xludf.DUMMYFUNCTION("""COMPUTED_VALUE"""),9500.0)</f>
        <v>9500</v>
      </c>
      <c r="C904" s="1">
        <f>IFERROR(__xludf.DUMMYFUNCTION("""COMPUTED_VALUE"""),9760.0)</f>
        <v>9760</v>
      </c>
      <c r="D904" s="1">
        <f>IFERROR(__xludf.DUMMYFUNCTION("""COMPUTED_VALUE"""),9300.0)</f>
        <v>9300</v>
      </c>
      <c r="E904" s="1">
        <f>IFERROR(__xludf.DUMMYFUNCTION("""COMPUTED_VALUE"""),9480.0)</f>
        <v>9480</v>
      </c>
      <c r="F904" s="1">
        <f>IFERROR(__xludf.DUMMYFUNCTION("""COMPUTED_VALUE"""),67605.0)</f>
        <v>67605</v>
      </c>
    </row>
    <row r="905">
      <c r="A905" s="2">
        <f>IFERROR(__xludf.DUMMYFUNCTION("""COMPUTED_VALUE"""),42248.64583333333)</f>
        <v>42248.64583</v>
      </c>
      <c r="B905" s="1">
        <f>IFERROR(__xludf.DUMMYFUNCTION("""COMPUTED_VALUE"""),9640.0)</f>
        <v>9640</v>
      </c>
      <c r="C905" s="1">
        <f>IFERROR(__xludf.DUMMYFUNCTION("""COMPUTED_VALUE"""),10700.0)</f>
        <v>10700</v>
      </c>
      <c r="D905" s="1">
        <f>IFERROR(__xludf.DUMMYFUNCTION("""COMPUTED_VALUE"""),9560.0)</f>
        <v>9560</v>
      </c>
      <c r="E905" s="1">
        <f>IFERROR(__xludf.DUMMYFUNCTION("""COMPUTED_VALUE"""),9850.0)</f>
        <v>9850</v>
      </c>
      <c r="F905" s="1">
        <f>IFERROR(__xludf.DUMMYFUNCTION("""COMPUTED_VALUE"""),360221.0)</f>
        <v>360221</v>
      </c>
    </row>
    <row r="906">
      <c r="A906" s="2">
        <f>IFERROR(__xludf.DUMMYFUNCTION("""COMPUTED_VALUE"""),42249.64583333333)</f>
        <v>42249.64583</v>
      </c>
      <c r="B906" s="1">
        <f>IFERROR(__xludf.DUMMYFUNCTION("""COMPUTED_VALUE"""),9600.0)</f>
        <v>9600</v>
      </c>
      <c r="C906" s="1">
        <f>IFERROR(__xludf.DUMMYFUNCTION("""COMPUTED_VALUE"""),9860.0)</f>
        <v>9860</v>
      </c>
      <c r="D906" s="1">
        <f>IFERROR(__xludf.DUMMYFUNCTION("""COMPUTED_VALUE"""),9460.0)</f>
        <v>9460</v>
      </c>
      <c r="E906" s="1">
        <f>IFERROR(__xludf.DUMMYFUNCTION("""COMPUTED_VALUE"""),9820.0)</f>
        <v>9820</v>
      </c>
      <c r="F906" s="1">
        <f>IFERROR(__xludf.DUMMYFUNCTION("""COMPUTED_VALUE"""),57036.0)</f>
        <v>57036</v>
      </c>
    </row>
    <row r="907">
      <c r="A907" s="2">
        <f>IFERROR(__xludf.DUMMYFUNCTION("""COMPUTED_VALUE"""),42250.64583333333)</f>
        <v>42250.64583</v>
      </c>
      <c r="B907" s="1">
        <f>IFERROR(__xludf.DUMMYFUNCTION("""COMPUTED_VALUE"""),9820.0)</f>
        <v>9820</v>
      </c>
      <c r="C907" s="1">
        <f>IFERROR(__xludf.DUMMYFUNCTION("""COMPUTED_VALUE"""),11850.0)</f>
        <v>11850</v>
      </c>
      <c r="D907" s="1">
        <f>IFERROR(__xludf.DUMMYFUNCTION("""COMPUTED_VALUE"""),9820.0)</f>
        <v>9820</v>
      </c>
      <c r="E907" s="1">
        <f>IFERROR(__xludf.DUMMYFUNCTION("""COMPUTED_VALUE"""),11350.0)</f>
        <v>11350</v>
      </c>
      <c r="F907" s="1">
        <f>IFERROR(__xludf.DUMMYFUNCTION("""COMPUTED_VALUE"""),869739.0)</f>
        <v>869739</v>
      </c>
    </row>
    <row r="908">
      <c r="A908" s="2">
        <f>IFERROR(__xludf.DUMMYFUNCTION("""COMPUTED_VALUE"""),42251.64583333333)</f>
        <v>42251.64583</v>
      </c>
      <c r="B908" s="1">
        <f>IFERROR(__xludf.DUMMYFUNCTION("""COMPUTED_VALUE"""),11350.0)</f>
        <v>11350</v>
      </c>
      <c r="C908" s="1">
        <f>IFERROR(__xludf.DUMMYFUNCTION("""COMPUTED_VALUE"""),11750.0)</f>
        <v>11750</v>
      </c>
      <c r="D908" s="1">
        <f>IFERROR(__xludf.DUMMYFUNCTION("""COMPUTED_VALUE"""),10500.0)</f>
        <v>10500</v>
      </c>
      <c r="E908" s="1">
        <f>IFERROR(__xludf.DUMMYFUNCTION("""COMPUTED_VALUE"""),10550.0)</f>
        <v>10550</v>
      </c>
      <c r="F908" s="1">
        <f>IFERROR(__xludf.DUMMYFUNCTION("""COMPUTED_VALUE"""),386869.0)</f>
        <v>386869</v>
      </c>
    </row>
    <row r="909">
      <c r="A909" s="2">
        <f>IFERROR(__xludf.DUMMYFUNCTION("""COMPUTED_VALUE"""),42254.64583333333)</f>
        <v>42254.64583</v>
      </c>
      <c r="B909" s="1">
        <f>IFERROR(__xludf.DUMMYFUNCTION("""COMPUTED_VALUE"""),10700.0)</f>
        <v>10700</v>
      </c>
      <c r="C909" s="1">
        <f>IFERROR(__xludf.DUMMYFUNCTION("""COMPUTED_VALUE"""),11250.0)</f>
        <v>11250</v>
      </c>
      <c r="D909" s="1">
        <f>IFERROR(__xludf.DUMMYFUNCTION("""COMPUTED_VALUE"""),10550.0)</f>
        <v>10550</v>
      </c>
      <c r="E909" s="1">
        <f>IFERROR(__xludf.DUMMYFUNCTION("""COMPUTED_VALUE"""),11150.0)</f>
        <v>11150</v>
      </c>
      <c r="F909" s="1">
        <f>IFERROR(__xludf.DUMMYFUNCTION("""COMPUTED_VALUE"""),268586.0)</f>
        <v>268586</v>
      </c>
    </row>
    <row r="910">
      <c r="A910" s="2">
        <f>IFERROR(__xludf.DUMMYFUNCTION("""COMPUTED_VALUE"""),42255.64583333333)</f>
        <v>42255.64583</v>
      </c>
      <c r="B910" s="1">
        <f>IFERROR(__xludf.DUMMYFUNCTION("""COMPUTED_VALUE"""),11350.0)</f>
        <v>11350</v>
      </c>
      <c r="C910" s="1">
        <f>IFERROR(__xludf.DUMMYFUNCTION("""COMPUTED_VALUE"""),11650.0)</f>
        <v>11650</v>
      </c>
      <c r="D910" s="1">
        <f>IFERROR(__xludf.DUMMYFUNCTION("""COMPUTED_VALUE"""),10600.0)</f>
        <v>10600</v>
      </c>
      <c r="E910" s="1">
        <f>IFERROR(__xludf.DUMMYFUNCTION("""COMPUTED_VALUE"""),11150.0)</f>
        <v>11150</v>
      </c>
      <c r="F910" s="1">
        <f>IFERROR(__xludf.DUMMYFUNCTION("""COMPUTED_VALUE"""),214873.0)</f>
        <v>214873</v>
      </c>
    </row>
    <row r="911">
      <c r="A911" s="2">
        <f>IFERROR(__xludf.DUMMYFUNCTION("""COMPUTED_VALUE"""),42256.64583333333)</f>
        <v>42256.64583</v>
      </c>
      <c r="B911" s="1">
        <f>IFERROR(__xludf.DUMMYFUNCTION("""COMPUTED_VALUE"""),11400.0)</f>
        <v>11400</v>
      </c>
      <c r="C911" s="1">
        <f>IFERROR(__xludf.DUMMYFUNCTION("""COMPUTED_VALUE"""),11650.0)</f>
        <v>11650</v>
      </c>
      <c r="D911" s="1">
        <f>IFERROR(__xludf.DUMMYFUNCTION("""COMPUTED_VALUE"""),11100.0)</f>
        <v>11100</v>
      </c>
      <c r="E911" s="1">
        <f>IFERROR(__xludf.DUMMYFUNCTION("""COMPUTED_VALUE"""),11600.0)</f>
        <v>11600</v>
      </c>
      <c r="F911" s="1">
        <f>IFERROR(__xludf.DUMMYFUNCTION("""COMPUTED_VALUE"""),275697.0)</f>
        <v>275697</v>
      </c>
    </row>
    <row r="912">
      <c r="A912" s="2">
        <f>IFERROR(__xludf.DUMMYFUNCTION("""COMPUTED_VALUE"""),42257.64583333333)</f>
        <v>42257.64583</v>
      </c>
      <c r="B912" s="1">
        <f>IFERROR(__xludf.DUMMYFUNCTION("""COMPUTED_VALUE"""),11300.0)</f>
        <v>11300</v>
      </c>
      <c r="C912" s="1">
        <f>IFERROR(__xludf.DUMMYFUNCTION("""COMPUTED_VALUE"""),11700.0)</f>
        <v>11700</v>
      </c>
      <c r="D912" s="1">
        <f>IFERROR(__xludf.DUMMYFUNCTION("""COMPUTED_VALUE"""),11250.0)</f>
        <v>11250</v>
      </c>
      <c r="E912" s="1">
        <f>IFERROR(__xludf.DUMMYFUNCTION("""COMPUTED_VALUE"""),11550.0)</f>
        <v>11550</v>
      </c>
      <c r="F912" s="1">
        <f>IFERROR(__xludf.DUMMYFUNCTION("""COMPUTED_VALUE"""),150543.0)</f>
        <v>150543</v>
      </c>
    </row>
    <row r="913">
      <c r="A913" s="2">
        <f>IFERROR(__xludf.DUMMYFUNCTION("""COMPUTED_VALUE"""),42258.64583333333)</f>
        <v>42258.64583</v>
      </c>
      <c r="B913" s="1">
        <f>IFERROR(__xludf.DUMMYFUNCTION("""COMPUTED_VALUE"""),11700.0)</f>
        <v>11700</v>
      </c>
      <c r="C913" s="1">
        <f>IFERROR(__xludf.DUMMYFUNCTION("""COMPUTED_VALUE"""),12250.0)</f>
        <v>12250</v>
      </c>
      <c r="D913" s="1">
        <f>IFERROR(__xludf.DUMMYFUNCTION("""COMPUTED_VALUE"""),11450.0)</f>
        <v>11450</v>
      </c>
      <c r="E913" s="1">
        <f>IFERROR(__xludf.DUMMYFUNCTION("""COMPUTED_VALUE"""),12000.0)</f>
        <v>12000</v>
      </c>
      <c r="F913" s="1">
        <f>IFERROR(__xludf.DUMMYFUNCTION("""COMPUTED_VALUE"""),348227.0)</f>
        <v>348227</v>
      </c>
    </row>
    <row r="914">
      <c r="A914" s="2">
        <f>IFERROR(__xludf.DUMMYFUNCTION("""COMPUTED_VALUE"""),42261.64583333333)</f>
        <v>42261.64583</v>
      </c>
      <c r="B914" s="1">
        <f>IFERROR(__xludf.DUMMYFUNCTION("""COMPUTED_VALUE"""),12100.0)</f>
        <v>12100</v>
      </c>
      <c r="C914" s="1">
        <f>IFERROR(__xludf.DUMMYFUNCTION("""COMPUTED_VALUE"""),12100.0)</f>
        <v>12100</v>
      </c>
      <c r="D914" s="1">
        <f>IFERROR(__xludf.DUMMYFUNCTION("""COMPUTED_VALUE"""),11600.0)</f>
        <v>11600</v>
      </c>
      <c r="E914" s="1">
        <f>IFERROR(__xludf.DUMMYFUNCTION("""COMPUTED_VALUE"""),11600.0)</f>
        <v>11600</v>
      </c>
      <c r="F914" s="1">
        <f>IFERROR(__xludf.DUMMYFUNCTION("""COMPUTED_VALUE"""),119767.0)</f>
        <v>119767</v>
      </c>
    </row>
    <row r="915">
      <c r="A915" s="2">
        <f>IFERROR(__xludf.DUMMYFUNCTION("""COMPUTED_VALUE"""),42262.64583333333)</f>
        <v>42262.64583</v>
      </c>
      <c r="B915" s="1">
        <f>IFERROR(__xludf.DUMMYFUNCTION("""COMPUTED_VALUE"""),11550.0)</f>
        <v>11550</v>
      </c>
      <c r="C915" s="1">
        <f>IFERROR(__xludf.DUMMYFUNCTION("""COMPUTED_VALUE"""),11800.0)</f>
        <v>11800</v>
      </c>
      <c r="D915" s="1">
        <f>IFERROR(__xludf.DUMMYFUNCTION("""COMPUTED_VALUE"""),11150.0)</f>
        <v>11150</v>
      </c>
      <c r="E915" s="1">
        <f>IFERROR(__xludf.DUMMYFUNCTION("""COMPUTED_VALUE"""),11800.0)</f>
        <v>11800</v>
      </c>
      <c r="F915" s="1">
        <f>IFERROR(__xludf.DUMMYFUNCTION("""COMPUTED_VALUE"""),129786.0)</f>
        <v>129786</v>
      </c>
    </row>
    <row r="916">
      <c r="A916" s="2">
        <f>IFERROR(__xludf.DUMMYFUNCTION("""COMPUTED_VALUE"""),42263.64583333333)</f>
        <v>42263.64583</v>
      </c>
      <c r="B916" s="1">
        <f>IFERROR(__xludf.DUMMYFUNCTION("""COMPUTED_VALUE"""),11950.0)</f>
        <v>11950</v>
      </c>
      <c r="C916" s="1">
        <f>IFERROR(__xludf.DUMMYFUNCTION("""COMPUTED_VALUE"""),12200.0)</f>
        <v>12200</v>
      </c>
      <c r="D916" s="1">
        <f>IFERROR(__xludf.DUMMYFUNCTION("""COMPUTED_VALUE"""),11750.0)</f>
        <v>11750</v>
      </c>
      <c r="E916" s="1">
        <f>IFERROR(__xludf.DUMMYFUNCTION("""COMPUTED_VALUE"""),12000.0)</f>
        <v>12000</v>
      </c>
      <c r="F916" s="1">
        <f>IFERROR(__xludf.DUMMYFUNCTION("""COMPUTED_VALUE"""),130675.0)</f>
        <v>130675</v>
      </c>
    </row>
    <row r="917">
      <c r="A917" s="2">
        <f>IFERROR(__xludf.DUMMYFUNCTION("""COMPUTED_VALUE"""),42264.64583333333)</f>
        <v>42264.64583</v>
      </c>
      <c r="B917" s="1">
        <f>IFERROR(__xludf.DUMMYFUNCTION("""COMPUTED_VALUE"""),12000.0)</f>
        <v>12000</v>
      </c>
      <c r="C917" s="1">
        <f>IFERROR(__xludf.DUMMYFUNCTION("""COMPUTED_VALUE"""),12150.0)</f>
        <v>12150</v>
      </c>
      <c r="D917" s="1">
        <f>IFERROR(__xludf.DUMMYFUNCTION("""COMPUTED_VALUE"""),11300.0)</f>
        <v>11300</v>
      </c>
      <c r="E917" s="1">
        <f>IFERROR(__xludf.DUMMYFUNCTION("""COMPUTED_VALUE"""),11400.0)</f>
        <v>11400</v>
      </c>
      <c r="F917" s="1">
        <f>IFERROR(__xludf.DUMMYFUNCTION("""COMPUTED_VALUE"""),135693.0)</f>
        <v>135693</v>
      </c>
    </row>
    <row r="918">
      <c r="A918" s="2">
        <f>IFERROR(__xludf.DUMMYFUNCTION("""COMPUTED_VALUE"""),42265.64583333333)</f>
        <v>42265.64583</v>
      </c>
      <c r="B918" s="1">
        <f>IFERROR(__xludf.DUMMYFUNCTION("""COMPUTED_VALUE"""),11400.0)</f>
        <v>11400</v>
      </c>
      <c r="C918" s="1">
        <f>IFERROR(__xludf.DUMMYFUNCTION("""COMPUTED_VALUE"""),11700.0)</f>
        <v>11700</v>
      </c>
      <c r="D918" s="1">
        <f>IFERROR(__xludf.DUMMYFUNCTION("""COMPUTED_VALUE"""),11250.0)</f>
        <v>11250</v>
      </c>
      <c r="E918" s="1">
        <f>IFERROR(__xludf.DUMMYFUNCTION("""COMPUTED_VALUE"""),11400.0)</f>
        <v>11400</v>
      </c>
      <c r="F918" s="1">
        <f>IFERROR(__xludf.DUMMYFUNCTION("""COMPUTED_VALUE"""),176482.0)</f>
        <v>176482</v>
      </c>
    </row>
    <row r="919">
      <c r="A919" s="2">
        <f>IFERROR(__xludf.DUMMYFUNCTION("""COMPUTED_VALUE"""),42268.64583333333)</f>
        <v>42268.64583</v>
      </c>
      <c r="B919" s="1">
        <f>IFERROR(__xludf.DUMMYFUNCTION("""COMPUTED_VALUE"""),11400.0)</f>
        <v>11400</v>
      </c>
      <c r="C919" s="1">
        <f>IFERROR(__xludf.DUMMYFUNCTION("""COMPUTED_VALUE"""),11500.0)</f>
        <v>11500</v>
      </c>
      <c r="D919" s="1">
        <f>IFERROR(__xludf.DUMMYFUNCTION("""COMPUTED_VALUE"""),10900.0)</f>
        <v>10900</v>
      </c>
      <c r="E919" s="1">
        <f>IFERROR(__xludf.DUMMYFUNCTION("""COMPUTED_VALUE"""),10950.0)</f>
        <v>10950</v>
      </c>
      <c r="F919" s="1">
        <f>IFERROR(__xludf.DUMMYFUNCTION("""COMPUTED_VALUE"""),147927.0)</f>
        <v>147927</v>
      </c>
    </row>
    <row r="920">
      <c r="A920" s="2">
        <f>IFERROR(__xludf.DUMMYFUNCTION("""COMPUTED_VALUE"""),42269.64583333333)</f>
        <v>42269.64583</v>
      </c>
      <c r="B920" s="1">
        <f>IFERROR(__xludf.DUMMYFUNCTION("""COMPUTED_VALUE"""),11200.0)</f>
        <v>11200</v>
      </c>
      <c r="C920" s="1">
        <f>IFERROR(__xludf.DUMMYFUNCTION("""COMPUTED_VALUE"""),11400.0)</f>
        <v>11400</v>
      </c>
      <c r="D920" s="1">
        <f>IFERROR(__xludf.DUMMYFUNCTION("""COMPUTED_VALUE"""),10900.0)</f>
        <v>10900</v>
      </c>
      <c r="E920" s="1">
        <f>IFERROR(__xludf.DUMMYFUNCTION("""COMPUTED_VALUE"""),11350.0)</f>
        <v>11350</v>
      </c>
      <c r="F920" s="1">
        <f>IFERROR(__xludf.DUMMYFUNCTION("""COMPUTED_VALUE"""),96637.0)</f>
        <v>96637</v>
      </c>
    </row>
    <row r="921">
      <c r="A921" s="2">
        <f>IFERROR(__xludf.DUMMYFUNCTION("""COMPUTED_VALUE"""),42270.64583333333)</f>
        <v>42270.64583</v>
      </c>
      <c r="B921" s="1">
        <f>IFERROR(__xludf.DUMMYFUNCTION("""COMPUTED_VALUE"""),11200.0)</f>
        <v>11200</v>
      </c>
      <c r="C921" s="1">
        <f>IFERROR(__xludf.DUMMYFUNCTION("""COMPUTED_VALUE"""),11600.0)</f>
        <v>11600</v>
      </c>
      <c r="D921" s="1">
        <f>IFERROR(__xludf.DUMMYFUNCTION("""COMPUTED_VALUE"""),11100.0)</f>
        <v>11100</v>
      </c>
      <c r="E921" s="1">
        <f>IFERROR(__xludf.DUMMYFUNCTION("""COMPUTED_VALUE"""),11400.0)</f>
        <v>11400</v>
      </c>
      <c r="F921" s="1">
        <f>IFERROR(__xludf.DUMMYFUNCTION("""COMPUTED_VALUE"""),101928.0)</f>
        <v>101928</v>
      </c>
    </row>
    <row r="922">
      <c r="A922" s="2">
        <f>IFERROR(__xludf.DUMMYFUNCTION("""COMPUTED_VALUE"""),42271.64583333333)</f>
        <v>42271.64583</v>
      </c>
      <c r="B922" s="1">
        <f>IFERROR(__xludf.DUMMYFUNCTION("""COMPUTED_VALUE"""),11550.0)</f>
        <v>11550</v>
      </c>
      <c r="C922" s="1">
        <f>IFERROR(__xludf.DUMMYFUNCTION("""COMPUTED_VALUE"""),12700.0)</f>
        <v>12700</v>
      </c>
      <c r="D922" s="1">
        <f>IFERROR(__xludf.DUMMYFUNCTION("""COMPUTED_VALUE"""),11450.0)</f>
        <v>11450</v>
      </c>
      <c r="E922" s="1">
        <f>IFERROR(__xludf.DUMMYFUNCTION("""COMPUTED_VALUE"""),12250.0)</f>
        <v>12250</v>
      </c>
      <c r="F922" s="1">
        <f>IFERROR(__xludf.DUMMYFUNCTION("""COMPUTED_VALUE"""),458119.0)</f>
        <v>458119</v>
      </c>
    </row>
    <row r="923">
      <c r="A923" s="2">
        <f>IFERROR(__xludf.DUMMYFUNCTION("""COMPUTED_VALUE"""),42272.64583333333)</f>
        <v>42272.64583</v>
      </c>
      <c r="B923" s="1">
        <f>IFERROR(__xludf.DUMMYFUNCTION("""COMPUTED_VALUE"""),12400.0)</f>
        <v>12400</v>
      </c>
      <c r="C923" s="1">
        <f>IFERROR(__xludf.DUMMYFUNCTION("""COMPUTED_VALUE"""),12600.0)</f>
        <v>12600</v>
      </c>
      <c r="D923" s="1">
        <f>IFERROR(__xludf.DUMMYFUNCTION("""COMPUTED_VALUE"""),12000.0)</f>
        <v>12000</v>
      </c>
      <c r="E923" s="1">
        <f>IFERROR(__xludf.DUMMYFUNCTION("""COMPUTED_VALUE"""),12350.0)</f>
        <v>12350</v>
      </c>
      <c r="F923" s="1">
        <f>IFERROR(__xludf.DUMMYFUNCTION("""COMPUTED_VALUE"""),118624.0)</f>
        <v>118624</v>
      </c>
    </row>
    <row r="924">
      <c r="A924" s="2">
        <f>IFERROR(__xludf.DUMMYFUNCTION("""COMPUTED_VALUE"""),42277.64583333333)</f>
        <v>42277.64583</v>
      </c>
      <c r="B924" s="1">
        <f>IFERROR(__xludf.DUMMYFUNCTION("""COMPUTED_VALUE"""),12000.0)</f>
        <v>12000</v>
      </c>
      <c r="C924" s="1">
        <f>IFERROR(__xludf.DUMMYFUNCTION("""COMPUTED_VALUE"""),13450.0)</f>
        <v>13450</v>
      </c>
      <c r="D924" s="1">
        <f>IFERROR(__xludf.DUMMYFUNCTION("""COMPUTED_VALUE"""),11850.0)</f>
        <v>11850</v>
      </c>
      <c r="E924" s="1">
        <f>IFERROR(__xludf.DUMMYFUNCTION("""COMPUTED_VALUE"""),12600.0)</f>
        <v>12600</v>
      </c>
      <c r="F924" s="1">
        <f>IFERROR(__xludf.DUMMYFUNCTION("""COMPUTED_VALUE"""),565546.0)</f>
        <v>565546</v>
      </c>
    </row>
    <row r="925">
      <c r="A925" s="2">
        <f>IFERROR(__xludf.DUMMYFUNCTION("""COMPUTED_VALUE"""),42278.64583333333)</f>
        <v>42278.64583</v>
      </c>
      <c r="B925" s="1">
        <f>IFERROR(__xludf.DUMMYFUNCTION("""COMPUTED_VALUE"""),12650.0)</f>
        <v>12650</v>
      </c>
      <c r="C925" s="1">
        <f>IFERROR(__xludf.DUMMYFUNCTION("""COMPUTED_VALUE"""),13250.0)</f>
        <v>13250</v>
      </c>
      <c r="D925" s="1">
        <f>IFERROR(__xludf.DUMMYFUNCTION("""COMPUTED_VALUE"""),12400.0)</f>
        <v>12400</v>
      </c>
      <c r="E925" s="1">
        <f>IFERROR(__xludf.DUMMYFUNCTION("""COMPUTED_VALUE"""),12600.0)</f>
        <v>12600</v>
      </c>
      <c r="F925" s="1">
        <f>IFERROR(__xludf.DUMMYFUNCTION("""COMPUTED_VALUE"""),230072.0)</f>
        <v>230072</v>
      </c>
    </row>
    <row r="926">
      <c r="A926" s="2">
        <f>IFERROR(__xludf.DUMMYFUNCTION("""COMPUTED_VALUE"""),42279.64583333333)</f>
        <v>42279.64583</v>
      </c>
      <c r="B926" s="1">
        <f>IFERROR(__xludf.DUMMYFUNCTION("""COMPUTED_VALUE"""),12450.0)</f>
        <v>12450</v>
      </c>
      <c r="C926" s="1">
        <f>IFERROR(__xludf.DUMMYFUNCTION("""COMPUTED_VALUE"""),13200.0)</f>
        <v>13200</v>
      </c>
      <c r="D926" s="1">
        <f>IFERROR(__xludf.DUMMYFUNCTION("""COMPUTED_VALUE"""),12200.0)</f>
        <v>12200</v>
      </c>
      <c r="E926" s="1">
        <f>IFERROR(__xludf.DUMMYFUNCTION("""COMPUTED_VALUE"""),13200.0)</f>
        <v>13200</v>
      </c>
      <c r="F926" s="1">
        <f>IFERROR(__xludf.DUMMYFUNCTION("""COMPUTED_VALUE"""),131322.0)</f>
        <v>131322</v>
      </c>
    </row>
    <row r="927">
      <c r="A927" s="2">
        <f>IFERROR(__xludf.DUMMYFUNCTION("""COMPUTED_VALUE"""),42282.64583333333)</f>
        <v>42282.64583</v>
      </c>
      <c r="B927" s="1">
        <f>IFERROR(__xludf.DUMMYFUNCTION("""COMPUTED_VALUE"""),13650.0)</f>
        <v>13650</v>
      </c>
      <c r="C927" s="1">
        <f>IFERROR(__xludf.DUMMYFUNCTION("""COMPUTED_VALUE"""),13650.0)</f>
        <v>13650</v>
      </c>
      <c r="D927" s="1">
        <f>IFERROR(__xludf.DUMMYFUNCTION("""COMPUTED_VALUE"""),12700.0)</f>
        <v>12700</v>
      </c>
      <c r="E927" s="1">
        <f>IFERROR(__xludf.DUMMYFUNCTION("""COMPUTED_VALUE"""),12800.0)</f>
        <v>12800</v>
      </c>
      <c r="F927" s="1">
        <f>IFERROR(__xludf.DUMMYFUNCTION("""COMPUTED_VALUE"""),147491.0)</f>
        <v>147491</v>
      </c>
    </row>
    <row r="928">
      <c r="A928" s="2">
        <f>IFERROR(__xludf.DUMMYFUNCTION("""COMPUTED_VALUE"""),42283.64583333333)</f>
        <v>42283.64583</v>
      </c>
      <c r="B928" s="1">
        <f>IFERROR(__xludf.DUMMYFUNCTION("""COMPUTED_VALUE"""),12900.0)</f>
        <v>12900</v>
      </c>
      <c r="C928" s="1">
        <f>IFERROR(__xludf.DUMMYFUNCTION("""COMPUTED_VALUE"""),13150.0)</f>
        <v>13150</v>
      </c>
      <c r="D928" s="1">
        <f>IFERROR(__xludf.DUMMYFUNCTION("""COMPUTED_VALUE"""),12300.0)</f>
        <v>12300</v>
      </c>
      <c r="E928" s="1">
        <f>IFERROR(__xludf.DUMMYFUNCTION("""COMPUTED_VALUE"""),13000.0)</f>
        <v>13000</v>
      </c>
      <c r="F928" s="1">
        <f>IFERROR(__xludf.DUMMYFUNCTION("""COMPUTED_VALUE"""),157802.0)</f>
        <v>157802</v>
      </c>
    </row>
    <row r="929">
      <c r="A929" s="2">
        <f>IFERROR(__xludf.DUMMYFUNCTION("""COMPUTED_VALUE"""),42284.64583333333)</f>
        <v>42284.64583</v>
      </c>
      <c r="B929" s="1">
        <f>IFERROR(__xludf.DUMMYFUNCTION("""COMPUTED_VALUE"""),13100.0)</f>
        <v>13100</v>
      </c>
      <c r="C929" s="1">
        <f>IFERROR(__xludf.DUMMYFUNCTION("""COMPUTED_VALUE"""),13150.0)</f>
        <v>13150</v>
      </c>
      <c r="D929" s="1">
        <f>IFERROR(__xludf.DUMMYFUNCTION("""COMPUTED_VALUE"""),12700.0)</f>
        <v>12700</v>
      </c>
      <c r="E929" s="1">
        <f>IFERROR(__xludf.DUMMYFUNCTION("""COMPUTED_VALUE"""),12800.0)</f>
        <v>12800</v>
      </c>
      <c r="F929" s="1">
        <f>IFERROR(__xludf.DUMMYFUNCTION("""COMPUTED_VALUE"""),55915.0)</f>
        <v>55915</v>
      </c>
    </row>
    <row r="930">
      <c r="A930" s="2">
        <f>IFERROR(__xludf.DUMMYFUNCTION("""COMPUTED_VALUE"""),42285.64583333333)</f>
        <v>42285.64583</v>
      </c>
      <c r="B930" s="1">
        <f>IFERROR(__xludf.DUMMYFUNCTION("""COMPUTED_VALUE"""),12700.0)</f>
        <v>12700</v>
      </c>
      <c r="C930" s="1">
        <f>IFERROR(__xludf.DUMMYFUNCTION("""COMPUTED_VALUE"""),13500.0)</f>
        <v>13500</v>
      </c>
      <c r="D930" s="1">
        <f>IFERROR(__xludf.DUMMYFUNCTION("""COMPUTED_VALUE"""),12500.0)</f>
        <v>12500</v>
      </c>
      <c r="E930" s="1">
        <f>IFERROR(__xludf.DUMMYFUNCTION("""COMPUTED_VALUE"""),13400.0)</f>
        <v>13400</v>
      </c>
      <c r="F930" s="1">
        <f>IFERROR(__xludf.DUMMYFUNCTION("""COMPUTED_VALUE"""),168912.0)</f>
        <v>168912</v>
      </c>
    </row>
    <row r="931">
      <c r="A931" s="2">
        <f>IFERROR(__xludf.DUMMYFUNCTION("""COMPUTED_VALUE"""),42289.64583333333)</f>
        <v>42289.64583</v>
      </c>
      <c r="B931" s="1">
        <f>IFERROR(__xludf.DUMMYFUNCTION("""COMPUTED_VALUE"""),13350.0)</f>
        <v>13350</v>
      </c>
      <c r="C931" s="1">
        <f>IFERROR(__xludf.DUMMYFUNCTION("""COMPUTED_VALUE"""),13350.0)</f>
        <v>13350</v>
      </c>
      <c r="D931" s="1">
        <f>IFERROR(__xludf.DUMMYFUNCTION("""COMPUTED_VALUE"""),12750.0)</f>
        <v>12750</v>
      </c>
      <c r="E931" s="1">
        <f>IFERROR(__xludf.DUMMYFUNCTION("""COMPUTED_VALUE"""),12900.0)</f>
        <v>12900</v>
      </c>
      <c r="F931" s="1">
        <f>IFERROR(__xludf.DUMMYFUNCTION("""COMPUTED_VALUE"""),95460.0)</f>
        <v>95460</v>
      </c>
    </row>
    <row r="932">
      <c r="A932" s="2">
        <f>IFERROR(__xludf.DUMMYFUNCTION("""COMPUTED_VALUE"""),42290.64583333333)</f>
        <v>42290.64583</v>
      </c>
      <c r="B932" s="1">
        <f>IFERROR(__xludf.DUMMYFUNCTION("""COMPUTED_VALUE"""),12900.0)</f>
        <v>12900</v>
      </c>
      <c r="C932" s="1">
        <f>IFERROR(__xludf.DUMMYFUNCTION("""COMPUTED_VALUE"""),12900.0)</f>
        <v>12900</v>
      </c>
      <c r="D932" s="1">
        <f>IFERROR(__xludf.DUMMYFUNCTION("""COMPUTED_VALUE"""),12050.0)</f>
        <v>12050</v>
      </c>
      <c r="E932" s="1">
        <f>IFERROR(__xludf.DUMMYFUNCTION("""COMPUTED_VALUE"""),12400.0)</f>
        <v>12400</v>
      </c>
      <c r="F932" s="1">
        <f>IFERROR(__xludf.DUMMYFUNCTION("""COMPUTED_VALUE"""),207971.0)</f>
        <v>207971</v>
      </c>
    </row>
    <row r="933">
      <c r="A933" s="2">
        <f>IFERROR(__xludf.DUMMYFUNCTION("""COMPUTED_VALUE"""),42291.64583333333)</f>
        <v>42291.64583</v>
      </c>
      <c r="B933" s="1">
        <f>IFERROR(__xludf.DUMMYFUNCTION("""COMPUTED_VALUE"""),12350.0)</f>
        <v>12350</v>
      </c>
      <c r="C933" s="1">
        <f>IFERROR(__xludf.DUMMYFUNCTION("""COMPUTED_VALUE"""),12650.0)</f>
        <v>12650</v>
      </c>
      <c r="D933" s="1">
        <f>IFERROR(__xludf.DUMMYFUNCTION("""COMPUTED_VALUE"""),11750.0)</f>
        <v>11750</v>
      </c>
      <c r="E933" s="1">
        <f>IFERROR(__xludf.DUMMYFUNCTION("""COMPUTED_VALUE"""),12050.0)</f>
        <v>12050</v>
      </c>
      <c r="F933" s="1">
        <f>IFERROR(__xludf.DUMMYFUNCTION("""COMPUTED_VALUE"""),136760.0)</f>
        <v>136760</v>
      </c>
    </row>
    <row r="934">
      <c r="A934" s="2">
        <f>IFERROR(__xludf.DUMMYFUNCTION("""COMPUTED_VALUE"""),42292.64583333333)</f>
        <v>42292.64583</v>
      </c>
      <c r="B934" s="1">
        <f>IFERROR(__xludf.DUMMYFUNCTION("""COMPUTED_VALUE"""),12000.0)</f>
        <v>12000</v>
      </c>
      <c r="C934" s="1">
        <f>IFERROR(__xludf.DUMMYFUNCTION("""COMPUTED_VALUE"""),12350.0)</f>
        <v>12350</v>
      </c>
      <c r="D934" s="1">
        <f>IFERROR(__xludf.DUMMYFUNCTION("""COMPUTED_VALUE"""),11900.0)</f>
        <v>11900</v>
      </c>
      <c r="E934" s="1">
        <f>IFERROR(__xludf.DUMMYFUNCTION("""COMPUTED_VALUE"""),12050.0)</f>
        <v>12050</v>
      </c>
      <c r="F934" s="1">
        <f>IFERROR(__xludf.DUMMYFUNCTION("""COMPUTED_VALUE"""),46792.0)</f>
        <v>46792</v>
      </c>
    </row>
    <row r="935">
      <c r="A935" s="2">
        <f>IFERROR(__xludf.DUMMYFUNCTION("""COMPUTED_VALUE"""),42293.64583333333)</f>
        <v>42293.64583</v>
      </c>
      <c r="B935" s="1">
        <f>IFERROR(__xludf.DUMMYFUNCTION("""COMPUTED_VALUE"""),12200.0)</f>
        <v>12200</v>
      </c>
      <c r="C935" s="1">
        <f>IFERROR(__xludf.DUMMYFUNCTION("""COMPUTED_VALUE"""),13300.0)</f>
        <v>13300</v>
      </c>
      <c r="D935" s="1">
        <f>IFERROR(__xludf.DUMMYFUNCTION("""COMPUTED_VALUE"""),12050.0)</f>
        <v>12050</v>
      </c>
      <c r="E935" s="1">
        <f>IFERROR(__xludf.DUMMYFUNCTION("""COMPUTED_VALUE"""),12950.0)</f>
        <v>12950</v>
      </c>
      <c r="F935" s="1">
        <f>IFERROR(__xludf.DUMMYFUNCTION("""COMPUTED_VALUE"""),242081.0)</f>
        <v>242081</v>
      </c>
    </row>
    <row r="936">
      <c r="A936" s="2">
        <f>IFERROR(__xludf.DUMMYFUNCTION("""COMPUTED_VALUE"""),42296.64583333333)</f>
        <v>42296.64583</v>
      </c>
      <c r="B936" s="1">
        <f>IFERROR(__xludf.DUMMYFUNCTION("""COMPUTED_VALUE"""),13100.0)</f>
        <v>13100</v>
      </c>
      <c r="C936" s="1">
        <f>IFERROR(__xludf.DUMMYFUNCTION("""COMPUTED_VALUE"""),13350.0)</f>
        <v>13350</v>
      </c>
      <c r="D936" s="1">
        <f>IFERROR(__xludf.DUMMYFUNCTION("""COMPUTED_VALUE"""),12750.0)</f>
        <v>12750</v>
      </c>
      <c r="E936" s="1">
        <f>IFERROR(__xludf.DUMMYFUNCTION("""COMPUTED_VALUE"""),13150.0)</f>
        <v>13150</v>
      </c>
      <c r="F936" s="1">
        <f>IFERROR(__xludf.DUMMYFUNCTION("""COMPUTED_VALUE"""),102587.0)</f>
        <v>102587</v>
      </c>
    </row>
    <row r="937">
      <c r="A937" s="2">
        <f>IFERROR(__xludf.DUMMYFUNCTION("""COMPUTED_VALUE"""),42297.64583333333)</f>
        <v>42297.64583</v>
      </c>
      <c r="B937" s="1">
        <f>IFERROR(__xludf.DUMMYFUNCTION("""COMPUTED_VALUE"""),13200.0)</f>
        <v>13200</v>
      </c>
      <c r="C937" s="1">
        <f>IFERROR(__xludf.DUMMYFUNCTION("""COMPUTED_VALUE"""),13450.0)</f>
        <v>13450</v>
      </c>
      <c r="D937" s="1">
        <f>IFERROR(__xludf.DUMMYFUNCTION("""COMPUTED_VALUE"""),12750.0)</f>
        <v>12750</v>
      </c>
      <c r="E937" s="1">
        <f>IFERROR(__xludf.DUMMYFUNCTION("""COMPUTED_VALUE"""),13300.0)</f>
        <v>13300</v>
      </c>
      <c r="F937" s="1">
        <f>IFERROR(__xludf.DUMMYFUNCTION("""COMPUTED_VALUE"""),117909.0)</f>
        <v>117909</v>
      </c>
    </row>
    <row r="938">
      <c r="A938" s="2">
        <f>IFERROR(__xludf.DUMMYFUNCTION("""COMPUTED_VALUE"""),42298.64583333333)</f>
        <v>42298.64583</v>
      </c>
      <c r="B938" s="1">
        <f>IFERROR(__xludf.DUMMYFUNCTION("""COMPUTED_VALUE"""),13300.0)</f>
        <v>13300</v>
      </c>
      <c r="C938" s="1">
        <f>IFERROR(__xludf.DUMMYFUNCTION("""COMPUTED_VALUE"""),13900.0)</f>
        <v>13900</v>
      </c>
      <c r="D938" s="1">
        <f>IFERROR(__xludf.DUMMYFUNCTION("""COMPUTED_VALUE"""),13200.0)</f>
        <v>13200</v>
      </c>
      <c r="E938" s="1">
        <f>IFERROR(__xludf.DUMMYFUNCTION("""COMPUTED_VALUE"""),13200.0)</f>
        <v>13200</v>
      </c>
      <c r="F938" s="1">
        <f>IFERROR(__xludf.DUMMYFUNCTION("""COMPUTED_VALUE"""),139254.0)</f>
        <v>139254</v>
      </c>
    </row>
    <row r="939">
      <c r="A939" s="2">
        <f>IFERROR(__xludf.DUMMYFUNCTION("""COMPUTED_VALUE"""),42299.64583333333)</f>
        <v>42299.64583</v>
      </c>
      <c r="B939" s="1">
        <f>IFERROR(__xludf.DUMMYFUNCTION("""COMPUTED_VALUE"""),13200.0)</f>
        <v>13200</v>
      </c>
      <c r="C939" s="1">
        <f>IFERROR(__xludf.DUMMYFUNCTION("""COMPUTED_VALUE"""),13450.0)</f>
        <v>13450</v>
      </c>
      <c r="D939" s="1">
        <f>IFERROR(__xludf.DUMMYFUNCTION("""COMPUTED_VALUE"""),12800.0)</f>
        <v>12800</v>
      </c>
      <c r="E939" s="1">
        <f>IFERROR(__xludf.DUMMYFUNCTION("""COMPUTED_VALUE"""),12950.0)</f>
        <v>12950</v>
      </c>
      <c r="F939" s="1">
        <f>IFERROR(__xludf.DUMMYFUNCTION("""COMPUTED_VALUE"""),94936.0)</f>
        <v>94936</v>
      </c>
    </row>
    <row r="940">
      <c r="A940" s="2">
        <f>IFERROR(__xludf.DUMMYFUNCTION("""COMPUTED_VALUE"""),42300.64583333333)</f>
        <v>42300.64583</v>
      </c>
      <c r="B940" s="1">
        <f>IFERROR(__xludf.DUMMYFUNCTION("""COMPUTED_VALUE"""),13300.0)</f>
        <v>13300</v>
      </c>
      <c r="C940" s="1">
        <f>IFERROR(__xludf.DUMMYFUNCTION("""COMPUTED_VALUE"""),13400.0)</f>
        <v>13400</v>
      </c>
      <c r="D940" s="1">
        <f>IFERROR(__xludf.DUMMYFUNCTION("""COMPUTED_VALUE"""),12700.0)</f>
        <v>12700</v>
      </c>
      <c r="E940" s="1">
        <f>IFERROR(__xludf.DUMMYFUNCTION("""COMPUTED_VALUE"""),12800.0)</f>
        <v>12800</v>
      </c>
      <c r="F940" s="1">
        <f>IFERROR(__xludf.DUMMYFUNCTION("""COMPUTED_VALUE"""),65371.0)</f>
        <v>65371</v>
      </c>
    </row>
    <row r="941">
      <c r="A941" s="2">
        <f>IFERROR(__xludf.DUMMYFUNCTION("""COMPUTED_VALUE"""),42303.64583333333)</f>
        <v>42303.64583</v>
      </c>
      <c r="B941" s="1">
        <f>IFERROR(__xludf.DUMMYFUNCTION("""COMPUTED_VALUE"""),12950.0)</f>
        <v>12950</v>
      </c>
      <c r="C941" s="1">
        <f>IFERROR(__xludf.DUMMYFUNCTION("""COMPUTED_VALUE"""),13050.0)</f>
        <v>13050</v>
      </c>
      <c r="D941" s="1">
        <f>IFERROR(__xludf.DUMMYFUNCTION("""COMPUTED_VALUE"""),12500.0)</f>
        <v>12500</v>
      </c>
      <c r="E941" s="1">
        <f>IFERROR(__xludf.DUMMYFUNCTION("""COMPUTED_VALUE"""),12700.0)</f>
        <v>12700</v>
      </c>
      <c r="F941" s="1">
        <f>IFERROR(__xludf.DUMMYFUNCTION("""COMPUTED_VALUE"""),64366.0)</f>
        <v>64366</v>
      </c>
    </row>
    <row r="942">
      <c r="A942" s="2">
        <f>IFERROR(__xludf.DUMMYFUNCTION("""COMPUTED_VALUE"""),42304.64583333333)</f>
        <v>42304.64583</v>
      </c>
      <c r="B942" s="1">
        <f>IFERROR(__xludf.DUMMYFUNCTION("""COMPUTED_VALUE"""),12700.0)</f>
        <v>12700</v>
      </c>
      <c r="C942" s="1">
        <f>IFERROR(__xludf.DUMMYFUNCTION("""COMPUTED_VALUE"""),12800.0)</f>
        <v>12800</v>
      </c>
      <c r="D942" s="1">
        <f>IFERROR(__xludf.DUMMYFUNCTION("""COMPUTED_VALUE"""),12200.0)</f>
        <v>12200</v>
      </c>
      <c r="E942" s="1">
        <f>IFERROR(__xludf.DUMMYFUNCTION("""COMPUTED_VALUE"""),12450.0)</f>
        <v>12450</v>
      </c>
      <c r="F942" s="1">
        <f>IFERROR(__xludf.DUMMYFUNCTION("""COMPUTED_VALUE"""),74003.0)</f>
        <v>74003</v>
      </c>
    </row>
    <row r="943">
      <c r="A943" s="2">
        <f>IFERROR(__xludf.DUMMYFUNCTION("""COMPUTED_VALUE"""),42305.64583333333)</f>
        <v>42305.64583</v>
      </c>
      <c r="B943" s="1">
        <f>IFERROR(__xludf.DUMMYFUNCTION("""COMPUTED_VALUE"""),12350.0)</f>
        <v>12350</v>
      </c>
      <c r="C943" s="1">
        <f>IFERROR(__xludf.DUMMYFUNCTION("""COMPUTED_VALUE"""),12650.0)</f>
        <v>12650</v>
      </c>
      <c r="D943" s="1">
        <f>IFERROR(__xludf.DUMMYFUNCTION("""COMPUTED_VALUE"""),12200.0)</f>
        <v>12200</v>
      </c>
      <c r="E943" s="1">
        <f>IFERROR(__xludf.DUMMYFUNCTION("""COMPUTED_VALUE"""),12300.0)</f>
        <v>12300</v>
      </c>
      <c r="F943" s="1">
        <f>IFERROR(__xludf.DUMMYFUNCTION("""COMPUTED_VALUE"""),35565.0)</f>
        <v>35565</v>
      </c>
    </row>
    <row r="944">
      <c r="A944" s="2">
        <f>IFERROR(__xludf.DUMMYFUNCTION("""COMPUTED_VALUE"""),42306.64583333333)</f>
        <v>42306.64583</v>
      </c>
      <c r="B944" s="1">
        <f>IFERROR(__xludf.DUMMYFUNCTION("""COMPUTED_VALUE"""),12450.0)</f>
        <v>12450</v>
      </c>
      <c r="C944" s="1">
        <f>IFERROR(__xludf.DUMMYFUNCTION("""COMPUTED_VALUE"""),12450.0)</f>
        <v>12450</v>
      </c>
      <c r="D944" s="1">
        <f>IFERROR(__xludf.DUMMYFUNCTION("""COMPUTED_VALUE"""),12000.0)</f>
        <v>12000</v>
      </c>
      <c r="E944" s="1">
        <f>IFERROR(__xludf.DUMMYFUNCTION("""COMPUTED_VALUE"""),12200.0)</f>
        <v>12200</v>
      </c>
      <c r="F944" s="1">
        <f>IFERROR(__xludf.DUMMYFUNCTION("""COMPUTED_VALUE"""),43419.0)</f>
        <v>43419</v>
      </c>
    </row>
    <row r="945">
      <c r="A945" s="2">
        <f>IFERROR(__xludf.DUMMYFUNCTION("""COMPUTED_VALUE"""),42307.64583333333)</f>
        <v>42307.64583</v>
      </c>
      <c r="B945" s="1">
        <f>IFERROR(__xludf.DUMMYFUNCTION("""COMPUTED_VALUE"""),12400.0)</f>
        <v>12400</v>
      </c>
      <c r="C945" s="1">
        <f>IFERROR(__xludf.DUMMYFUNCTION("""COMPUTED_VALUE"""),12950.0)</f>
        <v>12950</v>
      </c>
      <c r="D945" s="1">
        <f>IFERROR(__xludf.DUMMYFUNCTION("""COMPUTED_VALUE"""),12050.0)</f>
        <v>12050</v>
      </c>
      <c r="E945" s="1">
        <f>IFERROR(__xludf.DUMMYFUNCTION("""COMPUTED_VALUE"""),12700.0)</f>
        <v>12700</v>
      </c>
      <c r="F945" s="1">
        <f>IFERROR(__xludf.DUMMYFUNCTION("""COMPUTED_VALUE"""),163598.0)</f>
        <v>163598</v>
      </c>
    </row>
    <row r="946">
      <c r="A946" s="2">
        <f>IFERROR(__xludf.DUMMYFUNCTION("""COMPUTED_VALUE"""),42310.64583333333)</f>
        <v>42310.64583</v>
      </c>
      <c r="B946" s="1">
        <f>IFERROR(__xludf.DUMMYFUNCTION("""COMPUTED_VALUE"""),12700.0)</f>
        <v>12700</v>
      </c>
      <c r="C946" s="1">
        <f>IFERROR(__xludf.DUMMYFUNCTION("""COMPUTED_VALUE"""),13100.0)</f>
        <v>13100</v>
      </c>
      <c r="D946" s="1">
        <f>IFERROR(__xludf.DUMMYFUNCTION("""COMPUTED_VALUE"""),12550.0)</f>
        <v>12550</v>
      </c>
      <c r="E946" s="1">
        <f>IFERROR(__xludf.DUMMYFUNCTION("""COMPUTED_VALUE"""),12800.0)</f>
        <v>12800</v>
      </c>
      <c r="F946" s="1">
        <f>IFERROR(__xludf.DUMMYFUNCTION("""COMPUTED_VALUE"""),62456.0)</f>
        <v>62456</v>
      </c>
    </row>
    <row r="947">
      <c r="A947" s="2">
        <f>IFERROR(__xludf.DUMMYFUNCTION("""COMPUTED_VALUE"""),42311.64583333333)</f>
        <v>42311.64583</v>
      </c>
      <c r="B947" s="1">
        <f>IFERROR(__xludf.DUMMYFUNCTION("""COMPUTED_VALUE"""),12800.0)</f>
        <v>12800</v>
      </c>
      <c r="C947" s="1">
        <f>IFERROR(__xludf.DUMMYFUNCTION("""COMPUTED_VALUE"""),12900.0)</f>
        <v>12900</v>
      </c>
      <c r="D947" s="1">
        <f>IFERROR(__xludf.DUMMYFUNCTION("""COMPUTED_VALUE"""),12200.0)</f>
        <v>12200</v>
      </c>
      <c r="E947" s="1">
        <f>IFERROR(__xludf.DUMMYFUNCTION("""COMPUTED_VALUE"""),12250.0)</f>
        <v>12250</v>
      </c>
      <c r="F947" s="1">
        <f>IFERROR(__xludf.DUMMYFUNCTION("""COMPUTED_VALUE"""),81708.0)</f>
        <v>81708</v>
      </c>
    </row>
    <row r="948">
      <c r="A948" s="2">
        <f>IFERROR(__xludf.DUMMYFUNCTION("""COMPUTED_VALUE"""),42312.64583333333)</f>
        <v>42312.64583</v>
      </c>
      <c r="B948" s="1">
        <f>IFERROR(__xludf.DUMMYFUNCTION("""COMPUTED_VALUE"""),12600.0)</f>
        <v>12600</v>
      </c>
      <c r="C948" s="1">
        <f>IFERROR(__xludf.DUMMYFUNCTION("""COMPUTED_VALUE"""),13200.0)</f>
        <v>13200</v>
      </c>
      <c r="D948" s="1">
        <f>IFERROR(__xludf.DUMMYFUNCTION("""COMPUTED_VALUE"""),12450.0)</f>
        <v>12450</v>
      </c>
      <c r="E948" s="1">
        <f>IFERROR(__xludf.DUMMYFUNCTION("""COMPUTED_VALUE"""),13100.0)</f>
        <v>13100</v>
      </c>
      <c r="F948" s="1">
        <f>IFERROR(__xludf.DUMMYFUNCTION("""COMPUTED_VALUE"""),121430.0)</f>
        <v>121430</v>
      </c>
    </row>
    <row r="949">
      <c r="A949" s="2">
        <f>IFERROR(__xludf.DUMMYFUNCTION("""COMPUTED_VALUE"""),42313.64583333333)</f>
        <v>42313.64583</v>
      </c>
      <c r="B949" s="1">
        <f>IFERROR(__xludf.DUMMYFUNCTION("""COMPUTED_VALUE"""),13050.0)</f>
        <v>13050</v>
      </c>
      <c r="C949" s="1">
        <f>IFERROR(__xludf.DUMMYFUNCTION("""COMPUTED_VALUE"""),13350.0)</f>
        <v>13350</v>
      </c>
      <c r="D949" s="1">
        <f>IFERROR(__xludf.DUMMYFUNCTION("""COMPUTED_VALUE"""),12900.0)</f>
        <v>12900</v>
      </c>
      <c r="E949" s="1">
        <f>IFERROR(__xludf.DUMMYFUNCTION("""COMPUTED_VALUE"""),13000.0)</f>
        <v>13000</v>
      </c>
      <c r="F949" s="1">
        <f>IFERROR(__xludf.DUMMYFUNCTION("""COMPUTED_VALUE"""),77074.0)</f>
        <v>77074</v>
      </c>
    </row>
    <row r="950">
      <c r="A950" s="2">
        <f>IFERROR(__xludf.DUMMYFUNCTION("""COMPUTED_VALUE"""),42314.64583333333)</f>
        <v>42314.64583</v>
      </c>
      <c r="B950" s="1">
        <f>IFERROR(__xludf.DUMMYFUNCTION("""COMPUTED_VALUE"""),13000.0)</f>
        <v>13000</v>
      </c>
      <c r="C950" s="1">
        <f>IFERROR(__xludf.DUMMYFUNCTION("""COMPUTED_VALUE"""),13050.0)</f>
        <v>13050</v>
      </c>
      <c r="D950" s="1">
        <f>IFERROR(__xludf.DUMMYFUNCTION("""COMPUTED_VALUE"""),12100.0)</f>
        <v>12100</v>
      </c>
      <c r="E950" s="1">
        <f>IFERROR(__xludf.DUMMYFUNCTION("""COMPUTED_VALUE"""),12400.0)</f>
        <v>12400</v>
      </c>
      <c r="F950" s="1">
        <f>IFERROR(__xludf.DUMMYFUNCTION("""COMPUTED_VALUE"""),119511.0)</f>
        <v>119511</v>
      </c>
    </row>
    <row r="951">
      <c r="A951" s="2">
        <f>IFERROR(__xludf.DUMMYFUNCTION("""COMPUTED_VALUE"""),42317.64583333333)</f>
        <v>42317.64583</v>
      </c>
      <c r="B951" s="1">
        <f>IFERROR(__xludf.DUMMYFUNCTION("""COMPUTED_VALUE"""),12300.0)</f>
        <v>12300</v>
      </c>
      <c r="C951" s="1">
        <f>IFERROR(__xludf.DUMMYFUNCTION("""COMPUTED_VALUE"""),12450.0)</f>
        <v>12450</v>
      </c>
      <c r="D951" s="1">
        <f>IFERROR(__xludf.DUMMYFUNCTION("""COMPUTED_VALUE"""),11900.0)</f>
        <v>11900</v>
      </c>
      <c r="E951" s="1">
        <f>IFERROR(__xludf.DUMMYFUNCTION("""COMPUTED_VALUE"""),12000.0)</f>
        <v>12000</v>
      </c>
      <c r="F951" s="1">
        <f>IFERROR(__xludf.DUMMYFUNCTION("""COMPUTED_VALUE"""),68208.0)</f>
        <v>68208</v>
      </c>
    </row>
    <row r="952">
      <c r="A952" s="2">
        <f>IFERROR(__xludf.DUMMYFUNCTION("""COMPUTED_VALUE"""),42318.64583333333)</f>
        <v>42318.64583</v>
      </c>
      <c r="B952" s="1">
        <f>IFERROR(__xludf.DUMMYFUNCTION("""COMPUTED_VALUE"""),11900.0)</f>
        <v>11900</v>
      </c>
      <c r="C952" s="1">
        <f>IFERROR(__xludf.DUMMYFUNCTION("""COMPUTED_VALUE"""),11950.0)</f>
        <v>11950</v>
      </c>
      <c r="D952" s="1">
        <f>IFERROR(__xludf.DUMMYFUNCTION("""COMPUTED_VALUE"""),11100.0)</f>
        <v>11100</v>
      </c>
      <c r="E952" s="1">
        <f>IFERROR(__xludf.DUMMYFUNCTION("""COMPUTED_VALUE"""),11200.0)</f>
        <v>11200</v>
      </c>
      <c r="F952" s="1">
        <f>IFERROR(__xludf.DUMMYFUNCTION("""COMPUTED_VALUE"""),122687.0)</f>
        <v>122687</v>
      </c>
    </row>
    <row r="953">
      <c r="A953" s="2">
        <f>IFERROR(__xludf.DUMMYFUNCTION("""COMPUTED_VALUE"""),42319.64583333333)</f>
        <v>42319.64583</v>
      </c>
      <c r="B953" s="1">
        <f>IFERROR(__xludf.DUMMYFUNCTION("""COMPUTED_VALUE"""),10950.0)</f>
        <v>10950</v>
      </c>
      <c r="C953" s="1">
        <f>IFERROR(__xludf.DUMMYFUNCTION("""COMPUTED_VALUE"""),11600.0)</f>
        <v>11600</v>
      </c>
      <c r="D953" s="1">
        <f>IFERROR(__xludf.DUMMYFUNCTION("""COMPUTED_VALUE"""),10900.0)</f>
        <v>10900</v>
      </c>
      <c r="E953" s="1">
        <f>IFERROR(__xludf.DUMMYFUNCTION("""COMPUTED_VALUE"""),11500.0)</f>
        <v>11500</v>
      </c>
      <c r="F953" s="1">
        <f>IFERROR(__xludf.DUMMYFUNCTION("""COMPUTED_VALUE"""),68522.0)</f>
        <v>68522</v>
      </c>
    </row>
    <row r="954">
      <c r="A954" s="2">
        <f>IFERROR(__xludf.DUMMYFUNCTION("""COMPUTED_VALUE"""),42320.64583333333)</f>
        <v>42320.64583</v>
      </c>
      <c r="B954" s="1">
        <f>IFERROR(__xludf.DUMMYFUNCTION("""COMPUTED_VALUE"""),11400.0)</f>
        <v>11400</v>
      </c>
      <c r="C954" s="1">
        <f>IFERROR(__xludf.DUMMYFUNCTION("""COMPUTED_VALUE"""),11750.0)</f>
        <v>11750</v>
      </c>
      <c r="D954" s="1">
        <f>IFERROR(__xludf.DUMMYFUNCTION("""COMPUTED_VALUE"""),11300.0)</f>
        <v>11300</v>
      </c>
      <c r="E954" s="1">
        <f>IFERROR(__xludf.DUMMYFUNCTION("""COMPUTED_VALUE"""),11450.0)</f>
        <v>11450</v>
      </c>
      <c r="F954" s="1">
        <f>IFERROR(__xludf.DUMMYFUNCTION("""COMPUTED_VALUE"""),20627.0)</f>
        <v>20627</v>
      </c>
    </row>
    <row r="955">
      <c r="A955" s="2">
        <f>IFERROR(__xludf.DUMMYFUNCTION("""COMPUTED_VALUE"""),42321.64583333333)</f>
        <v>42321.64583</v>
      </c>
      <c r="B955" s="1">
        <f>IFERROR(__xludf.DUMMYFUNCTION("""COMPUTED_VALUE"""),11300.0)</f>
        <v>11300</v>
      </c>
      <c r="C955" s="1">
        <f>IFERROR(__xludf.DUMMYFUNCTION("""COMPUTED_VALUE"""),13000.0)</f>
        <v>13000</v>
      </c>
      <c r="D955" s="1">
        <f>IFERROR(__xludf.DUMMYFUNCTION("""COMPUTED_VALUE"""),11250.0)</f>
        <v>11250</v>
      </c>
      <c r="E955" s="1">
        <f>IFERROR(__xludf.DUMMYFUNCTION("""COMPUTED_VALUE"""),12600.0)</f>
        <v>12600</v>
      </c>
      <c r="F955" s="1">
        <f>IFERROR(__xludf.DUMMYFUNCTION("""COMPUTED_VALUE"""),150692.0)</f>
        <v>150692</v>
      </c>
    </row>
    <row r="956">
      <c r="A956" s="2">
        <f>IFERROR(__xludf.DUMMYFUNCTION("""COMPUTED_VALUE"""),42324.64583333333)</f>
        <v>42324.64583</v>
      </c>
      <c r="B956" s="1">
        <f>IFERROR(__xludf.DUMMYFUNCTION("""COMPUTED_VALUE"""),12500.0)</f>
        <v>12500</v>
      </c>
      <c r="C956" s="1">
        <f>IFERROR(__xludf.DUMMYFUNCTION("""COMPUTED_VALUE"""),12900.0)</f>
        <v>12900</v>
      </c>
      <c r="D956" s="1">
        <f>IFERROR(__xludf.DUMMYFUNCTION("""COMPUTED_VALUE"""),12250.0)</f>
        <v>12250</v>
      </c>
      <c r="E956" s="1">
        <f>IFERROR(__xludf.DUMMYFUNCTION("""COMPUTED_VALUE"""),12600.0)</f>
        <v>12600</v>
      </c>
      <c r="F956" s="1">
        <f>IFERROR(__xludf.DUMMYFUNCTION("""COMPUTED_VALUE"""),87559.0)</f>
        <v>87559</v>
      </c>
    </row>
    <row r="957">
      <c r="A957" s="2">
        <f>IFERROR(__xludf.DUMMYFUNCTION("""COMPUTED_VALUE"""),42325.64583333333)</f>
        <v>42325.64583</v>
      </c>
      <c r="B957" s="1">
        <f>IFERROR(__xludf.DUMMYFUNCTION("""COMPUTED_VALUE"""),12550.0)</f>
        <v>12550</v>
      </c>
      <c r="C957" s="1">
        <f>IFERROR(__xludf.DUMMYFUNCTION("""COMPUTED_VALUE"""),12800.0)</f>
        <v>12800</v>
      </c>
      <c r="D957" s="1">
        <f>IFERROR(__xludf.DUMMYFUNCTION("""COMPUTED_VALUE"""),11850.0)</f>
        <v>11850</v>
      </c>
      <c r="E957" s="1">
        <f>IFERROR(__xludf.DUMMYFUNCTION("""COMPUTED_VALUE"""),12750.0)</f>
        <v>12750</v>
      </c>
      <c r="F957" s="1">
        <f>IFERROR(__xludf.DUMMYFUNCTION("""COMPUTED_VALUE"""),170261.0)</f>
        <v>170261</v>
      </c>
    </row>
    <row r="958">
      <c r="A958" s="2">
        <f>IFERROR(__xludf.DUMMYFUNCTION("""COMPUTED_VALUE"""),42326.64583333333)</f>
        <v>42326.64583</v>
      </c>
      <c r="B958" s="1">
        <f>IFERROR(__xludf.DUMMYFUNCTION("""COMPUTED_VALUE"""),12900.0)</f>
        <v>12900</v>
      </c>
      <c r="C958" s="1">
        <f>IFERROR(__xludf.DUMMYFUNCTION("""COMPUTED_VALUE"""),13250.0)</f>
        <v>13250</v>
      </c>
      <c r="D958" s="1">
        <f>IFERROR(__xludf.DUMMYFUNCTION("""COMPUTED_VALUE"""),12500.0)</f>
        <v>12500</v>
      </c>
      <c r="E958" s="1">
        <f>IFERROR(__xludf.DUMMYFUNCTION("""COMPUTED_VALUE"""),12900.0)</f>
        <v>12900</v>
      </c>
      <c r="F958" s="1">
        <f>IFERROR(__xludf.DUMMYFUNCTION("""COMPUTED_VALUE"""),81751.0)</f>
        <v>81751</v>
      </c>
    </row>
    <row r="959">
      <c r="A959" s="2">
        <f>IFERROR(__xludf.DUMMYFUNCTION("""COMPUTED_VALUE"""),42327.64583333333)</f>
        <v>42327.64583</v>
      </c>
      <c r="B959" s="1">
        <f>IFERROR(__xludf.DUMMYFUNCTION("""COMPUTED_VALUE"""),12900.0)</f>
        <v>12900</v>
      </c>
      <c r="C959" s="1">
        <f>IFERROR(__xludf.DUMMYFUNCTION("""COMPUTED_VALUE"""),13100.0)</f>
        <v>13100</v>
      </c>
      <c r="D959" s="1">
        <f>IFERROR(__xludf.DUMMYFUNCTION("""COMPUTED_VALUE"""),12350.0)</f>
        <v>12350</v>
      </c>
      <c r="E959" s="1">
        <f>IFERROR(__xludf.DUMMYFUNCTION("""COMPUTED_VALUE"""),12550.0)</f>
        <v>12550</v>
      </c>
      <c r="F959" s="1">
        <f>IFERROR(__xludf.DUMMYFUNCTION("""COMPUTED_VALUE"""),77597.0)</f>
        <v>77597</v>
      </c>
    </row>
    <row r="960">
      <c r="A960" s="2">
        <f>IFERROR(__xludf.DUMMYFUNCTION("""COMPUTED_VALUE"""),42328.64583333333)</f>
        <v>42328.64583</v>
      </c>
      <c r="B960" s="1">
        <f>IFERROR(__xludf.DUMMYFUNCTION("""COMPUTED_VALUE"""),12600.0)</f>
        <v>12600</v>
      </c>
      <c r="C960" s="1">
        <f>IFERROR(__xludf.DUMMYFUNCTION("""COMPUTED_VALUE"""),12600.0)</f>
        <v>12600</v>
      </c>
      <c r="D960" s="1">
        <f>IFERROR(__xludf.DUMMYFUNCTION("""COMPUTED_VALUE"""),12250.0)</f>
        <v>12250</v>
      </c>
      <c r="E960" s="1">
        <f>IFERROR(__xludf.DUMMYFUNCTION("""COMPUTED_VALUE"""),12600.0)</f>
        <v>12600</v>
      </c>
      <c r="F960" s="1">
        <f>IFERROR(__xludf.DUMMYFUNCTION("""COMPUTED_VALUE"""),36515.0)</f>
        <v>36515</v>
      </c>
    </row>
    <row r="961">
      <c r="A961" s="2">
        <f>IFERROR(__xludf.DUMMYFUNCTION("""COMPUTED_VALUE"""),42331.64583333333)</f>
        <v>42331.64583</v>
      </c>
      <c r="B961" s="1">
        <f>IFERROR(__xludf.DUMMYFUNCTION("""COMPUTED_VALUE"""),12600.0)</f>
        <v>12600</v>
      </c>
      <c r="C961" s="1">
        <f>IFERROR(__xludf.DUMMYFUNCTION("""COMPUTED_VALUE"""),12700.0)</f>
        <v>12700</v>
      </c>
      <c r="D961" s="1">
        <f>IFERROR(__xludf.DUMMYFUNCTION("""COMPUTED_VALUE"""),12300.0)</f>
        <v>12300</v>
      </c>
      <c r="E961" s="1">
        <f>IFERROR(__xludf.DUMMYFUNCTION("""COMPUTED_VALUE"""),12700.0)</f>
        <v>12700</v>
      </c>
      <c r="F961" s="1">
        <f>IFERROR(__xludf.DUMMYFUNCTION("""COMPUTED_VALUE"""),56438.0)</f>
        <v>56438</v>
      </c>
    </row>
    <row r="962">
      <c r="A962" s="2">
        <f>IFERROR(__xludf.DUMMYFUNCTION("""COMPUTED_VALUE"""),42332.64583333333)</f>
        <v>42332.64583</v>
      </c>
      <c r="B962" s="1">
        <f>IFERROR(__xludf.DUMMYFUNCTION("""COMPUTED_VALUE"""),12850.0)</f>
        <v>12850</v>
      </c>
      <c r="C962" s="1">
        <f>IFERROR(__xludf.DUMMYFUNCTION("""COMPUTED_VALUE"""),12850.0)</f>
        <v>12850</v>
      </c>
      <c r="D962" s="1">
        <f>IFERROR(__xludf.DUMMYFUNCTION("""COMPUTED_VALUE"""),12450.0)</f>
        <v>12450</v>
      </c>
      <c r="E962" s="1">
        <f>IFERROR(__xludf.DUMMYFUNCTION("""COMPUTED_VALUE"""),12700.0)</f>
        <v>12700</v>
      </c>
      <c r="F962" s="1">
        <f>IFERROR(__xludf.DUMMYFUNCTION("""COMPUTED_VALUE"""),36358.0)</f>
        <v>36358</v>
      </c>
    </row>
    <row r="963">
      <c r="A963" s="2">
        <f>IFERROR(__xludf.DUMMYFUNCTION("""COMPUTED_VALUE"""),42333.64583333333)</f>
        <v>42333.64583</v>
      </c>
      <c r="B963" s="1">
        <f>IFERROR(__xludf.DUMMYFUNCTION("""COMPUTED_VALUE"""),12800.0)</f>
        <v>12800</v>
      </c>
      <c r="C963" s="1">
        <f>IFERROR(__xludf.DUMMYFUNCTION("""COMPUTED_VALUE"""),13600.0)</f>
        <v>13600</v>
      </c>
      <c r="D963" s="1">
        <f>IFERROR(__xludf.DUMMYFUNCTION("""COMPUTED_VALUE"""),12550.0)</f>
        <v>12550</v>
      </c>
      <c r="E963" s="1">
        <f>IFERROR(__xludf.DUMMYFUNCTION("""COMPUTED_VALUE"""),12950.0)</f>
        <v>12950</v>
      </c>
      <c r="F963" s="1">
        <f>IFERROR(__xludf.DUMMYFUNCTION("""COMPUTED_VALUE"""),121582.0)</f>
        <v>121582</v>
      </c>
    </row>
    <row r="964">
      <c r="A964" s="2">
        <f>IFERROR(__xludf.DUMMYFUNCTION("""COMPUTED_VALUE"""),42334.64583333333)</f>
        <v>42334.64583</v>
      </c>
      <c r="B964" s="1">
        <f>IFERROR(__xludf.DUMMYFUNCTION("""COMPUTED_VALUE"""),13100.0)</f>
        <v>13100</v>
      </c>
      <c r="C964" s="1">
        <f>IFERROR(__xludf.DUMMYFUNCTION("""COMPUTED_VALUE"""),13400.0)</f>
        <v>13400</v>
      </c>
      <c r="D964" s="1">
        <f>IFERROR(__xludf.DUMMYFUNCTION("""COMPUTED_VALUE"""),12850.0)</f>
        <v>12850</v>
      </c>
      <c r="E964" s="1">
        <f>IFERROR(__xludf.DUMMYFUNCTION("""COMPUTED_VALUE"""),13350.0)</f>
        <v>13350</v>
      </c>
      <c r="F964" s="1">
        <f>IFERROR(__xludf.DUMMYFUNCTION("""COMPUTED_VALUE"""),81829.0)</f>
        <v>81829</v>
      </c>
    </row>
    <row r="965">
      <c r="A965" s="2">
        <f>IFERROR(__xludf.DUMMYFUNCTION("""COMPUTED_VALUE"""),42335.64583333333)</f>
        <v>42335.64583</v>
      </c>
      <c r="B965" s="1">
        <f>IFERROR(__xludf.DUMMYFUNCTION("""COMPUTED_VALUE"""),13200.0)</f>
        <v>13200</v>
      </c>
      <c r="C965" s="1">
        <f>IFERROR(__xludf.DUMMYFUNCTION("""COMPUTED_VALUE"""),13500.0)</f>
        <v>13500</v>
      </c>
      <c r="D965" s="1">
        <f>IFERROR(__xludf.DUMMYFUNCTION("""COMPUTED_VALUE"""),13000.0)</f>
        <v>13000</v>
      </c>
      <c r="E965" s="1">
        <f>IFERROR(__xludf.DUMMYFUNCTION("""COMPUTED_VALUE"""),13100.0)</f>
        <v>13100</v>
      </c>
      <c r="F965" s="1">
        <f>IFERROR(__xludf.DUMMYFUNCTION("""COMPUTED_VALUE"""),35109.0)</f>
        <v>35109</v>
      </c>
    </row>
    <row r="966">
      <c r="A966" s="2">
        <f>IFERROR(__xludf.DUMMYFUNCTION("""COMPUTED_VALUE"""),42338.64583333333)</f>
        <v>42338.64583</v>
      </c>
      <c r="B966" s="1">
        <f>IFERROR(__xludf.DUMMYFUNCTION("""COMPUTED_VALUE"""),12850.0)</f>
        <v>12850</v>
      </c>
      <c r="C966" s="1">
        <f>IFERROR(__xludf.DUMMYFUNCTION("""COMPUTED_VALUE"""),13150.0)</f>
        <v>13150</v>
      </c>
      <c r="D966" s="1">
        <f>IFERROR(__xludf.DUMMYFUNCTION("""COMPUTED_VALUE"""),12700.0)</f>
        <v>12700</v>
      </c>
      <c r="E966" s="1">
        <f>IFERROR(__xludf.DUMMYFUNCTION("""COMPUTED_VALUE"""),13100.0)</f>
        <v>13100</v>
      </c>
      <c r="F966" s="1">
        <f>IFERROR(__xludf.DUMMYFUNCTION("""COMPUTED_VALUE"""),27791.0)</f>
        <v>27791</v>
      </c>
    </row>
    <row r="967">
      <c r="A967" s="2">
        <f>IFERROR(__xludf.DUMMYFUNCTION("""COMPUTED_VALUE"""),42339.64583333333)</f>
        <v>42339.64583</v>
      </c>
      <c r="B967" s="1">
        <f>IFERROR(__xludf.DUMMYFUNCTION("""COMPUTED_VALUE"""),13300.0)</f>
        <v>13300</v>
      </c>
      <c r="C967" s="1">
        <f>IFERROR(__xludf.DUMMYFUNCTION("""COMPUTED_VALUE"""),13400.0)</f>
        <v>13400</v>
      </c>
      <c r="D967" s="1">
        <f>IFERROR(__xludf.DUMMYFUNCTION("""COMPUTED_VALUE"""),12900.0)</f>
        <v>12900</v>
      </c>
      <c r="E967" s="1">
        <f>IFERROR(__xludf.DUMMYFUNCTION("""COMPUTED_VALUE"""),13100.0)</f>
        <v>13100</v>
      </c>
      <c r="F967" s="1">
        <f>IFERROR(__xludf.DUMMYFUNCTION("""COMPUTED_VALUE"""),40694.0)</f>
        <v>40694</v>
      </c>
    </row>
    <row r="968">
      <c r="A968" s="2">
        <f>IFERROR(__xludf.DUMMYFUNCTION("""COMPUTED_VALUE"""),42340.64583333333)</f>
        <v>42340.64583</v>
      </c>
      <c r="B968" s="1">
        <f>IFERROR(__xludf.DUMMYFUNCTION("""COMPUTED_VALUE"""),13300.0)</f>
        <v>13300</v>
      </c>
      <c r="C968" s="1">
        <f>IFERROR(__xludf.DUMMYFUNCTION("""COMPUTED_VALUE"""),13300.0)</f>
        <v>13300</v>
      </c>
      <c r="D968" s="1">
        <f>IFERROR(__xludf.DUMMYFUNCTION("""COMPUTED_VALUE"""),12850.0)</f>
        <v>12850</v>
      </c>
      <c r="E968" s="1">
        <f>IFERROR(__xludf.DUMMYFUNCTION("""COMPUTED_VALUE"""),12850.0)</f>
        <v>12850</v>
      </c>
      <c r="F968" s="1">
        <f>IFERROR(__xludf.DUMMYFUNCTION("""COMPUTED_VALUE"""),48448.0)</f>
        <v>48448</v>
      </c>
    </row>
    <row r="969">
      <c r="A969" s="2">
        <f>IFERROR(__xludf.DUMMYFUNCTION("""COMPUTED_VALUE"""),42341.64583333333)</f>
        <v>42341.64583</v>
      </c>
      <c r="B969" s="1">
        <f>IFERROR(__xludf.DUMMYFUNCTION("""COMPUTED_VALUE"""),12700.0)</f>
        <v>12700</v>
      </c>
      <c r="C969" s="1">
        <f>IFERROR(__xludf.DUMMYFUNCTION("""COMPUTED_VALUE"""),13100.0)</f>
        <v>13100</v>
      </c>
      <c r="D969" s="1">
        <f>IFERROR(__xludf.DUMMYFUNCTION("""COMPUTED_VALUE"""),12450.0)</f>
        <v>12450</v>
      </c>
      <c r="E969" s="1">
        <f>IFERROR(__xludf.DUMMYFUNCTION("""COMPUTED_VALUE"""),13100.0)</f>
        <v>13100</v>
      </c>
      <c r="F969" s="1">
        <f>IFERROR(__xludf.DUMMYFUNCTION("""COMPUTED_VALUE"""),19880.0)</f>
        <v>19880</v>
      </c>
    </row>
    <row r="970">
      <c r="A970" s="2">
        <f>IFERROR(__xludf.DUMMYFUNCTION("""COMPUTED_VALUE"""),42342.64583333333)</f>
        <v>42342.64583</v>
      </c>
      <c r="B970" s="1">
        <f>IFERROR(__xludf.DUMMYFUNCTION("""COMPUTED_VALUE"""),13100.0)</f>
        <v>13100</v>
      </c>
      <c r="C970" s="1">
        <f>IFERROR(__xludf.DUMMYFUNCTION("""COMPUTED_VALUE"""),13200.0)</f>
        <v>13200</v>
      </c>
      <c r="D970" s="1">
        <f>IFERROR(__xludf.DUMMYFUNCTION("""COMPUTED_VALUE"""),12750.0)</f>
        <v>12750</v>
      </c>
      <c r="E970" s="1">
        <f>IFERROR(__xludf.DUMMYFUNCTION("""COMPUTED_VALUE"""),12900.0)</f>
        <v>12900</v>
      </c>
      <c r="F970" s="1">
        <f>IFERROR(__xludf.DUMMYFUNCTION("""COMPUTED_VALUE"""),29421.0)</f>
        <v>29421</v>
      </c>
    </row>
    <row r="971">
      <c r="A971" s="2">
        <f>IFERROR(__xludf.DUMMYFUNCTION("""COMPUTED_VALUE"""),42345.64583333333)</f>
        <v>42345.64583</v>
      </c>
      <c r="B971" s="1">
        <f>IFERROR(__xludf.DUMMYFUNCTION("""COMPUTED_VALUE"""),12800.0)</f>
        <v>12800</v>
      </c>
      <c r="C971" s="1">
        <f>IFERROR(__xludf.DUMMYFUNCTION("""COMPUTED_VALUE"""),13150.0)</f>
        <v>13150</v>
      </c>
      <c r="D971" s="1">
        <f>IFERROR(__xludf.DUMMYFUNCTION("""COMPUTED_VALUE"""),12750.0)</f>
        <v>12750</v>
      </c>
      <c r="E971" s="1">
        <f>IFERROR(__xludf.DUMMYFUNCTION("""COMPUTED_VALUE"""),13000.0)</f>
        <v>13000</v>
      </c>
      <c r="F971" s="1">
        <f>IFERROR(__xludf.DUMMYFUNCTION("""COMPUTED_VALUE"""),20027.0)</f>
        <v>20027</v>
      </c>
    </row>
    <row r="972">
      <c r="A972" s="2">
        <f>IFERROR(__xludf.DUMMYFUNCTION("""COMPUTED_VALUE"""),42346.64583333333)</f>
        <v>42346.64583</v>
      </c>
      <c r="B972" s="1">
        <f>IFERROR(__xludf.DUMMYFUNCTION("""COMPUTED_VALUE"""),13000.0)</f>
        <v>13000</v>
      </c>
      <c r="C972" s="1">
        <f>IFERROR(__xludf.DUMMYFUNCTION("""COMPUTED_VALUE"""),13050.0)</f>
        <v>13050</v>
      </c>
      <c r="D972" s="1">
        <f>IFERROR(__xludf.DUMMYFUNCTION("""COMPUTED_VALUE"""),12550.0)</f>
        <v>12550</v>
      </c>
      <c r="E972" s="1">
        <f>IFERROR(__xludf.DUMMYFUNCTION("""COMPUTED_VALUE"""),12550.0)</f>
        <v>12550</v>
      </c>
      <c r="F972" s="1">
        <f>IFERROR(__xludf.DUMMYFUNCTION("""COMPUTED_VALUE"""),28842.0)</f>
        <v>28842</v>
      </c>
    </row>
    <row r="973">
      <c r="A973" s="2">
        <f>IFERROR(__xludf.DUMMYFUNCTION("""COMPUTED_VALUE"""),42347.64583333333)</f>
        <v>42347.64583</v>
      </c>
      <c r="B973" s="1">
        <f>IFERROR(__xludf.DUMMYFUNCTION("""COMPUTED_VALUE"""),12650.0)</f>
        <v>12650</v>
      </c>
      <c r="C973" s="1">
        <f>IFERROR(__xludf.DUMMYFUNCTION("""COMPUTED_VALUE"""),12650.0)</f>
        <v>12650</v>
      </c>
      <c r="D973" s="1">
        <f>IFERROR(__xludf.DUMMYFUNCTION("""COMPUTED_VALUE"""),12150.0)</f>
        <v>12150</v>
      </c>
      <c r="E973" s="1">
        <f>IFERROR(__xludf.DUMMYFUNCTION("""COMPUTED_VALUE"""),12150.0)</f>
        <v>12150</v>
      </c>
      <c r="F973" s="1">
        <f>IFERROR(__xludf.DUMMYFUNCTION("""COMPUTED_VALUE"""),44285.0)</f>
        <v>44285</v>
      </c>
    </row>
    <row r="974">
      <c r="A974" s="2">
        <f>IFERROR(__xludf.DUMMYFUNCTION("""COMPUTED_VALUE"""),42348.64583333333)</f>
        <v>42348.64583</v>
      </c>
      <c r="B974" s="1">
        <f>IFERROR(__xludf.DUMMYFUNCTION("""COMPUTED_VALUE"""),12200.0)</f>
        <v>12200</v>
      </c>
      <c r="C974" s="1">
        <f>IFERROR(__xludf.DUMMYFUNCTION("""COMPUTED_VALUE"""),12450.0)</f>
        <v>12450</v>
      </c>
      <c r="D974" s="1">
        <f>IFERROR(__xludf.DUMMYFUNCTION("""COMPUTED_VALUE"""),12150.0)</f>
        <v>12150</v>
      </c>
      <c r="E974" s="1">
        <f>IFERROR(__xludf.DUMMYFUNCTION("""COMPUTED_VALUE"""),12350.0)</f>
        <v>12350</v>
      </c>
      <c r="F974" s="1">
        <f>IFERROR(__xludf.DUMMYFUNCTION("""COMPUTED_VALUE"""),38285.0)</f>
        <v>38285</v>
      </c>
    </row>
    <row r="975">
      <c r="A975" s="2">
        <f>IFERROR(__xludf.DUMMYFUNCTION("""COMPUTED_VALUE"""),42349.64583333333)</f>
        <v>42349.64583</v>
      </c>
      <c r="B975" s="1">
        <f>IFERROR(__xludf.DUMMYFUNCTION("""COMPUTED_VALUE"""),12250.0)</f>
        <v>12250</v>
      </c>
      <c r="C975" s="1">
        <f>IFERROR(__xludf.DUMMYFUNCTION("""COMPUTED_VALUE"""),12700.0)</f>
        <v>12700</v>
      </c>
      <c r="D975" s="1">
        <f>IFERROR(__xludf.DUMMYFUNCTION("""COMPUTED_VALUE"""),12250.0)</f>
        <v>12250</v>
      </c>
      <c r="E975" s="1">
        <f>IFERROR(__xludf.DUMMYFUNCTION("""COMPUTED_VALUE"""),12450.0)</f>
        <v>12450</v>
      </c>
      <c r="F975" s="1">
        <f>IFERROR(__xludf.DUMMYFUNCTION("""COMPUTED_VALUE"""),18562.0)</f>
        <v>18562</v>
      </c>
    </row>
    <row r="976">
      <c r="A976" s="2">
        <f>IFERROR(__xludf.DUMMYFUNCTION("""COMPUTED_VALUE"""),42352.64583333333)</f>
        <v>42352.64583</v>
      </c>
      <c r="B976" s="1">
        <f>IFERROR(__xludf.DUMMYFUNCTION("""COMPUTED_VALUE"""),12100.0)</f>
        <v>12100</v>
      </c>
      <c r="C976" s="1">
        <f>IFERROR(__xludf.DUMMYFUNCTION("""COMPUTED_VALUE"""),12450.0)</f>
        <v>12450</v>
      </c>
      <c r="D976" s="1">
        <f>IFERROR(__xludf.DUMMYFUNCTION("""COMPUTED_VALUE"""),12000.0)</f>
        <v>12000</v>
      </c>
      <c r="E976" s="1">
        <f>IFERROR(__xludf.DUMMYFUNCTION("""COMPUTED_VALUE"""),12400.0)</f>
        <v>12400</v>
      </c>
      <c r="F976" s="1">
        <f>IFERROR(__xludf.DUMMYFUNCTION("""COMPUTED_VALUE"""),31121.0)</f>
        <v>31121</v>
      </c>
    </row>
    <row r="977">
      <c r="A977" s="2">
        <f>IFERROR(__xludf.DUMMYFUNCTION("""COMPUTED_VALUE"""),42353.64583333333)</f>
        <v>42353.64583</v>
      </c>
      <c r="B977" s="1">
        <f>IFERROR(__xludf.DUMMYFUNCTION("""COMPUTED_VALUE"""),12600.0)</f>
        <v>12600</v>
      </c>
      <c r="C977" s="1">
        <f>IFERROR(__xludf.DUMMYFUNCTION("""COMPUTED_VALUE"""),12800.0)</f>
        <v>12800</v>
      </c>
      <c r="D977" s="1">
        <f>IFERROR(__xludf.DUMMYFUNCTION("""COMPUTED_VALUE"""),12100.0)</f>
        <v>12100</v>
      </c>
      <c r="E977" s="1">
        <f>IFERROR(__xludf.DUMMYFUNCTION("""COMPUTED_VALUE"""),12800.0)</f>
        <v>12800</v>
      </c>
      <c r="F977" s="1">
        <f>IFERROR(__xludf.DUMMYFUNCTION("""COMPUTED_VALUE"""),20399.0)</f>
        <v>20399</v>
      </c>
    </row>
    <row r="978">
      <c r="A978" s="2">
        <f>IFERROR(__xludf.DUMMYFUNCTION("""COMPUTED_VALUE"""),42354.64583333333)</f>
        <v>42354.64583</v>
      </c>
      <c r="B978" s="1">
        <f>IFERROR(__xludf.DUMMYFUNCTION("""COMPUTED_VALUE"""),12800.0)</f>
        <v>12800</v>
      </c>
      <c r="C978" s="1">
        <f>IFERROR(__xludf.DUMMYFUNCTION("""COMPUTED_VALUE"""),12900.0)</f>
        <v>12900</v>
      </c>
      <c r="D978" s="1">
        <f>IFERROR(__xludf.DUMMYFUNCTION("""COMPUTED_VALUE"""),12550.0)</f>
        <v>12550</v>
      </c>
      <c r="E978" s="1">
        <f>IFERROR(__xludf.DUMMYFUNCTION("""COMPUTED_VALUE"""),12650.0)</f>
        <v>12650</v>
      </c>
      <c r="F978" s="1">
        <f>IFERROR(__xludf.DUMMYFUNCTION("""COMPUTED_VALUE"""),28873.0)</f>
        <v>28873</v>
      </c>
    </row>
    <row r="979">
      <c r="A979" s="2">
        <f>IFERROR(__xludf.DUMMYFUNCTION("""COMPUTED_VALUE"""),42355.64583333333)</f>
        <v>42355.64583</v>
      </c>
      <c r="B979" s="1">
        <f>IFERROR(__xludf.DUMMYFUNCTION("""COMPUTED_VALUE"""),12800.0)</f>
        <v>12800</v>
      </c>
      <c r="C979" s="1">
        <f>IFERROR(__xludf.DUMMYFUNCTION("""COMPUTED_VALUE"""),13300.0)</f>
        <v>13300</v>
      </c>
      <c r="D979" s="1">
        <f>IFERROR(__xludf.DUMMYFUNCTION("""COMPUTED_VALUE"""),12550.0)</f>
        <v>12550</v>
      </c>
      <c r="E979" s="1">
        <f>IFERROR(__xludf.DUMMYFUNCTION("""COMPUTED_VALUE"""),13250.0)</f>
        <v>13250</v>
      </c>
      <c r="F979" s="1">
        <f>IFERROR(__xludf.DUMMYFUNCTION("""COMPUTED_VALUE"""),69190.0)</f>
        <v>69190</v>
      </c>
    </row>
    <row r="980">
      <c r="A980" s="2">
        <f>IFERROR(__xludf.DUMMYFUNCTION("""COMPUTED_VALUE"""),42356.64583333333)</f>
        <v>42356.64583</v>
      </c>
      <c r="B980" s="1">
        <f>IFERROR(__xludf.DUMMYFUNCTION("""COMPUTED_VALUE"""),13250.0)</f>
        <v>13250</v>
      </c>
      <c r="C980" s="1">
        <f>IFERROR(__xludf.DUMMYFUNCTION("""COMPUTED_VALUE"""),16050.0)</f>
        <v>16050</v>
      </c>
      <c r="D980" s="1">
        <f>IFERROR(__xludf.DUMMYFUNCTION("""COMPUTED_VALUE"""),13100.0)</f>
        <v>13100</v>
      </c>
      <c r="E980" s="1">
        <f>IFERROR(__xludf.DUMMYFUNCTION("""COMPUTED_VALUE"""),15500.0)</f>
        <v>15500</v>
      </c>
      <c r="F980" s="1">
        <f>IFERROR(__xludf.DUMMYFUNCTION("""COMPUTED_VALUE"""),469800.0)</f>
        <v>469800</v>
      </c>
    </row>
    <row r="981">
      <c r="A981" s="2">
        <f>IFERROR(__xludf.DUMMYFUNCTION("""COMPUTED_VALUE"""),42359.64583333333)</f>
        <v>42359.64583</v>
      </c>
      <c r="B981" s="1">
        <f>IFERROR(__xludf.DUMMYFUNCTION("""COMPUTED_VALUE"""),15300.0)</f>
        <v>15300</v>
      </c>
      <c r="C981" s="1">
        <f>IFERROR(__xludf.DUMMYFUNCTION("""COMPUTED_VALUE"""),15500.0)</f>
        <v>15500</v>
      </c>
      <c r="D981" s="1">
        <f>IFERROR(__xludf.DUMMYFUNCTION("""COMPUTED_VALUE"""),15000.0)</f>
        <v>15000</v>
      </c>
      <c r="E981" s="1">
        <f>IFERROR(__xludf.DUMMYFUNCTION("""COMPUTED_VALUE"""),15450.0)</f>
        <v>15450</v>
      </c>
      <c r="F981" s="1">
        <f>IFERROR(__xludf.DUMMYFUNCTION("""COMPUTED_VALUE"""),103730.0)</f>
        <v>103730</v>
      </c>
    </row>
    <row r="982">
      <c r="A982" s="2">
        <f>IFERROR(__xludf.DUMMYFUNCTION("""COMPUTED_VALUE"""),42360.64583333333)</f>
        <v>42360.64583</v>
      </c>
      <c r="B982" s="1">
        <f>IFERROR(__xludf.DUMMYFUNCTION("""COMPUTED_VALUE"""),15600.0)</f>
        <v>15600</v>
      </c>
      <c r="C982" s="1">
        <f>IFERROR(__xludf.DUMMYFUNCTION("""COMPUTED_VALUE"""),15850.0)</f>
        <v>15850</v>
      </c>
      <c r="D982" s="1">
        <f>IFERROR(__xludf.DUMMYFUNCTION("""COMPUTED_VALUE"""),15200.0)</f>
        <v>15200</v>
      </c>
      <c r="E982" s="1">
        <f>IFERROR(__xludf.DUMMYFUNCTION("""COMPUTED_VALUE"""),15300.0)</f>
        <v>15300</v>
      </c>
      <c r="F982" s="1">
        <f>IFERROR(__xludf.DUMMYFUNCTION("""COMPUTED_VALUE"""),87256.0)</f>
        <v>87256</v>
      </c>
    </row>
    <row r="983">
      <c r="A983" s="2">
        <f>IFERROR(__xludf.DUMMYFUNCTION("""COMPUTED_VALUE"""),42361.64583333333)</f>
        <v>42361.64583</v>
      </c>
      <c r="B983" s="1">
        <f>IFERROR(__xludf.DUMMYFUNCTION("""COMPUTED_VALUE"""),15450.0)</f>
        <v>15450</v>
      </c>
      <c r="C983" s="1">
        <f>IFERROR(__xludf.DUMMYFUNCTION("""COMPUTED_VALUE"""),15900.0)</f>
        <v>15900</v>
      </c>
      <c r="D983" s="1">
        <f>IFERROR(__xludf.DUMMYFUNCTION("""COMPUTED_VALUE"""),15000.0)</f>
        <v>15000</v>
      </c>
      <c r="E983" s="1">
        <f>IFERROR(__xludf.DUMMYFUNCTION("""COMPUTED_VALUE"""),15250.0)</f>
        <v>15250</v>
      </c>
      <c r="F983" s="1">
        <f>IFERROR(__xludf.DUMMYFUNCTION("""COMPUTED_VALUE"""),62235.0)</f>
        <v>62235</v>
      </c>
    </row>
    <row r="984">
      <c r="A984" s="2">
        <f>IFERROR(__xludf.DUMMYFUNCTION("""COMPUTED_VALUE"""),42362.64583333333)</f>
        <v>42362.64583</v>
      </c>
      <c r="B984" s="1">
        <f>IFERROR(__xludf.DUMMYFUNCTION("""COMPUTED_VALUE"""),15350.0)</f>
        <v>15350</v>
      </c>
      <c r="C984" s="1">
        <f>IFERROR(__xludf.DUMMYFUNCTION("""COMPUTED_VALUE"""),15650.0)</f>
        <v>15650</v>
      </c>
      <c r="D984" s="1">
        <f>IFERROR(__xludf.DUMMYFUNCTION("""COMPUTED_VALUE"""),14500.0)</f>
        <v>14500</v>
      </c>
      <c r="E984" s="1">
        <f>IFERROR(__xludf.DUMMYFUNCTION("""COMPUTED_VALUE"""),14700.0)</f>
        <v>14700</v>
      </c>
      <c r="F984" s="1">
        <f>IFERROR(__xludf.DUMMYFUNCTION("""COMPUTED_VALUE"""),53598.0)</f>
        <v>53598</v>
      </c>
    </row>
    <row r="985">
      <c r="A985" s="2">
        <f>IFERROR(__xludf.DUMMYFUNCTION("""COMPUTED_VALUE"""),42366.64583333333)</f>
        <v>42366.64583</v>
      </c>
      <c r="B985" s="1">
        <f>IFERROR(__xludf.DUMMYFUNCTION("""COMPUTED_VALUE"""),14550.0)</f>
        <v>14550</v>
      </c>
      <c r="C985" s="1">
        <f>IFERROR(__xludf.DUMMYFUNCTION("""COMPUTED_VALUE"""),14750.0)</f>
        <v>14750</v>
      </c>
      <c r="D985" s="1">
        <f>IFERROR(__xludf.DUMMYFUNCTION("""COMPUTED_VALUE"""),14300.0)</f>
        <v>14300</v>
      </c>
      <c r="E985" s="1">
        <f>IFERROR(__xludf.DUMMYFUNCTION("""COMPUTED_VALUE"""),14550.0)</f>
        <v>14550</v>
      </c>
      <c r="F985" s="1">
        <f>IFERROR(__xludf.DUMMYFUNCTION("""COMPUTED_VALUE"""),39607.0)</f>
        <v>39607</v>
      </c>
    </row>
    <row r="986">
      <c r="A986" s="2">
        <f>IFERROR(__xludf.DUMMYFUNCTION("""COMPUTED_VALUE"""),42367.64583333333)</f>
        <v>42367.64583</v>
      </c>
      <c r="B986" s="1">
        <f>IFERROR(__xludf.DUMMYFUNCTION("""COMPUTED_VALUE"""),14550.0)</f>
        <v>14550</v>
      </c>
      <c r="C986" s="1">
        <f>IFERROR(__xludf.DUMMYFUNCTION("""COMPUTED_VALUE"""),14950.0)</f>
        <v>14950</v>
      </c>
      <c r="D986" s="1">
        <f>IFERROR(__xludf.DUMMYFUNCTION("""COMPUTED_VALUE"""),14350.0)</f>
        <v>14350</v>
      </c>
      <c r="E986" s="1">
        <f>IFERROR(__xludf.DUMMYFUNCTION("""COMPUTED_VALUE"""),14800.0)</f>
        <v>14800</v>
      </c>
      <c r="F986" s="1">
        <f>IFERROR(__xludf.DUMMYFUNCTION("""COMPUTED_VALUE"""),18822.0)</f>
        <v>18822</v>
      </c>
    </row>
    <row r="987">
      <c r="A987" s="2">
        <f>IFERROR(__xludf.DUMMYFUNCTION("""COMPUTED_VALUE"""),42368.64583333333)</f>
        <v>42368.64583</v>
      </c>
      <c r="B987" s="1">
        <f>IFERROR(__xludf.DUMMYFUNCTION("""COMPUTED_VALUE"""),14650.0)</f>
        <v>14650</v>
      </c>
      <c r="C987" s="1">
        <f>IFERROR(__xludf.DUMMYFUNCTION("""COMPUTED_VALUE"""),14900.0)</f>
        <v>14900</v>
      </c>
      <c r="D987" s="1">
        <f>IFERROR(__xludf.DUMMYFUNCTION("""COMPUTED_VALUE"""),14500.0)</f>
        <v>14500</v>
      </c>
      <c r="E987" s="1">
        <f>IFERROR(__xludf.DUMMYFUNCTION("""COMPUTED_VALUE"""),14600.0)</f>
        <v>14600</v>
      </c>
      <c r="F987" s="1">
        <f>IFERROR(__xludf.DUMMYFUNCTION("""COMPUTED_VALUE"""),25098.0)</f>
        <v>25098</v>
      </c>
    </row>
    <row r="988">
      <c r="A988" s="2">
        <f>IFERROR(__xludf.DUMMYFUNCTION("""COMPUTED_VALUE"""),42373.64583333333)</f>
        <v>42373.64583</v>
      </c>
      <c r="B988" s="1">
        <f>IFERROR(__xludf.DUMMYFUNCTION("""COMPUTED_VALUE"""),14300.0)</f>
        <v>14300</v>
      </c>
      <c r="C988" s="1">
        <f>IFERROR(__xludf.DUMMYFUNCTION("""COMPUTED_VALUE"""),14550.0)</f>
        <v>14550</v>
      </c>
      <c r="D988" s="1">
        <f>IFERROR(__xludf.DUMMYFUNCTION("""COMPUTED_VALUE"""),13900.0)</f>
        <v>13900</v>
      </c>
      <c r="E988" s="1">
        <f>IFERROR(__xludf.DUMMYFUNCTION("""COMPUTED_VALUE"""),14000.0)</f>
        <v>14000</v>
      </c>
      <c r="F988" s="1">
        <f>IFERROR(__xludf.DUMMYFUNCTION("""COMPUTED_VALUE"""),59328.0)</f>
        <v>59328</v>
      </c>
    </row>
    <row r="989">
      <c r="A989" s="2">
        <f>IFERROR(__xludf.DUMMYFUNCTION("""COMPUTED_VALUE"""),42374.64583333333)</f>
        <v>42374.64583</v>
      </c>
      <c r="B989" s="1">
        <f>IFERROR(__xludf.DUMMYFUNCTION("""COMPUTED_VALUE"""),13750.0)</f>
        <v>13750</v>
      </c>
      <c r="C989" s="1">
        <f>IFERROR(__xludf.DUMMYFUNCTION("""COMPUTED_VALUE"""),14100.0)</f>
        <v>14100</v>
      </c>
      <c r="D989" s="1">
        <f>IFERROR(__xludf.DUMMYFUNCTION("""COMPUTED_VALUE"""),13550.0)</f>
        <v>13550</v>
      </c>
      <c r="E989" s="1">
        <f>IFERROR(__xludf.DUMMYFUNCTION("""COMPUTED_VALUE"""),13950.0)</f>
        <v>13950</v>
      </c>
      <c r="F989" s="1">
        <f>IFERROR(__xludf.DUMMYFUNCTION("""COMPUTED_VALUE"""),37121.0)</f>
        <v>37121</v>
      </c>
    </row>
    <row r="990">
      <c r="A990" s="2">
        <f>IFERROR(__xludf.DUMMYFUNCTION("""COMPUTED_VALUE"""),42375.64583333333)</f>
        <v>42375.64583</v>
      </c>
      <c r="B990" s="1">
        <f>IFERROR(__xludf.DUMMYFUNCTION("""COMPUTED_VALUE"""),13950.0)</f>
        <v>13950</v>
      </c>
      <c r="C990" s="1">
        <f>IFERROR(__xludf.DUMMYFUNCTION("""COMPUTED_VALUE"""),13950.0)</f>
        <v>13950</v>
      </c>
      <c r="D990" s="1">
        <f>IFERROR(__xludf.DUMMYFUNCTION("""COMPUTED_VALUE"""),13100.0)</f>
        <v>13100</v>
      </c>
      <c r="E990" s="1">
        <f>IFERROR(__xludf.DUMMYFUNCTION("""COMPUTED_VALUE"""),13500.0)</f>
        <v>13500</v>
      </c>
      <c r="F990" s="1">
        <f>IFERROR(__xludf.DUMMYFUNCTION("""COMPUTED_VALUE"""),104685.0)</f>
        <v>104685</v>
      </c>
    </row>
    <row r="991">
      <c r="A991" s="2">
        <f>IFERROR(__xludf.DUMMYFUNCTION("""COMPUTED_VALUE"""),42376.64583333333)</f>
        <v>42376.64583</v>
      </c>
      <c r="B991" s="1">
        <f>IFERROR(__xludf.DUMMYFUNCTION("""COMPUTED_VALUE"""),13550.0)</f>
        <v>13550</v>
      </c>
      <c r="C991" s="1">
        <f>IFERROR(__xludf.DUMMYFUNCTION("""COMPUTED_VALUE"""),13600.0)</f>
        <v>13600</v>
      </c>
      <c r="D991" s="1">
        <f>IFERROR(__xludf.DUMMYFUNCTION("""COMPUTED_VALUE"""),13050.0)</f>
        <v>13050</v>
      </c>
      <c r="E991" s="1">
        <f>IFERROR(__xludf.DUMMYFUNCTION("""COMPUTED_VALUE"""),13250.0)</f>
        <v>13250</v>
      </c>
      <c r="F991" s="1">
        <f>IFERROR(__xludf.DUMMYFUNCTION("""COMPUTED_VALUE"""),75886.0)</f>
        <v>75886</v>
      </c>
    </row>
    <row r="992">
      <c r="A992" s="2">
        <f>IFERROR(__xludf.DUMMYFUNCTION("""COMPUTED_VALUE"""),42377.64583333333)</f>
        <v>42377.64583</v>
      </c>
      <c r="B992" s="1">
        <f>IFERROR(__xludf.DUMMYFUNCTION("""COMPUTED_VALUE"""),13000.0)</f>
        <v>13000</v>
      </c>
      <c r="C992" s="1">
        <f>IFERROR(__xludf.DUMMYFUNCTION("""COMPUTED_VALUE"""),13250.0)</f>
        <v>13250</v>
      </c>
      <c r="D992" s="1">
        <f>IFERROR(__xludf.DUMMYFUNCTION("""COMPUTED_VALUE"""),12750.0)</f>
        <v>12750</v>
      </c>
      <c r="E992" s="1">
        <f>IFERROR(__xludf.DUMMYFUNCTION("""COMPUTED_VALUE"""),13050.0)</f>
        <v>13050</v>
      </c>
      <c r="F992" s="1">
        <f>IFERROR(__xludf.DUMMYFUNCTION("""COMPUTED_VALUE"""),53078.0)</f>
        <v>53078</v>
      </c>
    </row>
    <row r="993">
      <c r="A993" s="2">
        <f>IFERROR(__xludf.DUMMYFUNCTION("""COMPUTED_VALUE"""),42380.64583333333)</f>
        <v>42380.64583</v>
      </c>
      <c r="B993" s="1">
        <f>IFERROR(__xludf.DUMMYFUNCTION("""COMPUTED_VALUE"""),13100.0)</f>
        <v>13100</v>
      </c>
      <c r="C993" s="1">
        <f>IFERROR(__xludf.DUMMYFUNCTION("""COMPUTED_VALUE"""),14000.0)</f>
        <v>14000</v>
      </c>
      <c r="D993" s="1">
        <f>IFERROR(__xludf.DUMMYFUNCTION("""COMPUTED_VALUE"""),13100.0)</f>
        <v>13100</v>
      </c>
      <c r="E993" s="1">
        <f>IFERROR(__xludf.DUMMYFUNCTION("""COMPUTED_VALUE"""),13600.0)</f>
        <v>13600</v>
      </c>
      <c r="F993" s="1">
        <f>IFERROR(__xludf.DUMMYFUNCTION("""COMPUTED_VALUE"""),186853.0)</f>
        <v>186853</v>
      </c>
    </row>
    <row r="994">
      <c r="A994" s="2">
        <f>IFERROR(__xludf.DUMMYFUNCTION("""COMPUTED_VALUE"""),42381.64583333333)</f>
        <v>42381.64583</v>
      </c>
      <c r="B994" s="1">
        <f>IFERROR(__xludf.DUMMYFUNCTION("""COMPUTED_VALUE"""),13550.0)</f>
        <v>13550</v>
      </c>
      <c r="C994" s="1">
        <f>IFERROR(__xludf.DUMMYFUNCTION("""COMPUTED_VALUE"""),14250.0)</f>
        <v>14250</v>
      </c>
      <c r="D994" s="1">
        <f>IFERROR(__xludf.DUMMYFUNCTION("""COMPUTED_VALUE"""),13300.0)</f>
        <v>13300</v>
      </c>
      <c r="E994" s="1">
        <f>IFERROR(__xludf.DUMMYFUNCTION("""COMPUTED_VALUE"""),14200.0)</f>
        <v>14200</v>
      </c>
      <c r="F994" s="1">
        <f>IFERROR(__xludf.DUMMYFUNCTION("""COMPUTED_VALUE"""),94137.0)</f>
        <v>94137</v>
      </c>
    </row>
    <row r="995">
      <c r="A995" s="2">
        <f>IFERROR(__xludf.DUMMYFUNCTION("""COMPUTED_VALUE"""),42382.64583333333)</f>
        <v>42382.64583</v>
      </c>
      <c r="B995" s="1">
        <f>IFERROR(__xludf.DUMMYFUNCTION("""COMPUTED_VALUE"""),14300.0)</f>
        <v>14300</v>
      </c>
      <c r="C995" s="1">
        <f>IFERROR(__xludf.DUMMYFUNCTION("""COMPUTED_VALUE"""),14500.0)</f>
        <v>14500</v>
      </c>
      <c r="D995" s="1">
        <f>IFERROR(__xludf.DUMMYFUNCTION("""COMPUTED_VALUE"""),13900.0)</f>
        <v>13900</v>
      </c>
      <c r="E995" s="1">
        <f>IFERROR(__xludf.DUMMYFUNCTION("""COMPUTED_VALUE"""),13900.0)</f>
        <v>13900</v>
      </c>
      <c r="F995" s="1">
        <f>IFERROR(__xludf.DUMMYFUNCTION("""COMPUTED_VALUE"""),58664.0)</f>
        <v>58664</v>
      </c>
    </row>
    <row r="996">
      <c r="A996" s="2">
        <f>IFERROR(__xludf.DUMMYFUNCTION("""COMPUTED_VALUE"""),42383.64583333333)</f>
        <v>42383.64583</v>
      </c>
      <c r="B996" s="1">
        <f>IFERROR(__xludf.DUMMYFUNCTION("""COMPUTED_VALUE"""),13700.0)</f>
        <v>13700</v>
      </c>
      <c r="C996" s="1">
        <f>IFERROR(__xludf.DUMMYFUNCTION("""COMPUTED_VALUE"""),13800.0)</f>
        <v>13800</v>
      </c>
      <c r="D996" s="1">
        <f>IFERROR(__xludf.DUMMYFUNCTION("""COMPUTED_VALUE"""),13200.0)</f>
        <v>13200</v>
      </c>
      <c r="E996" s="1">
        <f>IFERROR(__xludf.DUMMYFUNCTION("""COMPUTED_VALUE"""),13450.0)</f>
        <v>13450</v>
      </c>
      <c r="F996" s="1">
        <f>IFERROR(__xludf.DUMMYFUNCTION("""COMPUTED_VALUE"""),56500.0)</f>
        <v>56500</v>
      </c>
    </row>
    <row r="997">
      <c r="A997" s="2">
        <f>IFERROR(__xludf.DUMMYFUNCTION("""COMPUTED_VALUE"""),42384.64583333333)</f>
        <v>42384.64583</v>
      </c>
      <c r="B997" s="1">
        <f>IFERROR(__xludf.DUMMYFUNCTION("""COMPUTED_VALUE"""),13600.0)</f>
        <v>13600</v>
      </c>
      <c r="C997" s="1">
        <f>IFERROR(__xludf.DUMMYFUNCTION("""COMPUTED_VALUE"""),13700.0)</f>
        <v>13700</v>
      </c>
      <c r="D997" s="1">
        <f>IFERROR(__xludf.DUMMYFUNCTION("""COMPUTED_VALUE"""),13100.0)</f>
        <v>13100</v>
      </c>
      <c r="E997" s="1">
        <f>IFERROR(__xludf.DUMMYFUNCTION("""COMPUTED_VALUE"""),13200.0)</f>
        <v>13200</v>
      </c>
      <c r="F997" s="1">
        <f>IFERROR(__xludf.DUMMYFUNCTION("""COMPUTED_VALUE"""),50633.0)</f>
        <v>50633</v>
      </c>
    </row>
    <row r="998">
      <c r="A998" s="2">
        <f>IFERROR(__xludf.DUMMYFUNCTION("""COMPUTED_VALUE"""),42387.64583333333)</f>
        <v>42387.64583</v>
      </c>
      <c r="B998" s="1">
        <f>IFERROR(__xludf.DUMMYFUNCTION("""COMPUTED_VALUE"""),13100.0)</f>
        <v>13100</v>
      </c>
      <c r="C998" s="1">
        <f>IFERROR(__xludf.DUMMYFUNCTION("""COMPUTED_VALUE"""),13350.0)</f>
        <v>13350</v>
      </c>
      <c r="D998" s="1">
        <f>IFERROR(__xludf.DUMMYFUNCTION("""COMPUTED_VALUE"""),12800.0)</f>
        <v>12800</v>
      </c>
      <c r="E998" s="1">
        <f>IFERROR(__xludf.DUMMYFUNCTION("""COMPUTED_VALUE"""),13050.0)</f>
        <v>13050</v>
      </c>
      <c r="F998" s="1">
        <f>IFERROR(__xludf.DUMMYFUNCTION("""COMPUTED_VALUE"""),50348.0)</f>
        <v>50348</v>
      </c>
    </row>
    <row r="999">
      <c r="A999" s="2">
        <f>IFERROR(__xludf.DUMMYFUNCTION("""COMPUTED_VALUE"""),42388.64583333333)</f>
        <v>42388.64583</v>
      </c>
      <c r="B999" s="1">
        <f>IFERROR(__xludf.DUMMYFUNCTION("""COMPUTED_VALUE"""),13200.0)</f>
        <v>13200</v>
      </c>
      <c r="C999" s="1">
        <f>IFERROR(__xludf.DUMMYFUNCTION("""COMPUTED_VALUE"""),13200.0)</f>
        <v>13200</v>
      </c>
      <c r="D999" s="1">
        <f>IFERROR(__xludf.DUMMYFUNCTION("""COMPUTED_VALUE"""),12500.0)</f>
        <v>12500</v>
      </c>
      <c r="E999" s="1">
        <f>IFERROR(__xludf.DUMMYFUNCTION("""COMPUTED_VALUE"""),12950.0)</f>
        <v>12950</v>
      </c>
      <c r="F999" s="1">
        <f>IFERROR(__xludf.DUMMYFUNCTION("""COMPUTED_VALUE"""),46515.0)</f>
        <v>46515</v>
      </c>
    </row>
    <row r="1000">
      <c r="A1000" s="2">
        <f>IFERROR(__xludf.DUMMYFUNCTION("""COMPUTED_VALUE"""),42389.64583333333)</f>
        <v>42389.64583</v>
      </c>
      <c r="B1000" s="1">
        <f>IFERROR(__xludf.DUMMYFUNCTION("""COMPUTED_VALUE"""),12850.0)</f>
        <v>12850</v>
      </c>
      <c r="C1000" s="1">
        <f>IFERROR(__xludf.DUMMYFUNCTION("""COMPUTED_VALUE"""),13000.0)</f>
        <v>13000</v>
      </c>
      <c r="D1000" s="1">
        <f>IFERROR(__xludf.DUMMYFUNCTION("""COMPUTED_VALUE"""),12300.0)</f>
        <v>12300</v>
      </c>
      <c r="E1000" s="1">
        <f>IFERROR(__xludf.DUMMYFUNCTION("""COMPUTED_VALUE"""),12850.0)</f>
        <v>12850</v>
      </c>
      <c r="F1000" s="1">
        <f>IFERROR(__xludf.DUMMYFUNCTION("""COMPUTED_VALUE"""),62998.0)</f>
        <v>62998</v>
      </c>
    </row>
    <row r="1001">
      <c r="A1001" s="2">
        <f>IFERROR(__xludf.DUMMYFUNCTION("""COMPUTED_VALUE"""),42390.64583333333)</f>
        <v>42390.64583</v>
      </c>
      <c r="B1001" s="1">
        <f>IFERROR(__xludf.DUMMYFUNCTION("""COMPUTED_VALUE"""),12800.0)</f>
        <v>12800</v>
      </c>
      <c r="C1001" s="1">
        <f>IFERROR(__xludf.DUMMYFUNCTION("""COMPUTED_VALUE"""),12850.0)</f>
        <v>12850</v>
      </c>
      <c r="D1001" s="1">
        <f>IFERROR(__xludf.DUMMYFUNCTION("""COMPUTED_VALUE"""),12400.0)</f>
        <v>12400</v>
      </c>
      <c r="E1001" s="1">
        <f>IFERROR(__xludf.DUMMYFUNCTION("""COMPUTED_VALUE"""),12500.0)</f>
        <v>12500</v>
      </c>
      <c r="F1001" s="1">
        <f>IFERROR(__xludf.DUMMYFUNCTION("""COMPUTED_VALUE"""),61799.0)</f>
        <v>61799</v>
      </c>
    </row>
    <row r="1002">
      <c r="A1002" s="2">
        <f>IFERROR(__xludf.DUMMYFUNCTION("""COMPUTED_VALUE"""),42394.64583333333)</f>
        <v>42394.64583</v>
      </c>
      <c r="B1002" s="1">
        <f>IFERROR(__xludf.DUMMYFUNCTION("""COMPUTED_VALUE"""),13450.0)</f>
        <v>13450</v>
      </c>
      <c r="C1002" s="1">
        <f>IFERROR(__xludf.DUMMYFUNCTION("""COMPUTED_VALUE"""),14250.0)</f>
        <v>14250</v>
      </c>
      <c r="D1002" s="1">
        <f>IFERROR(__xludf.DUMMYFUNCTION("""COMPUTED_VALUE"""),13300.0)</f>
        <v>13300</v>
      </c>
      <c r="E1002" s="1">
        <f>IFERROR(__xludf.DUMMYFUNCTION("""COMPUTED_VALUE"""),14100.0)</f>
        <v>14100</v>
      </c>
      <c r="F1002" s="1">
        <f>IFERROR(__xludf.DUMMYFUNCTION("""COMPUTED_VALUE"""),64616.0)</f>
        <v>64616</v>
      </c>
    </row>
    <row r="1003">
      <c r="A1003" s="2">
        <f>IFERROR(__xludf.DUMMYFUNCTION("""COMPUTED_VALUE"""),42395.64583333333)</f>
        <v>42395.64583</v>
      </c>
      <c r="B1003" s="1">
        <f>IFERROR(__xludf.DUMMYFUNCTION("""COMPUTED_VALUE"""),14100.0)</f>
        <v>14100</v>
      </c>
      <c r="C1003" s="1">
        <f>IFERROR(__xludf.DUMMYFUNCTION("""COMPUTED_VALUE"""),14350.0)</f>
        <v>14350</v>
      </c>
      <c r="D1003" s="1">
        <f>IFERROR(__xludf.DUMMYFUNCTION("""COMPUTED_VALUE"""),13900.0)</f>
        <v>13900</v>
      </c>
      <c r="E1003" s="1">
        <f>IFERROR(__xludf.DUMMYFUNCTION("""COMPUTED_VALUE"""),14000.0)</f>
        <v>14000</v>
      </c>
      <c r="F1003" s="1">
        <f>IFERROR(__xludf.DUMMYFUNCTION("""COMPUTED_VALUE"""),29086.0)</f>
        <v>29086</v>
      </c>
    </row>
    <row r="1004">
      <c r="A1004" s="2">
        <f>IFERROR(__xludf.DUMMYFUNCTION("""COMPUTED_VALUE"""),42396.64583333333)</f>
        <v>42396.64583</v>
      </c>
      <c r="B1004" s="1">
        <f>IFERROR(__xludf.DUMMYFUNCTION("""COMPUTED_VALUE"""),13900.0)</f>
        <v>13900</v>
      </c>
      <c r="C1004" s="1">
        <f>IFERROR(__xludf.DUMMYFUNCTION("""COMPUTED_VALUE"""),14300.0)</f>
        <v>14300</v>
      </c>
      <c r="D1004" s="1">
        <f>IFERROR(__xludf.DUMMYFUNCTION("""COMPUTED_VALUE"""),13300.0)</f>
        <v>13300</v>
      </c>
      <c r="E1004" s="1">
        <f>IFERROR(__xludf.DUMMYFUNCTION("""COMPUTED_VALUE"""),13650.0)</f>
        <v>13650</v>
      </c>
      <c r="F1004" s="1">
        <f>IFERROR(__xludf.DUMMYFUNCTION("""COMPUTED_VALUE"""),48962.0)</f>
        <v>48962</v>
      </c>
    </row>
    <row r="1005">
      <c r="A1005" s="2">
        <f>IFERROR(__xludf.DUMMYFUNCTION("""COMPUTED_VALUE"""),42397.64583333333)</f>
        <v>42397.64583</v>
      </c>
      <c r="B1005" s="1">
        <f>IFERROR(__xludf.DUMMYFUNCTION("""COMPUTED_VALUE"""),13400.0)</f>
        <v>13400</v>
      </c>
      <c r="C1005" s="1">
        <f>IFERROR(__xludf.DUMMYFUNCTION("""COMPUTED_VALUE"""),14250.0)</f>
        <v>14250</v>
      </c>
      <c r="D1005" s="1">
        <f>IFERROR(__xludf.DUMMYFUNCTION("""COMPUTED_VALUE"""),13400.0)</f>
        <v>13400</v>
      </c>
      <c r="E1005" s="1">
        <f>IFERROR(__xludf.DUMMYFUNCTION("""COMPUTED_VALUE"""),14000.0)</f>
        <v>14000</v>
      </c>
      <c r="F1005" s="1">
        <f>IFERROR(__xludf.DUMMYFUNCTION("""COMPUTED_VALUE"""),71738.0)</f>
        <v>71738</v>
      </c>
    </row>
    <row r="1006">
      <c r="A1006" s="2">
        <f>IFERROR(__xludf.DUMMYFUNCTION("""COMPUTED_VALUE"""),42398.64583333333)</f>
        <v>42398.64583</v>
      </c>
      <c r="B1006" s="1">
        <f>IFERROR(__xludf.DUMMYFUNCTION("""COMPUTED_VALUE"""),14000.0)</f>
        <v>14000</v>
      </c>
      <c r="C1006" s="1">
        <f>IFERROR(__xludf.DUMMYFUNCTION("""COMPUTED_VALUE"""),14050.0)</f>
        <v>14050</v>
      </c>
      <c r="D1006" s="1">
        <f>IFERROR(__xludf.DUMMYFUNCTION("""COMPUTED_VALUE"""),13700.0)</f>
        <v>13700</v>
      </c>
      <c r="E1006" s="1">
        <f>IFERROR(__xludf.DUMMYFUNCTION("""COMPUTED_VALUE"""),13800.0)</f>
        <v>13800</v>
      </c>
      <c r="F1006" s="1">
        <f>IFERROR(__xludf.DUMMYFUNCTION("""COMPUTED_VALUE"""),21552.0)</f>
        <v>21552</v>
      </c>
    </row>
    <row r="1007">
      <c r="A1007" s="2">
        <f>IFERROR(__xludf.DUMMYFUNCTION("""COMPUTED_VALUE"""),42401.64583333333)</f>
        <v>42401.64583</v>
      </c>
      <c r="B1007" s="1">
        <f>IFERROR(__xludf.DUMMYFUNCTION("""COMPUTED_VALUE"""),14000.0)</f>
        <v>14000</v>
      </c>
      <c r="C1007" s="1">
        <f>IFERROR(__xludf.DUMMYFUNCTION("""COMPUTED_VALUE"""),14000.0)</f>
        <v>14000</v>
      </c>
      <c r="D1007" s="1">
        <f>IFERROR(__xludf.DUMMYFUNCTION("""COMPUTED_VALUE"""),13350.0)</f>
        <v>13350</v>
      </c>
      <c r="E1007" s="1">
        <f>IFERROR(__xludf.DUMMYFUNCTION("""COMPUTED_VALUE"""),13550.0)</f>
        <v>13550</v>
      </c>
      <c r="F1007" s="1">
        <f>IFERROR(__xludf.DUMMYFUNCTION("""COMPUTED_VALUE"""),43014.0)</f>
        <v>43014</v>
      </c>
    </row>
    <row r="1008">
      <c r="A1008" s="2">
        <f>IFERROR(__xludf.DUMMYFUNCTION("""COMPUTED_VALUE"""),42403.64583333333)</f>
        <v>42403.64583</v>
      </c>
      <c r="B1008" s="1">
        <f>IFERROR(__xludf.DUMMYFUNCTION("""COMPUTED_VALUE"""),13600.0)</f>
        <v>13600</v>
      </c>
      <c r="C1008" s="1">
        <f>IFERROR(__xludf.DUMMYFUNCTION("""COMPUTED_VALUE"""),13600.0)</f>
        <v>13600</v>
      </c>
      <c r="D1008" s="1">
        <f>IFERROR(__xludf.DUMMYFUNCTION("""COMPUTED_VALUE"""),13200.0)</f>
        <v>13200</v>
      </c>
      <c r="E1008" s="1">
        <f>IFERROR(__xludf.DUMMYFUNCTION("""COMPUTED_VALUE"""),13350.0)</f>
        <v>13350</v>
      </c>
      <c r="F1008" s="1">
        <f>IFERROR(__xludf.DUMMYFUNCTION("""COMPUTED_VALUE"""),25590.0)</f>
        <v>25590</v>
      </c>
    </row>
    <row r="1009">
      <c r="A1009" s="2">
        <f>IFERROR(__xludf.DUMMYFUNCTION("""COMPUTED_VALUE"""),42404.64583333333)</f>
        <v>42404.64583</v>
      </c>
      <c r="B1009" s="1">
        <f>IFERROR(__xludf.DUMMYFUNCTION("""COMPUTED_VALUE"""),13350.0)</f>
        <v>13350</v>
      </c>
      <c r="C1009" s="1">
        <f>IFERROR(__xludf.DUMMYFUNCTION("""COMPUTED_VALUE"""),13350.0)</f>
        <v>13350</v>
      </c>
      <c r="D1009" s="1">
        <f>IFERROR(__xludf.DUMMYFUNCTION("""COMPUTED_VALUE"""),12800.0)</f>
        <v>12800</v>
      </c>
      <c r="E1009" s="1">
        <f>IFERROR(__xludf.DUMMYFUNCTION("""COMPUTED_VALUE"""),13000.0)</f>
        <v>13000</v>
      </c>
      <c r="F1009" s="1">
        <f>IFERROR(__xludf.DUMMYFUNCTION("""COMPUTED_VALUE"""),59778.0)</f>
        <v>59778</v>
      </c>
    </row>
    <row r="1010">
      <c r="A1010" s="2">
        <f>IFERROR(__xludf.DUMMYFUNCTION("""COMPUTED_VALUE"""),42405.64583333333)</f>
        <v>42405.64583</v>
      </c>
      <c r="B1010" s="1">
        <f>IFERROR(__xludf.DUMMYFUNCTION("""COMPUTED_VALUE"""),13000.0)</f>
        <v>13000</v>
      </c>
      <c r="C1010" s="1">
        <f>IFERROR(__xludf.DUMMYFUNCTION("""COMPUTED_VALUE"""),13200.0)</f>
        <v>13200</v>
      </c>
      <c r="D1010" s="1">
        <f>IFERROR(__xludf.DUMMYFUNCTION("""COMPUTED_VALUE"""),12850.0)</f>
        <v>12850</v>
      </c>
      <c r="E1010" s="1">
        <f>IFERROR(__xludf.DUMMYFUNCTION("""COMPUTED_VALUE"""),12900.0)</f>
        <v>12900</v>
      </c>
      <c r="F1010" s="1">
        <f>IFERROR(__xludf.DUMMYFUNCTION("""COMPUTED_VALUE"""),36644.0)</f>
        <v>36644</v>
      </c>
    </row>
    <row r="1011">
      <c r="A1011" s="2">
        <f>IFERROR(__xludf.DUMMYFUNCTION("""COMPUTED_VALUE"""),42411.64583333333)</f>
        <v>42411.64583</v>
      </c>
      <c r="B1011" s="1">
        <f>IFERROR(__xludf.DUMMYFUNCTION("""COMPUTED_VALUE"""),12550.0)</f>
        <v>12550</v>
      </c>
      <c r="C1011" s="1">
        <f>IFERROR(__xludf.DUMMYFUNCTION("""COMPUTED_VALUE"""),12700.0)</f>
        <v>12700</v>
      </c>
      <c r="D1011" s="1">
        <f>IFERROR(__xludf.DUMMYFUNCTION("""COMPUTED_VALUE"""),12200.0)</f>
        <v>12200</v>
      </c>
      <c r="E1011" s="1">
        <f>IFERROR(__xludf.DUMMYFUNCTION("""COMPUTED_VALUE"""),12300.0)</f>
        <v>12300</v>
      </c>
      <c r="F1011" s="1">
        <f>IFERROR(__xludf.DUMMYFUNCTION("""COMPUTED_VALUE"""),56289.0)</f>
        <v>56289</v>
      </c>
    </row>
    <row r="1012">
      <c r="A1012" s="2">
        <f>IFERROR(__xludf.DUMMYFUNCTION("""COMPUTED_VALUE"""),42412.64583333333)</f>
        <v>42412.64583</v>
      </c>
      <c r="B1012" s="1">
        <f>IFERROR(__xludf.DUMMYFUNCTION("""COMPUTED_VALUE"""),12100.0)</f>
        <v>12100</v>
      </c>
      <c r="C1012" s="1">
        <f>IFERROR(__xludf.DUMMYFUNCTION("""COMPUTED_VALUE"""),12400.0)</f>
        <v>12400</v>
      </c>
      <c r="D1012" s="1">
        <f>IFERROR(__xludf.DUMMYFUNCTION("""COMPUTED_VALUE"""),10950.0)</f>
        <v>10950</v>
      </c>
      <c r="E1012" s="1">
        <f>IFERROR(__xludf.DUMMYFUNCTION("""COMPUTED_VALUE"""),11050.0)</f>
        <v>11050</v>
      </c>
      <c r="F1012" s="1">
        <f>IFERROR(__xludf.DUMMYFUNCTION("""COMPUTED_VALUE"""),90249.0)</f>
        <v>90249</v>
      </c>
    </row>
    <row r="1013">
      <c r="A1013" s="2">
        <f>IFERROR(__xludf.DUMMYFUNCTION("""COMPUTED_VALUE"""),42415.64583333333)</f>
        <v>42415.64583</v>
      </c>
      <c r="B1013" s="1">
        <f>IFERROR(__xludf.DUMMYFUNCTION("""COMPUTED_VALUE"""),10950.0)</f>
        <v>10950</v>
      </c>
      <c r="C1013" s="1">
        <f>IFERROR(__xludf.DUMMYFUNCTION("""COMPUTED_VALUE"""),12150.0)</f>
        <v>12150</v>
      </c>
      <c r="D1013" s="1">
        <f>IFERROR(__xludf.DUMMYFUNCTION("""COMPUTED_VALUE"""),10950.0)</f>
        <v>10950</v>
      </c>
      <c r="E1013" s="1">
        <f>IFERROR(__xludf.DUMMYFUNCTION("""COMPUTED_VALUE"""),11700.0)</f>
        <v>11700</v>
      </c>
      <c r="F1013" s="1">
        <f>IFERROR(__xludf.DUMMYFUNCTION("""COMPUTED_VALUE"""),58559.0)</f>
        <v>58559</v>
      </c>
    </row>
    <row r="1014">
      <c r="A1014" s="2">
        <f>IFERROR(__xludf.DUMMYFUNCTION("""COMPUTED_VALUE"""),42416.64583333333)</f>
        <v>42416.64583</v>
      </c>
      <c r="B1014" s="1">
        <f>IFERROR(__xludf.DUMMYFUNCTION("""COMPUTED_VALUE"""),11900.0)</f>
        <v>11900</v>
      </c>
      <c r="C1014" s="1">
        <f>IFERROR(__xludf.DUMMYFUNCTION("""COMPUTED_VALUE"""),12300.0)</f>
        <v>12300</v>
      </c>
      <c r="D1014" s="1">
        <f>IFERROR(__xludf.DUMMYFUNCTION("""COMPUTED_VALUE"""),11700.0)</f>
        <v>11700</v>
      </c>
      <c r="E1014" s="1">
        <f>IFERROR(__xludf.DUMMYFUNCTION("""COMPUTED_VALUE"""),11950.0)</f>
        <v>11950</v>
      </c>
      <c r="F1014" s="1">
        <f>IFERROR(__xludf.DUMMYFUNCTION("""COMPUTED_VALUE"""),64332.0)</f>
        <v>64332</v>
      </c>
    </row>
    <row r="1015">
      <c r="A1015" s="2">
        <f>IFERROR(__xludf.DUMMYFUNCTION("""COMPUTED_VALUE"""),42417.64583333333)</f>
        <v>42417.64583</v>
      </c>
      <c r="B1015" s="1">
        <f>IFERROR(__xludf.DUMMYFUNCTION("""COMPUTED_VALUE"""),11850.0)</f>
        <v>11850</v>
      </c>
      <c r="C1015" s="1">
        <f>IFERROR(__xludf.DUMMYFUNCTION("""COMPUTED_VALUE"""),12400.0)</f>
        <v>12400</v>
      </c>
      <c r="D1015" s="1">
        <f>IFERROR(__xludf.DUMMYFUNCTION("""COMPUTED_VALUE"""),11300.0)</f>
        <v>11300</v>
      </c>
      <c r="E1015" s="1">
        <f>IFERROR(__xludf.DUMMYFUNCTION("""COMPUTED_VALUE"""),11350.0)</f>
        <v>11350</v>
      </c>
      <c r="F1015" s="1">
        <f>IFERROR(__xludf.DUMMYFUNCTION("""COMPUTED_VALUE"""),26547.0)</f>
        <v>26547</v>
      </c>
    </row>
    <row r="1016">
      <c r="A1016" s="2">
        <f>IFERROR(__xludf.DUMMYFUNCTION("""COMPUTED_VALUE"""),42418.64583333333)</f>
        <v>42418.64583</v>
      </c>
      <c r="B1016" s="1">
        <f>IFERROR(__xludf.DUMMYFUNCTION("""COMPUTED_VALUE"""),11400.0)</f>
        <v>11400</v>
      </c>
      <c r="C1016" s="1">
        <f>IFERROR(__xludf.DUMMYFUNCTION("""COMPUTED_VALUE"""),12150.0)</f>
        <v>12150</v>
      </c>
      <c r="D1016" s="1">
        <f>IFERROR(__xludf.DUMMYFUNCTION("""COMPUTED_VALUE"""),11400.0)</f>
        <v>11400</v>
      </c>
      <c r="E1016" s="1">
        <f>IFERROR(__xludf.DUMMYFUNCTION("""COMPUTED_VALUE"""),11650.0)</f>
        <v>11650</v>
      </c>
      <c r="F1016" s="1">
        <f>IFERROR(__xludf.DUMMYFUNCTION("""COMPUTED_VALUE"""),44397.0)</f>
        <v>44397</v>
      </c>
    </row>
    <row r="1017">
      <c r="A1017" s="2">
        <f>IFERROR(__xludf.DUMMYFUNCTION("""COMPUTED_VALUE"""),42419.64583333333)</f>
        <v>42419.64583</v>
      </c>
      <c r="B1017" s="1">
        <f>IFERROR(__xludf.DUMMYFUNCTION("""COMPUTED_VALUE"""),11800.0)</f>
        <v>11800</v>
      </c>
      <c r="C1017" s="1">
        <f>IFERROR(__xludf.DUMMYFUNCTION("""COMPUTED_VALUE"""),11850.0)</f>
        <v>11850</v>
      </c>
      <c r="D1017" s="1">
        <f>IFERROR(__xludf.DUMMYFUNCTION("""COMPUTED_VALUE"""),11400.0)</f>
        <v>11400</v>
      </c>
      <c r="E1017" s="1">
        <f>IFERROR(__xludf.DUMMYFUNCTION("""COMPUTED_VALUE"""),11750.0)</f>
        <v>11750</v>
      </c>
      <c r="F1017" s="1">
        <f>IFERROR(__xludf.DUMMYFUNCTION("""COMPUTED_VALUE"""),16527.0)</f>
        <v>16527</v>
      </c>
    </row>
    <row r="1018">
      <c r="A1018" s="2">
        <f>IFERROR(__xludf.DUMMYFUNCTION("""COMPUTED_VALUE"""),42423.64583333333)</f>
        <v>42423.64583</v>
      </c>
      <c r="B1018" s="1">
        <f>IFERROR(__xludf.DUMMYFUNCTION("""COMPUTED_VALUE"""),12100.0)</f>
        <v>12100</v>
      </c>
      <c r="C1018" s="1">
        <f>IFERROR(__xludf.DUMMYFUNCTION("""COMPUTED_VALUE"""),12100.0)</f>
        <v>12100</v>
      </c>
      <c r="D1018" s="1">
        <f>IFERROR(__xludf.DUMMYFUNCTION("""COMPUTED_VALUE"""),11500.0)</f>
        <v>11500</v>
      </c>
      <c r="E1018" s="1">
        <f>IFERROR(__xludf.DUMMYFUNCTION("""COMPUTED_VALUE"""),11650.0)</f>
        <v>11650</v>
      </c>
      <c r="F1018" s="1">
        <f>IFERROR(__xludf.DUMMYFUNCTION("""COMPUTED_VALUE"""),32446.0)</f>
        <v>32446</v>
      </c>
    </row>
    <row r="1019">
      <c r="A1019" s="2">
        <f>IFERROR(__xludf.DUMMYFUNCTION("""COMPUTED_VALUE"""),42424.64583333333)</f>
        <v>42424.64583</v>
      </c>
      <c r="B1019" s="1">
        <f>IFERROR(__xludf.DUMMYFUNCTION("""COMPUTED_VALUE"""),11650.0)</f>
        <v>11650</v>
      </c>
      <c r="C1019" s="1">
        <f>IFERROR(__xludf.DUMMYFUNCTION("""COMPUTED_VALUE"""),11800.0)</f>
        <v>11800</v>
      </c>
      <c r="D1019" s="1">
        <f>IFERROR(__xludf.DUMMYFUNCTION("""COMPUTED_VALUE"""),11500.0)</f>
        <v>11500</v>
      </c>
      <c r="E1019" s="1">
        <f>IFERROR(__xludf.DUMMYFUNCTION("""COMPUTED_VALUE"""),11650.0)</f>
        <v>11650</v>
      </c>
      <c r="F1019" s="1">
        <f>IFERROR(__xludf.DUMMYFUNCTION("""COMPUTED_VALUE"""),16567.0)</f>
        <v>16567</v>
      </c>
    </row>
    <row r="1020">
      <c r="A1020" s="2">
        <f>IFERROR(__xludf.DUMMYFUNCTION("""COMPUTED_VALUE"""),42425.64583333333)</f>
        <v>42425.64583</v>
      </c>
      <c r="B1020" s="1">
        <f>IFERROR(__xludf.DUMMYFUNCTION("""COMPUTED_VALUE"""),11700.0)</f>
        <v>11700</v>
      </c>
      <c r="C1020" s="1">
        <f>IFERROR(__xludf.DUMMYFUNCTION("""COMPUTED_VALUE"""),12100.0)</f>
        <v>12100</v>
      </c>
      <c r="D1020" s="1">
        <f>IFERROR(__xludf.DUMMYFUNCTION("""COMPUTED_VALUE"""),11600.0)</f>
        <v>11600</v>
      </c>
      <c r="E1020" s="1">
        <f>IFERROR(__xludf.DUMMYFUNCTION("""COMPUTED_VALUE"""),11600.0)</f>
        <v>11600</v>
      </c>
      <c r="F1020" s="1">
        <f>IFERROR(__xludf.DUMMYFUNCTION("""COMPUTED_VALUE"""),26225.0)</f>
        <v>26225</v>
      </c>
    </row>
    <row r="1021">
      <c r="A1021" s="2">
        <f>IFERROR(__xludf.DUMMYFUNCTION("""COMPUTED_VALUE"""),42426.64583333333)</f>
        <v>42426.64583</v>
      </c>
      <c r="B1021" s="1">
        <f>IFERROR(__xludf.DUMMYFUNCTION("""COMPUTED_VALUE"""),11650.0)</f>
        <v>11650</v>
      </c>
      <c r="C1021" s="1">
        <f>IFERROR(__xludf.DUMMYFUNCTION("""COMPUTED_VALUE"""),11950.0)</f>
        <v>11950</v>
      </c>
      <c r="D1021" s="1">
        <f>IFERROR(__xludf.DUMMYFUNCTION("""COMPUTED_VALUE"""),11500.0)</f>
        <v>11500</v>
      </c>
      <c r="E1021" s="1">
        <f>IFERROR(__xludf.DUMMYFUNCTION("""COMPUTED_VALUE"""),11600.0)</f>
        <v>11600</v>
      </c>
      <c r="F1021" s="1">
        <f>IFERROR(__xludf.DUMMYFUNCTION("""COMPUTED_VALUE"""),42225.0)</f>
        <v>42225</v>
      </c>
    </row>
    <row r="1022">
      <c r="A1022" s="2">
        <f>IFERROR(__xludf.DUMMYFUNCTION("""COMPUTED_VALUE"""),42429.64583333333)</f>
        <v>42429.64583</v>
      </c>
      <c r="B1022" s="1">
        <f>IFERROR(__xludf.DUMMYFUNCTION("""COMPUTED_VALUE"""),11650.0)</f>
        <v>11650</v>
      </c>
      <c r="C1022" s="1">
        <f>IFERROR(__xludf.DUMMYFUNCTION("""COMPUTED_VALUE"""),12000.0)</f>
        <v>12000</v>
      </c>
      <c r="D1022" s="1">
        <f>IFERROR(__xludf.DUMMYFUNCTION("""COMPUTED_VALUE"""),11450.0)</f>
        <v>11450</v>
      </c>
      <c r="E1022" s="1">
        <f>IFERROR(__xludf.DUMMYFUNCTION("""COMPUTED_VALUE"""),11500.0)</f>
        <v>11500</v>
      </c>
      <c r="F1022" s="1">
        <f>IFERROR(__xludf.DUMMYFUNCTION("""COMPUTED_VALUE"""),37768.0)</f>
        <v>37768</v>
      </c>
    </row>
    <row r="1023">
      <c r="A1023" s="2">
        <f>IFERROR(__xludf.DUMMYFUNCTION("""COMPUTED_VALUE"""),42431.64583333333)</f>
        <v>42431.64583</v>
      </c>
      <c r="B1023" s="1">
        <f>IFERROR(__xludf.DUMMYFUNCTION("""COMPUTED_VALUE"""),11700.0)</f>
        <v>11700</v>
      </c>
      <c r="C1023" s="1">
        <f>IFERROR(__xludf.DUMMYFUNCTION("""COMPUTED_VALUE"""),12250.0)</f>
        <v>12250</v>
      </c>
      <c r="D1023" s="1">
        <f>IFERROR(__xludf.DUMMYFUNCTION("""COMPUTED_VALUE"""),11500.0)</f>
        <v>11500</v>
      </c>
      <c r="E1023" s="1">
        <f>IFERROR(__xludf.DUMMYFUNCTION("""COMPUTED_VALUE"""),12150.0)</f>
        <v>12150</v>
      </c>
      <c r="F1023" s="1">
        <f>IFERROR(__xludf.DUMMYFUNCTION("""COMPUTED_VALUE"""),110237.0)</f>
        <v>110237</v>
      </c>
    </row>
    <row r="1024">
      <c r="A1024" s="2">
        <f>IFERROR(__xludf.DUMMYFUNCTION("""COMPUTED_VALUE"""),42432.64583333333)</f>
        <v>42432.64583</v>
      </c>
      <c r="B1024" s="1">
        <f>IFERROR(__xludf.DUMMYFUNCTION("""COMPUTED_VALUE"""),12300.0)</f>
        <v>12300</v>
      </c>
      <c r="C1024" s="1">
        <f>IFERROR(__xludf.DUMMYFUNCTION("""COMPUTED_VALUE"""),12300.0)</f>
        <v>12300</v>
      </c>
      <c r="D1024" s="1">
        <f>IFERROR(__xludf.DUMMYFUNCTION("""COMPUTED_VALUE"""),11900.0)</f>
        <v>11900</v>
      </c>
      <c r="E1024" s="1">
        <f>IFERROR(__xludf.DUMMYFUNCTION("""COMPUTED_VALUE"""),12150.0)</f>
        <v>12150</v>
      </c>
      <c r="F1024" s="1">
        <f>IFERROR(__xludf.DUMMYFUNCTION("""COMPUTED_VALUE"""),35938.0)</f>
        <v>35938</v>
      </c>
    </row>
    <row r="1025">
      <c r="A1025" s="2">
        <f>IFERROR(__xludf.DUMMYFUNCTION("""COMPUTED_VALUE"""),42433.64583333333)</f>
        <v>42433.64583</v>
      </c>
      <c r="B1025" s="1">
        <f>IFERROR(__xludf.DUMMYFUNCTION("""COMPUTED_VALUE"""),12150.0)</f>
        <v>12150</v>
      </c>
      <c r="C1025" s="1">
        <f>IFERROR(__xludf.DUMMYFUNCTION("""COMPUTED_VALUE"""),12150.0)</f>
        <v>12150</v>
      </c>
      <c r="D1025" s="1">
        <f>IFERROR(__xludf.DUMMYFUNCTION("""COMPUTED_VALUE"""),11800.0)</f>
        <v>11800</v>
      </c>
      <c r="E1025" s="1">
        <f>IFERROR(__xludf.DUMMYFUNCTION("""COMPUTED_VALUE"""),12000.0)</f>
        <v>12000</v>
      </c>
      <c r="F1025" s="1">
        <f>IFERROR(__xludf.DUMMYFUNCTION("""COMPUTED_VALUE"""),19586.0)</f>
        <v>19586</v>
      </c>
    </row>
    <row r="1026">
      <c r="A1026" s="2">
        <f>IFERROR(__xludf.DUMMYFUNCTION("""COMPUTED_VALUE"""),42436.64583333333)</f>
        <v>42436.64583</v>
      </c>
      <c r="B1026" s="1">
        <f>IFERROR(__xludf.DUMMYFUNCTION("""COMPUTED_VALUE"""),12000.0)</f>
        <v>12000</v>
      </c>
      <c r="C1026" s="1">
        <f>IFERROR(__xludf.DUMMYFUNCTION("""COMPUTED_VALUE"""),12200.0)</f>
        <v>12200</v>
      </c>
      <c r="D1026" s="1">
        <f>IFERROR(__xludf.DUMMYFUNCTION("""COMPUTED_VALUE"""),11850.0)</f>
        <v>11850</v>
      </c>
      <c r="E1026" s="1">
        <f>IFERROR(__xludf.DUMMYFUNCTION("""COMPUTED_VALUE"""),11950.0)</f>
        <v>11950</v>
      </c>
      <c r="F1026" s="1">
        <f>IFERROR(__xludf.DUMMYFUNCTION("""COMPUTED_VALUE"""),46304.0)</f>
        <v>46304</v>
      </c>
    </row>
    <row r="1027">
      <c r="A1027" s="2">
        <f>IFERROR(__xludf.DUMMYFUNCTION("""COMPUTED_VALUE"""),42437.64583333333)</f>
        <v>42437.64583</v>
      </c>
      <c r="B1027" s="1">
        <f>IFERROR(__xludf.DUMMYFUNCTION("""COMPUTED_VALUE"""),11950.0)</f>
        <v>11950</v>
      </c>
      <c r="C1027" s="1">
        <f>IFERROR(__xludf.DUMMYFUNCTION("""COMPUTED_VALUE"""),12050.0)</f>
        <v>12050</v>
      </c>
      <c r="D1027" s="1">
        <f>IFERROR(__xludf.DUMMYFUNCTION("""COMPUTED_VALUE"""),11550.0)</f>
        <v>11550</v>
      </c>
      <c r="E1027" s="1">
        <f>IFERROR(__xludf.DUMMYFUNCTION("""COMPUTED_VALUE"""),11750.0)</f>
        <v>11750</v>
      </c>
      <c r="F1027" s="1">
        <f>IFERROR(__xludf.DUMMYFUNCTION("""COMPUTED_VALUE"""),46639.0)</f>
        <v>46639</v>
      </c>
    </row>
    <row r="1028">
      <c r="A1028" s="2">
        <f>IFERROR(__xludf.DUMMYFUNCTION("""COMPUTED_VALUE"""),42438.64583333333)</f>
        <v>42438.64583</v>
      </c>
      <c r="B1028" s="1">
        <f>IFERROR(__xludf.DUMMYFUNCTION("""COMPUTED_VALUE"""),11650.0)</f>
        <v>11650</v>
      </c>
      <c r="C1028" s="1">
        <f>IFERROR(__xludf.DUMMYFUNCTION("""COMPUTED_VALUE"""),11850.0)</f>
        <v>11850</v>
      </c>
      <c r="D1028" s="1">
        <f>IFERROR(__xludf.DUMMYFUNCTION("""COMPUTED_VALUE"""),11600.0)</f>
        <v>11600</v>
      </c>
      <c r="E1028" s="1">
        <f>IFERROR(__xludf.DUMMYFUNCTION("""COMPUTED_VALUE"""),11750.0)</f>
        <v>11750</v>
      </c>
      <c r="F1028" s="1">
        <f>IFERROR(__xludf.DUMMYFUNCTION("""COMPUTED_VALUE"""),25142.0)</f>
        <v>25142</v>
      </c>
    </row>
    <row r="1029">
      <c r="A1029" s="2">
        <f>IFERROR(__xludf.DUMMYFUNCTION("""COMPUTED_VALUE"""),42439.64583333333)</f>
        <v>42439.64583</v>
      </c>
      <c r="B1029" s="1">
        <f>IFERROR(__xludf.DUMMYFUNCTION("""COMPUTED_VALUE"""),11650.0)</f>
        <v>11650</v>
      </c>
      <c r="C1029" s="1">
        <f>IFERROR(__xludf.DUMMYFUNCTION("""COMPUTED_VALUE"""),11900.0)</f>
        <v>11900</v>
      </c>
      <c r="D1029" s="1">
        <f>IFERROR(__xludf.DUMMYFUNCTION("""COMPUTED_VALUE"""),11400.0)</f>
        <v>11400</v>
      </c>
      <c r="E1029" s="1">
        <f>IFERROR(__xludf.DUMMYFUNCTION("""COMPUTED_VALUE"""),11550.0)</f>
        <v>11550</v>
      </c>
      <c r="F1029" s="1">
        <f>IFERROR(__xludf.DUMMYFUNCTION("""COMPUTED_VALUE"""),35822.0)</f>
        <v>35822</v>
      </c>
    </row>
    <row r="1030">
      <c r="A1030" s="2">
        <f>IFERROR(__xludf.DUMMYFUNCTION("""COMPUTED_VALUE"""),42440.64583333333)</f>
        <v>42440.64583</v>
      </c>
      <c r="B1030" s="1">
        <f>IFERROR(__xludf.DUMMYFUNCTION("""COMPUTED_VALUE"""),11500.0)</f>
        <v>11500</v>
      </c>
      <c r="C1030" s="1">
        <f>IFERROR(__xludf.DUMMYFUNCTION("""COMPUTED_VALUE"""),11900.0)</f>
        <v>11900</v>
      </c>
      <c r="D1030" s="1">
        <f>IFERROR(__xludf.DUMMYFUNCTION("""COMPUTED_VALUE"""),11400.0)</f>
        <v>11400</v>
      </c>
      <c r="E1030" s="1">
        <f>IFERROR(__xludf.DUMMYFUNCTION("""COMPUTED_VALUE"""),11600.0)</f>
        <v>11600</v>
      </c>
      <c r="F1030" s="1">
        <f>IFERROR(__xludf.DUMMYFUNCTION("""COMPUTED_VALUE"""),65373.0)</f>
        <v>65373</v>
      </c>
    </row>
    <row r="1031">
      <c r="A1031" s="2">
        <f>IFERROR(__xludf.DUMMYFUNCTION("""COMPUTED_VALUE"""),42443.64583333333)</f>
        <v>42443.64583</v>
      </c>
      <c r="B1031" s="1">
        <f>IFERROR(__xludf.DUMMYFUNCTION("""COMPUTED_VALUE"""),11650.0)</f>
        <v>11650</v>
      </c>
      <c r="C1031" s="1">
        <f>IFERROR(__xludf.DUMMYFUNCTION("""COMPUTED_VALUE"""),11700.0)</f>
        <v>11700</v>
      </c>
      <c r="D1031" s="1">
        <f>IFERROR(__xludf.DUMMYFUNCTION("""COMPUTED_VALUE"""),11450.0)</f>
        <v>11450</v>
      </c>
      <c r="E1031" s="1">
        <f>IFERROR(__xludf.DUMMYFUNCTION("""COMPUTED_VALUE"""),11450.0)</f>
        <v>11450</v>
      </c>
      <c r="F1031" s="1">
        <f>IFERROR(__xludf.DUMMYFUNCTION("""COMPUTED_VALUE"""),27342.0)</f>
        <v>27342</v>
      </c>
    </row>
    <row r="1032">
      <c r="A1032" s="2">
        <f>IFERROR(__xludf.DUMMYFUNCTION("""COMPUTED_VALUE"""),42444.64583333333)</f>
        <v>42444.64583</v>
      </c>
      <c r="B1032" s="1">
        <f>IFERROR(__xludf.DUMMYFUNCTION("""COMPUTED_VALUE"""),11400.0)</f>
        <v>11400</v>
      </c>
      <c r="C1032" s="1">
        <f>IFERROR(__xludf.DUMMYFUNCTION("""COMPUTED_VALUE"""),11600.0)</f>
        <v>11600</v>
      </c>
      <c r="D1032" s="1">
        <f>IFERROR(__xludf.DUMMYFUNCTION("""COMPUTED_VALUE"""),11250.0)</f>
        <v>11250</v>
      </c>
      <c r="E1032" s="1">
        <f>IFERROR(__xludf.DUMMYFUNCTION("""COMPUTED_VALUE"""),11300.0)</f>
        <v>11300</v>
      </c>
      <c r="F1032" s="1">
        <f>IFERROR(__xludf.DUMMYFUNCTION("""COMPUTED_VALUE"""),34435.0)</f>
        <v>34435</v>
      </c>
    </row>
    <row r="1033">
      <c r="A1033" s="2">
        <f>IFERROR(__xludf.DUMMYFUNCTION("""COMPUTED_VALUE"""),42445.64583333333)</f>
        <v>42445.64583</v>
      </c>
      <c r="B1033" s="1">
        <f>IFERROR(__xludf.DUMMYFUNCTION("""COMPUTED_VALUE"""),11500.0)</f>
        <v>11500</v>
      </c>
      <c r="C1033" s="1">
        <f>IFERROR(__xludf.DUMMYFUNCTION("""COMPUTED_VALUE"""),11500.0)</f>
        <v>11500</v>
      </c>
      <c r="D1033" s="1">
        <f>IFERROR(__xludf.DUMMYFUNCTION("""COMPUTED_VALUE"""),11250.0)</f>
        <v>11250</v>
      </c>
      <c r="E1033" s="1">
        <f>IFERROR(__xludf.DUMMYFUNCTION("""COMPUTED_VALUE"""),11300.0)</f>
        <v>11300</v>
      </c>
      <c r="F1033" s="1">
        <f>IFERROR(__xludf.DUMMYFUNCTION("""COMPUTED_VALUE"""),26231.0)</f>
        <v>26231</v>
      </c>
    </row>
    <row r="1034">
      <c r="A1034" s="2">
        <f>IFERROR(__xludf.DUMMYFUNCTION("""COMPUTED_VALUE"""),42446.64583333333)</f>
        <v>42446.64583</v>
      </c>
      <c r="B1034" s="1">
        <f>IFERROR(__xludf.DUMMYFUNCTION("""COMPUTED_VALUE"""),11400.0)</f>
        <v>11400</v>
      </c>
      <c r="C1034" s="1">
        <f>IFERROR(__xludf.DUMMYFUNCTION("""COMPUTED_VALUE"""),11750.0)</f>
        <v>11750</v>
      </c>
      <c r="D1034" s="1">
        <f>IFERROR(__xludf.DUMMYFUNCTION("""COMPUTED_VALUE"""),11300.0)</f>
        <v>11300</v>
      </c>
      <c r="E1034" s="1">
        <f>IFERROR(__xludf.DUMMYFUNCTION("""COMPUTED_VALUE"""),11500.0)</f>
        <v>11500</v>
      </c>
      <c r="F1034" s="1">
        <f>IFERROR(__xludf.DUMMYFUNCTION("""COMPUTED_VALUE"""),70910.0)</f>
        <v>70910</v>
      </c>
    </row>
    <row r="1035">
      <c r="A1035" s="2">
        <f>IFERROR(__xludf.DUMMYFUNCTION("""COMPUTED_VALUE"""),42447.64583333333)</f>
        <v>42447.64583</v>
      </c>
      <c r="B1035" s="1">
        <f>IFERROR(__xludf.DUMMYFUNCTION("""COMPUTED_VALUE"""),11500.0)</f>
        <v>11500</v>
      </c>
      <c r="C1035" s="1">
        <f>IFERROR(__xludf.DUMMYFUNCTION("""COMPUTED_VALUE"""),11700.0)</f>
        <v>11700</v>
      </c>
      <c r="D1035" s="1">
        <f>IFERROR(__xludf.DUMMYFUNCTION("""COMPUTED_VALUE"""),11300.0)</f>
        <v>11300</v>
      </c>
      <c r="E1035" s="1">
        <f>IFERROR(__xludf.DUMMYFUNCTION("""COMPUTED_VALUE"""),11500.0)</f>
        <v>11500</v>
      </c>
      <c r="F1035" s="1">
        <f>IFERROR(__xludf.DUMMYFUNCTION("""COMPUTED_VALUE"""),27181.0)</f>
        <v>27181</v>
      </c>
    </row>
    <row r="1036">
      <c r="A1036" s="2">
        <f>IFERROR(__xludf.DUMMYFUNCTION("""COMPUTED_VALUE"""),42450.64583333333)</f>
        <v>42450.64583</v>
      </c>
      <c r="B1036" s="1">
        <f>IFERROR(__xludf.DUMMYFUNCTION("""COMPUTED_VALUE"""),11600.0)</f>
        <v>11600</v>
      </c>
      <c r="C1036" s="1">
        <f>IFERROR(__xludf.DUMMYFUNCTION("""COMPUTED_VALUE"""),11650.0)</f>
        <v>11650</v>
      </c>
      <c r="D1036" s="1">
        <f>IFERROR(__xludf.DUMMYFUNCTION("""COMPUTED_VALUE"""),11300.0)</f>
        <v>11300</v>
      </c>
      <c r="E1036" s="1">
        <f>IFERROR(__xludf.DUMMYFUNCTION("""COMPUTED_VALUE"""),11300.0)</f>
        <v>11300</v>
      </c>
      <c r="F1036" s="1">
        <f>IFERROR(__xludf.DUMMYFUNCTION("""COMPUTED_VALUE"""),35941.0)</f>
        <v>35941</v>
      </c>
    </row>
    <row r="1037">
      <c r="A1037" s="2">
        <f>IFERROR(__xludf.DUMMYFUNCTION("""COMPUTED_VALUE"""),42451.64583333333)</f>
        <v>42451.64583</v>
      </c>
      <c r="B1037" s="1">
        <f>IFERROR(__xludf.DUMMYFUNCTION("""COMPUTED_VALUE"""),11150.0)</f>
        <v>11150</v>
      </c>
      <c r="C1037" s="1">
        <f>IFERROR(__xludf.DUMMYFUNCTION("""COMPUTED_VALUE"""),11500.0)</f>
        <v>11500</v>
      </c>
      <c r="D1037" s="1">
        <f>IFERROR(__xludf.DUMMYFUNCTION("""COMPUTED_VALUE"""),11150.0)</f>
        <v>11150</v>
      </c>
      <c r="E1037" s="1">
        <f>IFERROR(__xludf.DUMMYFUNCTION("""COMPUTED_VALUE"""),11200.0)</f>
        <v>11200</v>
      </c>
      <c r="F1037" s="1">
        <f>IFERROR(__xludf.DUMMYFUNCTION("""COMPUTED_VALUE"""),22117.0)</f>
        <v>22117</v>
      </c>
    </row>
    <row r="1038">
      <c r="A1038" s="2">
        <f>IFERROR(__xludf.DUMMYFUNCTION("""COMPUTED_VALUE"""),42452.64583333333)</f>
        <v>42452.64583</v>
      </c>
      <c r="B1038" s="1">
        <f>IFERROR(__xludf.DUMMYFUNCTION("""COMPUTED_VALUE"""),11200.0)</f>
        <v>11200</v>
      </c>
      <c r="C1038" s="1">
        <f>IFERROR(__xludf.DUMMYFUNCTION("""COMPUTED_VALUE"""),11500.0)</f>
        <v>11500</v>
      </c>
      <c r="D1038" s="1">
        <f>IFERROR(__xludf.DUMMYFUNCTION("""COMPUTED_VALUE"""),11200.0)</f>
        <v>11200</v>
      </c>
      <c r="E1038" s="1">
        <f>IFERROR(__xludf.DUMMYFUNCTION("""COMPUTED_VALUE"""),11400.0)</f>
        <v>11400</v>
      </c>
      <c r="F1038" s="1">
        <f>IFERROR(__xludf.DUMMYFUNCTION("""COMPUTED_VALUE"""),17315.0)</f>
        <v>17315</v>
      </c>
    </row>
    <row r="1039">
      <c r="A1039" s="2">
        <f>IFERROR(__xludf.DUMMYFUNCTION("""COMPUTED_VALUE"""),42453.64583333333)</f>
        <v>42453.64583</v>
      </c>
      <c r="B1039" s="1">
        <f>IFERROR(__xludf.DUMMYFUNCTION("""COMPUTED_VALUE"""),11300.0)</f>
        <v>11300</v>
      </c>
      <c r="C1039" s="1">
        <f>IFERROR(__xludf.DUMMYFUNCTION("""COMPUTED_VALUE"""),12200.0)</f>
        <v>12200</v>
      </c>
      <c r="D1039" s="1">
        <f>IFERROR(__xludf.DUMMYFUNCTION("""COMPUTED_VALUE"""),11250.0)</f>
        <v>11250</v>
      </c>
      <c r="E1039" s="1">
        <f>IFERROR(__xludf.DUMMYFUNCTION("""COMPUTED_VALUE"""),11900.0)</f>
        <v>11900</v>
      </c>
      <c r="F1039" s="1">
        <f>IFERROR(__xludf.DUMMYFUNCTION("""COMPUTED_VALUE"""),68809.0)</f>
        <v>68809</v>
      </c>
    </row>
    <row r="1040">
      <c r="A1040" s="2">
        <f>IFERROR(__xludf.DUMMYFUNCTION("""COMPUTED_VALUE"""),42454.64583333333)</f>
        <v>42454.64583</v>
      </c>
      <c r="B1040" s="1">
        <f>IFERROR(__xludf.DUMMYFUNCTION("""COMPUTED_VALUE"""),12000.0)</f>
        <v>12000</v>
      </c>
      <c r="C1040" s="1">
        <f>IFERROR(__xludf.DUMMYFUNCTION("""COMPUTED_VALUE"""),12150.0)</f>
        <v>12150</v>
      </c>
      <c r="D1040" s="1">
        <f>IFERROR(__xludf.DUMMYFUNCTION("""COMPUTED_VALUE"""),11700.0)</f>
        <v>11700</v>
      </c>
      <c r="E1040" s="1">
        <f>IFERROR(__xludf.DUMMYFUNCTION("""COMPUTED_VALUE"""),11750.0)</f>
        <v>11750</v>
      </c>
      <c r="F1040" s="1">
        <f>IFERROR(__xludf.DUMMYFUNCTION("""COMPUTED_VALUE"""),18894.0)</f>
        <v>18894</v>
      </c>
    </row>
    <row r="1041">
      <c r="A1041" s="2">
        <f>IFERROR(__xludf.DUMMYFUNCTION("""COMPUTED_VALUE"""),42457.64583333333)</f>
        <v>42457.64583</v>
      </c>
      <c r="B1041" s="1">
        <f>IFERROR(__xludf.DUMMYFUNCTION("""COMPUTED_VALUE"""),11750.0)</f>
        <v>11750</v>
      </c>
      <c r="C1041" s="1">
        <f>IFERROR(__xludf.DUMMYFUNCTION("""COMPUTED_VALUE"""),12150.0)</f>
        <v>12150</v>
      </c>
      <c r="D1041" s="1">
        <f>IFERROR(__xludf.DUMMYFUNCTION("""COMPUTED_VALUE"""),11550.0)</f>
        <v>11550</v>
      </c>
      <c r="E1041" s="1">
        <f>IFERROR(__xludf.DUMMYFUNCTION("""COMPUTED_VALUE"""),11700.0)</f>
        <v>11700</v>
      </c>
      <c r="F1041" s="1">
        <f>IFERROR(__xludf.DUMMYFUNCTION("""COMPUTED_VALUE"""),15341.0)</f>
        <v>15341</v>
      </c>
    </row>
    <row r="1042">
      <c r="A1042" s="2">
        <f>IFERROR(__xludf.DUMMYFUNCTION("""COMPUTED_VALUE"""),42458.64583333333)</f>
        <v>42458.64583</v>
      </c>
      <c r="B1042" s="1">
        <f>IFERROR(__xludf.DUMMYFUNCTION("""COMPUTED_VALUE"""),11700.0)</f>
        <v>11700</v>
      </c>
      <c r="C1042" s="1">
        <f>IFERROR(__xludf.DUMMYFUNCTION("""COMPUTED_VALUE"""),11900.0)</f>
        <v>11900</v>
      </c>
      <c r="D1042" s="1">
        <f>IFERROR(__xludf.DUMMYFUNCTION("""COMPUTED_VALUE"""),11700.0)</f>
        <v>11700</v>
      </c>
      <c r="E1042" s="1">
        <f>IFERROR(__xludf.DUMMYFUNCTION("""COMPUTED_VALUE"""),11900.0)</f>
        <v>11900</v>
      </c>
      <c r="F1042" s="1">
        <f>IFERROR(__xludf.DUMMYFUNCTION("""COMPUTED_VALUE"""),12586.0)</f>
        <v>12586</v>
      </c>
    </row>
    <row r="1043">
      <c r="A1043" s="2">
        <f>IFERROR(__xludf.DUMMYFUNCTION("""COMPUTED_VALUE"""),42459.64583333333)</f>
        <v>42459.64583</v>
      </c>
      <c r="B1043" s="1">
        <f>IFERROR(__xludf.DUMMYFUNCTION("""COMPUTED_VALUE"""),12000.0)</f>
        <v>12000</v>
      </c>
      <c r="C1043" s="1">
        <f>IFERROR(__xludf.DUMMYFUNCTION("""COMPUTED_VALUE"""),12050.0)</f>
        <v>12050</v>
      </c>
      <c r="D1043" s="1">
        <f>IFERROR(__xludf.DUMMYFUNCTION("""COMPUTED_VALUE"""),11700.0)</f>
        <v>11700</v>
      </c>
      <c r="E1043" s="1">
        <f>IFERROR(__xludf.DUMMYFUNCTION("""COMPUTED_VALUE"""),11750.0)</f>
        <v>11750</v>
      </c>
      <c r="F1043" s="1">
        <f>IFERROR(__xludf.DUMMYFUNCTION("""COMPUTED_VALUE"""),22052.0)</f>
        <v>22052</v>
      </c>
    </row>
    <row r="1044">
      <c r="A1044" s="2">
        <f>IFERROR(__xludf.DUMMYFUNCTION("""COMPUTED_VALUE"""),42460.64583333333)</f>
        <v>42460.64583</v>
      </c>
      <c r="B1044" s="1">
        <f>IFERROR(__xludf.DUMMYFUNCTION("""COMPUTED_VALUE"""),11650.0)</f>
        <v>11650</v>
      </c>
      <c r="C1044" s="1">
        <f>IFERROR(__xludf.DUMMYFUNCTION("""COMPUTED_VALUE"""),12050.0)</f>
        <v>12050</v>
      </c>
      <c r="D1044" s="1">
        <f>IFERROR(__xludf.DUMMYFUNCTION("""COMPUTED_VALUE"""),11650.0)</f>
        <v>11650</v>
      </c>
      <c r="E1044" s="1">
        <f>IFERROR(__xludf.DUMMYFUNCTION("""COMPUTED_VALUE"""),12000.0)</f>
        <v>12000</v>
      </c>
      <c r="F1044" s="1">
        <f>IFERROR(__xludf.DUMMYFUNCTION("""COMPUTED_VALUE"""),33747.0)</f>
        <v>33747</v>
      </c>
    </row>
    <row r="1045">
      <c r="A1045" s="2">
        <f>IFERROR(__xludf.DUMMYFUNCTION("""COMPUTED_VALUE"""),42461.64583333333)</f>
        <v>42461.64583</v>
      </c>
      <c r="B1045" s="1">
        <f>IFERROR(__xludf.DUMMYFUNCTION("""COMPUTED_VALUE"""),11900.0)</f>
        <v>11900</v>
      </c>
      <c r="C1045" s="1">
        <f>IFERROR(__xludf.DUMMYFUNCTION("""COMPUTED_VALUE"""),12100.0)</f>
        <v>12100</v>
      </c>
      <c r="D1045" s="1">
        <f>IFERROR(__xludf.DUMMYFUNCTION("""COMPUTED_VALUE"""),11800.0)</f>
        <v>11800</v>
      </c>
      <c r="E1045" s="1">
        <f>IFERROR(__xludf.DUMMYFUNCTION("""COMPUTED_VALUE"""),11900.0)</f>
        <v>11900</v>
      </c>
      <c r="F1045" s="1">
        <f>IFERROR(__xludf.DUMMYFUNCTION("""COMPUTED_VALUE"""),15931.0)</f>
        <v>15931</v>
      </c>
    </row>
    <row r="1046">
      <c r="A1046" s="2">
        <f>IFERROR(__xludf.DUMMYFUNCTION("""COMPUTED_VALUE"""),42464.64583333333)</f>
        <v>42464.64583</v>
      </c>
      <c r="B1046" s="1">
        <f>IFERROR(__xludf.DUMMYFUNCTION("""COMPUTED_VALUE"""),11900.0)</f>
        <v>11900</v>
      </c>
      <c r="C1046" s="1">
        <f>IFERROR(__xludf.DUMMYFUNCTION("""COMPUTED_VALUE"""),12600.0)</f>
        <v>12600</v>
      </c>
      <c r="D1046" s="1">
        <f>IFERROR(__xludf.DUMMYFUNCTION("""COMPUTED_VALUE"""),11900.0)</f>
        <v>11900</v>
      </c>
      <c r="E1046" s="1">
        <f>IFERROR(__xludf.DUMMYFUNCTION("""COMPUTED_VALUE"""),12400.0)</f>
        <v>12400</v>
      </c>
      <c r="F1046" s="1">
        <f>IFERROR(__xludf.DUMMYFUNCTION("""COMPUTED_VALUE"""),84828.0)</f>
        <v>84828</v>
      </c>
    </row>
    <row r="1047">
      <c r="A1047" s="2">
        <f>IFERROR(__xludf.DUMMYFUNCTION("""COMPUTED_VALUE"""),42465.64583333333)</f>
        <v>42465.64583</v>
      </c>
      <c r="B1047" s="1">
        <f>IFERROR(__xludf.DUMMYFUNCTION("""COMPUTED_VALUE"""),12400.0)</f>
        <v>12400</v>
      </c>
      <c r="C1047" s="1">
        <f>IFERROR(__xludf.DUMMYFUNCTION("""COMPUTED_VALUE"""),12600.0)</f>
        <v>12600</v>
      </c>
      <c r="D1047" s="1">
        <f>IFERROR(__xludf.DUMMYFUNCTION("""COMPUTED_VALUE"""),12250.0)</f>
        <v>12250</v>
      </c>
      <c r="E1047" s="1">
        <f>IFERROR(__xludf.DUMMYFUNCTION("""COMPUTED_VALUE"""),12300.0)</f>
        <v>12300</v>
      </c>
      <c r="F1047" s="1">
        <f>IFERROR(__xludf.DUMMYFUNCTION("""COMPUTED_VALUE"""),14929.0)</f>
        <v>14929</v>
      </c>
    </row>
    <row r="1048">
      <c r="A1048" s="2">
        <f>IFERROR(__xludf.DUMMYFUNCTION("""COMPUTED_VALUE"""),42466.64583333333)</f>
        <v>42466.64583</v>
      </c>
      <c r="B1048" s="1">
        <f>IFERROR(__xludf.DUMMYFUNCTION("""COMPUTED_VALUE"""),12200.0)</f>
        <v>12200</v>
      </c>
      <c r="C1048" s="1">
        <f>IFERROR(__xludf.DUMMYFUNCTION("""COMPUTED_VALUE"""),12600.0)</f>
        <v>12600</v>
      </c>
      <c r="D1048" s="1">
        <f>IFERROR(__xludf.DUMMYFUNCTION("""COMPUTED_VALUE"""),12150.0)</f>
        <v>12150</v>
      </c>
      <c r="E1048" s="1">
        <f>IFERROR(__xludf.DUMMYFUNCTION("""COMPUTED_VALUE"""),12300.0)</f>
        <v>12300</v>
      </c>
      <c r="F1048" s="1">
        <f>IFERROR(__xludf.DUMMYFUNCTION("""COMPUTED_VALUE"""),13160.0)</f>
        <v>13160</v>
      </c>
    </row>
    <row r="1049">
      <c r="A1049" s="2">
        <f>IFERROR(__xludf.DUMMYFUNCTION("""COMPUTED_VALUE"""),42467.64583333333)</f>
        <v>42467.64583</v>
      </c>
      <c r="B1049" s="1">
        <f>IFERROR(__xludf.DUMMYFUNCTION("""COMPUTED_VALUE"""),12250.0)</f>
        <v>12250</v>
      </c>
      <c r="C1049" s="1">
        <f>IFERROR(__xludf.DUMMYFUNCTION("""COMPUTED_VALUE"""),12350.0)</f>
        <v>12350</v>
      </c>
      <c r="D1049" s="1">
        <f>IFERROR(__xludf.DUMMYFUNCTION("""COMPUTED_VALUE"""),12050.0)</f>
        <v>12050</v>
      </c>
      <c r="E1049" s="1">
        <f>IFERROR(__xludf.DUMMYFUNCTION("""COMPUTED_VALUE"""),12150.0)</f>
        <v>12150</v>
      </c>
      <c r="F1049" s="1">
        <f>IFERROR(__xludf.DUMMYFUNCTION("""COMPUTED_VALUE"""),27845.0)</f>
        <v>27845</v>
      </c>
    </row>
    <row r="1050">
      <c r="A1050" s="2">
        <f>IFERROR(__xludf.DUMMYFUNCTION("""COMPUTED_VALUE"""),42468.64583333333)</f>
        <v>42468.64583</v>
      </c>
      <c r="B1050" s="1">
        <f>IFERROR(__xludf.DUMMYFUNCTION("""COMPUTED_VALUE"""),12250.0)</f>
        <v>12250</v>
      </c>
      <c r="C1050" s="1">
        <f>IFERROR(__xludf.DUMMYFUNCTION("""COMPUTED_VALUE"""),12250.0)</f>
        <v>12250</v>
      </c>
      <c r="D1050" s="1">
        <f>IFERROR(__xludf.DUMMYFUNCTION("""COMPUTED_VALUE"""),12000.0)</f>
        <v>12000</v>
      </c>
      <c r="E1050" s="1">
        <f>IFERROR(__xludf.DUMMYFUNCTION("""COMPUTED_VALUE"""),12150.0)</f>
        <v>12150</v>
      </c>
      <c r="F1050" s="1">
        <f>IFERROR(__xludf.DUMMYFUNCTION("""COMPUTED_VALUE"""),15107.0)</f>
        <v>15107</v>
      </c>
    </row>
    <row r="1051">
      <c r="A1051" s="2">
        <f>IFERROR(__xludf.DUMMYFUNCTION("""COMPUTED_VALUE"""),42471.64583333333)</f>
        <v>42471.64583</v>
      </c>
      <c r="B1051" s="1">
        <f>IFERROR(__xludf.DUMMYFUNCTION("""COMPUTED_VALUE"""),12050.0)</f>
        <v>12050</v>
      </c>
      <c r="C1051" s="1">
        <f>IFERROR(__xludf.DUMMYFUNCTION("""COMPUTED_VALUE"""),12200.0)</f>
        <v>12200</v>
      </c>
      <c r="D1051" s="1">
        <f>IFERROR(__xludf.DUMMYFUNCTION("""COMPUTED_VALUE"""),11850.0)</f>
        <v>11850</v>
      </c>
      <c r="E1051" s="1">
        <f>IFERROR(__xludf.DUMMYFUNCTION("""COMPUTED_VALUE"""),12050.0)</f>
        <v>12050</v>
      </c>
      <c r="F1051" s="1">
        <f>IFERROR(__xludf.DUMMYFUNCTION("""COMPUTED_VALUE"""),22927.0)</f>
        <v>22927</v>
      </c>
    </row>
    <row r="1052">
      <c r="A1052" s="2">
        <f>IFERROR(__xludf.DUMMYFUNCTION("""COMPUTED_VALUE"""),42472.64583333333)</f>
        <v>42472.64583</v>
      </c>
      <c r="B1052" s="1">
        <f>IFERROR(__xludf.DUMMYFUNCTION("""COMPUTED_VALUE"""),12250.0)</f>
        <v>12250</v>
      </c>
      <c r="C1052" s="1">
        <f>IFERROR(__xludf.DUMMYFUNCTION("""COMPUTED_VALUE"""),12550.0)</f>
        <v>12550</v>
      </c>
      <c r="D1052" s="1">
        <f>IFERROR(__xludf.DUMMYFUNCTION("""COMPUTED_VALUE"""),12100.0)</f>
        <v>12100</v>
      </c>
      <c r="E1052" s="1">
        <f>IFERROR(__xludf.DUMMYFUNCTION("""COMPUTED_VALUE"""),12400.0)</f>
        <v>12400</v>
      </c>
      <c r="F1052" s="1">
        <f>IFERROR(__xludf.DUMMYFUNCTION("""COMPUTED_VALUE"""),53400.0)</f>
        <v>53400</v>
      </c>
    </row>
    <row r="1053">
      <c r="A1053" s="2">
        <f>IFERROR(__xludf.DUMMYFUNCTION("""COMPUTED_VALUE"""),42474.64583333333)</f>
        <v>42474.64583</v>
      </c>
      <c r="B1053" s="1">
        <f>IFERROR(__xludf.DUMMYFUNCTION("""COMPUTED_VALUE"""),12400.0)</f>
        <v>12400</v>
      </c>
      <c r="C1053" s="1">
        <f>IFERROR(__xludf.DUMMYFUNCTION("""COMPUTED_VALUE"""),13100.0)</f>
        <v>13100</v>
      </c>
      <c r="D1053" s="1">
        <f>IFERROR(__xludf.DUMMYFUNCTION("""COMPUTED_VALUE"""),12200.0)</f>
        <v>12200</v>
      </c>
      <c r="E1053" s="1">
        <f>IFERROR(__xludf.DUMMYFUNCTION("""COMPUTED_VALUE"""),12700.0)</f>
        <v>12700</v>
      </c>
      <c r="F1053" s="1">
        <f>IFERROR(__xludf.DUMMYFUNCTION("""COMPUTED_VALUE"""),79114.0)</f>
        <v>79114</v>
      </c>
    </row>
    <row r="1054">
      <c r="A1054" s="2">
        <f>IFERROR(__xludf.DUMMYFUNCTION("""COMPUTED_VALUE"""),42475.64583333333)</f>
        <v>42475.64583</v>
      </c>
      <c r="B1054" s="1">
        <f>IFERROR(__xludf.DUMMYFUNCTION("""COMPUTED_VALUE"""),12900.0)</f>
        <v>12900</v>
      </c>
      <c r="C1054" s="1">
        <f>IFERROR(__xludf.DUMMYFUNCTION("""COMPUTED_VALUE"""),13050.0)</f>
        <v>13050</v>
      </c>
      <c r="D1054" s="1">
        <f>IFERROR(__xludf.DUMMYFUNCTION("""COMPUTED_VALUE"""),12650.0)</f>
        <v>12650</v>
      </c>
      <c r="E1054" s="1">
        <f>IFERROR(__xludf.DUMMYFUNCTION("""COMPUTED_VALUE"""),12950.0)</f>
        <v>12950</v>
      </c>
      <c r="F1054" s="1">
        <f>IFERROR(__xludf.DUMMYFUNCTION("""COMPUTED_VALUE"""),62206.0)</f>
        <v>62206</v>
      </c>
    </row>
    <row r="1055">
      <c r="A1055" s="2">
        <f>IFERROR(__xludf.DUMMYFUNCTION("""COMPUTED_VALUE"""),42478.64583333333)</f>
        <v>42478.64583</v>
      </c>
      <c r="B1055" s="1">
        <f>IFERROR(__xludf.DUMMYFUNCTION("""COMPUTED_VALUE"""),12950.0)</f>
        <v>12950</v>
      </c>
      <c r="C1055" s="1">
        <f>IFERROR(__xludf.DUMMYFUNCTION("""COMPUTED_VALUE"""),13600.0)</f>
        <v>13600</v>
      </c>
      <c r="D1055" s="1">
        <f>IFERROR(__xludf.DUMMYFUNCTION("""COMPUTED_VALUE"""),12650.0)</f>
        <v>12650</v>
      </c>
      <c r="E1055" s="1">
        <f>IFERROR(__xludf.DUMMYFUNCTION("""COMPUTED_VALUE"""),13400.0)</f>
        <v>13400</v>
      </c>
      <c r="F1055" s="1">
        <f>IFERROR(__xludf.DUMMYFUNCTION("""COMPUTED_VALUE"""),102964.0)</f>
        <v>102964</v>
      </c>
    </row>
    <row r="1056">
      <c r="A1056" s="2">
        <f>IFERROR(__xludf.DUMMYFUNCTION("""COMPUTED_VALUE"""),42479.64583333333)</f>
        <v>42479.64583</v>
      </c>
      <c r="B1056" s="1">
        <f>IFERROR(__xludf.DUMMYFUNCTION("""COMPUTED_VALUE"""),13400.0)</f>
        <v>13400</v>
      </c>
      <c r="C1056" s="1">
        <f>IFERROR(__xludf.DUMMYFUNCTION("""COMPUTED_VALUE"""),13650.0)</f>
        <v>13650</v>
      </c>
      <c r="D1056" s="1">
        <f>IFERROR(__xludf.DUMMYFUNCTION("""COMPUTED_VALUE"""),13250.0)</f>
        <v>13250</v>
      </c>
      <c r="E1056" s="1">
        <f>IFERROR(__xludf.DUMMYFUNCTION("""COMPUTED_VALUE"""),13500.0)</f>
        <v>13500</v>
      </c>
      <c r="F1056" s="1">
        <f>IFERROR(__xludf.DUMMYFUNCTION("""COMPUTED_VALUE"""),49695.0)</f>
        <v>49695</v>
      </c>
    </row>
    <row r="1057">
      <c r="A1057" s="2">
        <f>IFERROR(__xludf.DUMMYFUNCTION("""COMPUTED_VALUE"""),42480.64583333333)</f>
        <v>42480.64583</v>
      </c>
      <c r="B1057" s="1">
        <f>IFERROR(__xludf.DUMMYFUNCTION("""COMPUTED_VALUE"""),13450.0)</f>
        <v>13450</v>
      </c>
      <c r="C1057" s="1">
        <f>IFERROR(__xludf.DUMMYFUNCTION("""COMPUTED_VALUE"""),13650.0)</f>
        <v>13650</v>
      </c>
      <c r="D1057" s="1">
        <f>IFERROR(__xludf.DUMMYFUNCTION("""COMPUTED_VALUE"""),13100.0)</f>
        <v>13100</v>
      </c>
      <c r="E1057" s="1">
        <f>IFERROR(__xludf.DUMMYFUNCTION("""COMPUTED_VALUE"""),13450.0)</f>
        <v>13450</v>
      </c>
      <c r="F1057" s="1">
        <f>IFERROR(__xludf.DUMMYFUNCTION("""COMPUTED_VALUE"""),65624.0)</f>
        <v>65624</v>
      </c>
    </row>
    <row r="1058">
      <c r="A1058" s="2">
        <f>IFERROR(__xludf.DUMMYFUNCTION("""COMPUTED_VALUE"""),42481.64583333333)</f>
        <v>42481.64583</v>
      </c>
      <c r="B1058" s="1">
        <f>IFERROR(__xludf.DUMMYFUNCTION("""COMPUTED_VALUE"""),13350.0)</f>
        <v>13350</v>
      </c>
      <c r="C1058" s="1">
        <f>IFERROR(__xludf.DUMMYFUNCTION("""COMPUTED_VALUE"""),13700.0)</f>
        <v>13700</v>
      </c>
      <c r="D1058" s="1">
        <f>IFERROR(__xludf.DUMMYFUNCTION("""COMPUTED_VALUE"""),13300.0)</f>
        <v>13300</v>
      </c>
      <c r="E1058" s="1">
        <f>IFERROR(__xludf.DUMMYFUNCTION("""COMPUTED_VALUE"""),13300.0)</f>
        <v>13300</v>
      </c>
      <c r="F1058" s="1">
        <f>IFERROR(__xludf.DUMMYFUNCTION("""COMPUTED_VALUE"""),40335.0)</f>
        <v>40335</v>
      </c>
    </row>
    <row r="1059">
      <c r="A1059" s="2">
        <f>IFERROR(__xludf.DUMMYFUNCTION("""COMPUTED_VALUE"""),42482.64583333333)</f>
        <v>42482.64583</v>
      </c>
      <c r="B1059" s="1">
        <f>IFERROR(__xludf.DUMMYFUNCTION("""COMPUTED_VALUE"""),13300.0)</f>
        <v>13300</v>
      </c>
      <c r="C1059" s="1">
        <f>IFERROR(__xludf.DUMMYFUNCTION("""COMPUTED_VALUE"""),13850.0)</f>
        <v>13850</v>
      </c>
      <c r="D1059" s="1">
        <f>IFERROR(__xludf.DUMMYFUNCTION("""COMPUTED_VALUE"""),13100.0)</f>
        <v>13100</v>
      </c>
      <c r="E1059" s="1">
        <f>IFERROR(__xludf.DUMMYFUNCTION("""COMPUTED_VALUE"""),13450.0)</f>
        <v>13450</v>
      </c>
      <c r="F1059" s="1">
        <f>IFERROR(__xludf.DUMMYFUNCTION("""COMPUTED_VALUE"""),58655.0)</f>
        <v>58655</v>
      </c>
    </row>
    <row r="1060">
      <c r="A1060" s="2">
        <f>IFERROR(__xludf.DUMMYFUNCTION("""COMPUTED_VALUE"""),42485.64583333333)</f>
        <v>42485.64583</v>
      </c>
      <c r="B1060" s="1">
        <f>IFERROR(__xludf.DUMMYFUNCTION("""COMPUTED_VALUE"""),13650.0)</f>
        <v>13650</v>
      </c>
      <c r="C1060" s="1">
        <f>IFERROR(__xludf.DUMMYFUNCTION("""COMPUTED_VALUE"""),13700.0)</f>
        <v>13700</v>
      </c>
      <c r="D1060" s="1">
        <f>IFERROR(__xludf.DUMMYFUNCTION("""COMPUTED_VALUE"""),13350.0)</f>
        <v>13350</v>
      </c>
      <c r="E1060" s="1">
        <f>IFERROR(__xludf.DUMMYFUNCTION("""COMPUTED_VALUE"""),13550.0)</f>
        <v>13550</v>
      </c>
      <c r="F1060" s="1">
        <f>IFERROR(__xludf.DUMMYFUNCTION("""COMPUTED_VALUE"""),30484.0)</f>
        <v>30484</v>
      </c>
    </row>
    <row r="1061">
      <c r="A1061" s="2">
        <f>IFERROR(__xludf.DUMMYFUNCTION("""COMPUTED_VALUE"""),42486.64583333333)</f>
        <v>42486.64583</v>
      </c>
      <c r="B1061" s="1">
        <f>IFERROR(__xludf.DUMMYFUNCTION("""COMPUTED_VALUE"""),13550.0)</f>
        <v>13550</v>
      </c>
      <c r="C1061" s="1">
        <f>IFERROR(__xludf.DUMMYFUNCTION("""COMPUTED_VALUE"""),13650.0)</f>
        <v>13650</v>
      </c>
      <c r="D1061" s="1">
        <f>IFERROR(__xludf.DUMMYFUNCTION("""COMPUTED_VALUE"""),13250.0)</f>
        <v>13250</v>
      </c>
      <c r="E1061" s="1">
        <f>IFERROR(__xludf.DUMMYFUNCTION("""COMPUTED_VALUE"""),13350.0)</f>
        <v>13350</v>
      </c>
      <c r="F1061" s="1">
        <f>IFERROR(__xludf.DUMMYFUNCTION("""COMPUTED_VALUE"""),13923.0)</f>
        <v>13923</v>
      </c>
    </row>
    <row r="1062">
      <c r="A1062" s="2">
        <f>IFERROR(__xludf.DUMMYFUNCTION("""COMPUTED_VALUE"""),42487.64583333333)</f>
        <v>42487.64583</v>
      </c>
      <c r="B1062" s="1">
        <f>IFERROR(__xludf.DUMMYFUNCTION("""COMPUTED_VALUE"""),13350.0)</f>
        <v>13350</v>
      </c>
      <c r="C1062" s="1">
        <f>IFERROR(__xludf.DUMMYFUNCTION("""COMPUTED_VALUE"""),13550.0)</f>
        <v>13550</v>
      </c>
      <c r="D1062" s="1">
        <f>IFERROR(__xludf.DUMMYFUNCTION("""COMPUTED_VALUE"""),13000.0)</f>
        <v>13000</v>
      </c>
      <c r="E1062" s="1">
        <f>IFERROR(__xludf.DUMMYFUNCTION("""COMPUTED_VALUE"""),13100.0)</f>
        <v>13100</v>
      </c>
      <c r="F1062" s="1">
        <f>IFERROR(__xludf.DUMMYFUNCTION("""COMPUTED_VALUE"""),58138.0)</f>
        <v>58138</v>
      </c>
    </row>
    <row r="1063">
      <c r="A1063" s="2">
        <f>IFERROR(__xludf.DUMMYFUNCTION("""COMPUTED_VALUE"""),42488.64583333333)</f>
        <v>42488.64583</v>
      </c>
      <c r="B1063" s="1">
        <f>IFERROR(__xludf.DUMMYFUNCTION("""COMPUTED_VALUE"""),13100.0)</f>
        <v>13100</v>
      </c>
      <c r="C1063" s="1">
        <f>IFERROR(__xludf.DUMMYFUNCTION("""COMPUTED_VALUE"""),13200.0)</f>
        <v>13200</v>
      </c>
      <c r="D1063" s="1">
        <f>IFERROR(__xludf.DUMMYFUNCTION("""COMPUTED_VALUE"""),12850.0)</f>
        <v>12850</v>
      </c>
      <c r="E1063" s="1">
        <f>IFERROR(__xludf.DUMMYFUNCTION("""COMPUTED_VALUE"""),13050.0)</f>
        <v>13050</v>
      </c>
      <c r="F1063" s="1">
        <f>IFERROR(__xludf.DUMMYFUNCTION("""COMPUTED_VALUE"""),39241.0)</f>
        <v>39241</v>
      </c>
    </row>
    <row r="1064">
      <c r="A1064" s="2">
        <f>IFERROR(__xludf.DUMMYFUNCTION("""COMPUTED_VALUE"""),42489.64583333333)</f>
        <v>42489.64583</v>
      </c>
      <c r="B1064" s="1">
        <f>IFERROR(__xludf.DUMMYFUNCTION("""COMPUTED_VALUE"""),12900.0)</f>
        <v>12900</v>
      </c>
      <c r="C1064" s="1">
        <f>IFERROR(__xludf.DUMMYFUNCTION("""COMPUTED_VALUE"""),13300.0)</f>
        <v>13300</v>
      </c>
      <c r="D1064" s="1">
        <f>IFERROR(__xludf.DUMMYFUNCTION("""COMPUTED_VALUE"""),12800.0)</f>
        <v>12800</v>
      </c>
      <c r="E1064" s="1">
        <f>IFERROR(__xludf.DUMMYFUNCTION("""COMPUTED_VALUE"""),12900.0)</f>
        <v>12900</v>
      </c>
      <c r="F1064" s="1">
        <f>IFERROR(__xludf.DUMMYFUNCTION("""COMPUTED_VALUE"""),32479.0)</f>
        <v>32479</v>
      </c>
    </row>
    <row r="1065">
      <c r="A1065" s="2">
        <f>IFERROR(__xludf.DUMMYFUNCTION("""COMPUTED_VALUE"""),42492.64583333333)</f>
        <v>42492.64583</v>
      </c>
      <c r="B1065" s="1">
        <f>IFERROR(__xludf.DUMMYFUNCTION("""COMPUTED_VALUE"""),12900.0)</f>
        <v>12900</v>
      </c>
      <c r="C1065" s="1">
        <f>IFERROR(__xludf.DUMMYFUNCTION("""COMPUTED_VALUE"""),13300.0)</f>
        <v>13300</v>
      </c>
      <c r="D1065" s="1">
        <f>IFERROR(__xludf.DUMMYFUNCTION("""COMPUTED_VALUE"""),12850.0)</f>
        <v>12850</v>
      </c>
      <c r="E1065" s="1">
        <f>IFERROR(__xludf.DUMMYFUNCTION("""COMPUTED_VALUE"""),12900.0)</f>
        <v>12900</v>
      </c>
      <c r="F1065" s="1">
        <f>IFERROR(__xludf.DUMMYFUNCTION("""COMPUTED_VALUE"""),13236.0)</f>
        <v>13236</v>
      </c>
    </row>
    <row r="1066">
      <c r="A1066" s="2">
        <f>IFERROR(__xludf.DUMMYFUNCTION("""COMPUTED_VALUE"""),42493.64583333333)</f>
        <v>42493.64583</v>
      </c>
      <c r="B1066" s="1">
        <f>IFERROR(__xludf.DUMMYFUNCTION("""COMPUTED_VALUE"""),12900.0)</f>
        <v>12900</v>
      </c>
      <c r="C1066" s="1">
        <f>IFERROR(__xludf.DUMMYFUNCTION("""COMPUTED_VALUE"""),13450.0)</f>
        <v>13450</v>
      </c>
      <c r="D1066" s="1">
        <f>IFERROR(__xludf.DUMMYFUNCTION("""COMPUTED_VALUE"""),12900.0)</f>
        <v>12900</v>
      </c>
      <c r="E1066" s="1">
        <f>IFERROR(__xludf.DUMMYFUNCTION("""COMPUTED_VALUE"""),13450.0)</f>
        <v>13450</v>
      </c>
      <c r="F1066" s="1">
        <f>IFERROR(__xludf.DUMMYFUNCTION("""COMPUTED_VALUE"""),38407.0)</f>
        <v>38407</v>
      </c>
    </row>
    <row r="1067">
      <c r="A1067" s="2">
        <f>IFERROR(__xludf.DUMMYFUNCTION("""COMPUTED_VALUE"""),42494.64583333333)</f>
        <v>42494.64583</v>
      </c>
      <c r="B1067" s="1">
        <f>IFERROR(__xludf.DUMMYFUNCTION("""COMPUTED_VALUE"""),13350.0)</f>
        <v>13350</v>
      </c>
      <c r="C1067" s="1">
        <f>IFERROR(__xludf.DUMMYFUNCTION("""COMPUTED_VALUE"""),13450.0)</f>
        <v>13450</v>
      </c>
      <c r="D1067" s="1">
        <f>IFERROR(__xludf.DUMMYFUNCTION("""COMPUTED_VALUE"""),13200.0)</f>
        <v>13200</v>
      </c>
      <c r="E1067" s="1">
        <f>IFERROR(__xludf.DUMMYFUNCTION("""COMPUTED_VALUE"""),13300.0)</f>
        <v>13300</v>
      </c>
      <c r="F1067" s="1">
        <f>IFERROR(__xludf.DUMMYFUNCTION("""COMPUTED_VALUE"""),12391.0)</f>
        <v>12391</v>
      </c>
    </row>
    <row r="1068">
      <c r="A1068" s="2">
        <f>IFERROR(__xludf.DUMMYFUNCTION("""COMPUTED_VALUE"""),42499.64583333333)</f>
        <v>42499.64583</v>
      </c>
      <c r="B1068" s="1">
        <f>IFERROR(__xludf.DUMMYFUNCTION("""COMPUTED_VALUE"""),13200.0)</f>
        <v>13200</v>
      </c>
      <c r="C1068" s="1">
        <f>IFERROR(__xludf.DUMMYFUNCTION("""COMPUTED_VALUE"""),13550.0)</f>
        <v>13550</v>
      </c>
      <c r="D1068" s="1">
        <f>IFERROR(__xludf.DUMMYFUNCTION("""COMPUTED_VALUE"""),13000.0)</f>
        <v>13000</v>
      </c>
      <c r="E1068" s="1">
        <f>IFERROR(__xludf.DUMMYFUNCTION("""COMPUTED_VALUE"""),13250.0)</f>
        <v>13250</v>
      </c>
      <c r="F1068" s="1">
        <f>IFERROR(__xludf.DUMMYFUNCTION("""COMPUTED_VALUE"""),18645.0)</f>
        <v>18645</v>
      </c>
    </row>
    <row r="1069">
      <c r="A1069" s="2">
        <f>IFERROR(__xludf.DUMMYFUNCTION("""COMPUTED_VALUE"""),42500.64583333333)</f>
        <v>42500.64583</v>
      </c>
      <c r="B1069" s="1">
        <f>IFERROR(__xludf.DUMMYFUNCTION("""COMPUTED_VALUE"""),13350.0)</f>
        <v>13350</v>
      </c>
      <c r="C1069" s="1">
        <f>IFERROR(__xludf.DUMMYFUNCTION("""COMPUTED_VALUE"""),13400.0)</f>
        <v>13400</v>
      </c>
      <c r="D1069" s="1">
        <f>IFERROR(__xludf.DUMMYFUNCTION("""COMPUTED_VALUE"""),13050.0)</f>
        <v>13050</v>
      </c>
      <c r="E1069" s="1">
        <f>IFERROR(__xludf.DUMMYFUNCTION("""COMPUTED_VALUE"""),13250.0)</f>
        <v>13250</v>
      </c>
      <c r="F1069" s="1">
        <f>IFERROR(__xludf.DUMMYFUNCTION("""COMPUTED_VALUE"""),10912.0)</f>
        <v>10912</v>
      </c>
    </row>
    <row r="1070">
      <c r="A1070" s="2">
        <f>IFERROR(__xludf.DUMMYFUNCTION("""COMPUTED_VALUE"""),42501.64583333333)</f>
        <v>42501.64583</v>
      </c>
      <c r="B1070" s="1">
        <f>IFERROR(__xludf.DUMMYFUNCTION("""COMPUTED_VALUE"""),13300.0)</f>
        <v>13300</v>
      </c>
      <c r="C1070" s="1">
        <f>IFERROR(__xludf.DUMMYFUNCTION("""COMPUTED_VALUE"""),13400.0)</f>
        <v>13400</v>
      </c>
      <c r="D1070" s="1">
        <f>IFERROR(__xludf.DUMMYFUNCTION("""COMPUTED_VALUE"""),12900.0)</f>
        <v>12900</v>
      </c>
      <c r="E1070" s="1">
        <f>IFERROR(__xludf.DUMMYFUNCTION("""COMPUTED_VALUE"""),13000.0)</f>
        <v>13000</v>
      </c>
      <c r="F1070" s="1">
        <f>IFERROR(__xludf.DUMMYFUNCTION("""COMPUTED_VALUE"""),14111.0)</f>
        <v>14111</v>
      </c>
    </row>
    <row r="1071">
      <c r="A1071" s="2">
        <f>IFERROR(__xludf.DUMMYFUNCTION("""COMPUTED_VALUE"""),42502.64583333333)</f>
        <v>42502.64583</v>
      </c>
      <c r="B1071" s="1">
        <f>IFERROR(__xludf.DUMMYFUNCTION("""COMPUTED_VALUE"""),12850.0)</f>
        <v>12850</v>
      </c>
      <c r="C1071" s="1">
        <f>IFERROR(__xludf.DUMMYFUNCTION("""COMPUTED_VALUE"""),13400.0)</f>
        <v>13400</v>
      </c>
      <c r="D1071" s="1">
        <f>IFERROR(__xludf.DUMMYFUNCTION("""COMPUTED_VALUE"""),12850.0)</f>
        <v>12850</v>
      </c>
      <c r="E1071" s="1">
        <f>IFERROR(__xludf.DUMMYFUNCTION("""COMPUTED_VALUE"""),13100.0)</f>
        <v>13100</v>
      </c>
      <c r="F1071" s="1">
        <f>IFERROR(__xludf.DUMMYFUNCTION("""COMPUTED_VALUE"""),13485.0)</f>
        <v>13485</v>
      </c>
    </row>
    <row r="1072">
      <c r="A1072" s="2">
        <f>IFERROR(__xludf.DUMMYFUNCTION("""COMPUTED_VALUE"""),42503.64583333333)</f>
        <v>42503.64583</v>
      </c>
      <c r="B1072" s="1">
        <f>IFERROR(__xludf.DUMMYFUNCTION("""COMPUTED_VALUE"""),13150.0)</f>
        <v>13150</v>
      </c>
      <c r="C1072" s="1">
        <f>IFERROR(__xludf.DUMMYFUNCTION("""COMPUTED_VALUE"""),13200.0)</f>
        <v>13200</v>
      </c>
      <c r="D1072" s="1">
        <f>IFERROR(__xludf.DUMMYFUNCTION("""COMPUTED_VALUE"""),13050.0)</f>
        <v>13050</v>
      </c>
      <c r="E1072" s="1">
        <f>IFERROR(__xludf.DUMMYFUNCTION("""COMPUTED_VALUE"""),13100.0)</f>
        <v>13100</v>
      </c>
      <c r="F1072" s="1">
        <f>IFERROR(__xludf.DUMMYFUNCTION("""COMPUTED_VALUE"""),19917.0)</f>
        <v>19917</v>
      </c>
    </row>
    <row r="1073">
      <c r="A1073" s="2">
        <f>IFERROR(__xludf.DUMMYFUNCTION("""COMPUTED_VALUE"""),42506.64583333333)</f>
        <v>42506.64583</v>
      </c>
      <c r="B1073" s="1">
        <f>IFERROR(__xludf.DUMMYFUNCTION("""COMPUTED_VALUE"""),13100.0)</f>
        <v>13100</v>
      </c>
      <c r="C1073" s="1">
        <f>IFERROR(__xludf.DUMMYFUNCTION("""COMPUTED_VALUE"""),13400.0)</f>
        <v>13400</v>
      </c>
      <c r="D1073" s="1">
        <f>IFERROR(__xludf.DUMMYFUNCTION("""COMPUTED_VALUE"""),13000.0)</f>
        <v>13000</v>
      </c>
      <c r="E1073" s="1">
        <f>IFERROR(__xludf.DUMMYFUNCTION("""COMPUTED_VALUE"""),13150.0)</f>
        <v>13150</v>
      </c>
      <c r="F1073" s="1">
        <f>IFERROR(__xludf.DUMMYFUNCTION("""COMPUTED_VALUE"""),16118.0)</f>
        <v>16118</v>
      </c>
    </row>
    <row r="1074">
      <c r="A1074" s="2">
        <f>IFERROR(__xludf.DUMMYFUNCTION("""COMPUTED_VALUE"""),42507.64583333333)</f>
        <v>42507.64583</v>
      </c>
      <c r="B1074" s="1">
        <f>IFERROR(__xludf.DUMMYFUNCTION("""COMPUTED_VALUE"""),13200.0)</f>
        <v>13200</v>
      </c>
      <c r="C1074" s="1">
        <f>IFERROR(__xludf.DUMMYFUNCTION("""COMPUTED_VALUE"""),13200.0)</f>
        <v>13200</v>
      </c>
      <c r="D1074" s="1">
        <f>IFERROR(__xludf.DUMMYFUNCTION("""COMPUTED_VALUE"""),12450.0)</f>
        <v>12450</v>
      </c>
      <c r="E1074" s="1">
        <f>IFERROR(__xludf.DUMMYFUNCTION("""COMPUTED_VALUE"""),12650.0)</f>
        <v>12650</v>
      </c>
      <c r="F1074" s="1">
        <f>IFERROR(__xludf.DUMMYFUNCTION("""COMPUTED_VALUE"""),58247.0)</f>
        <v>58247</v>
      </c>
    </row>
    <row r="1075">
      <c r="A1075" s="2">
        <f>IFERROR(__xludf.DUMMYFUNCTION("""COMPUTED_VALUE"""),42508.64583333333)</f>
        <v>42508.64583</v>
      </c>
      <c r="B1075" s="1">
        <f>IFERROR(__xludf.DUMMYFUNCTION("""COMPUTED_VALUE"""),12650.0)</f>
        <v>12650</v>
      </c>
      <c r="C1075" s="1">
        <f>IFERROR(__xludf.DUMMYFUNCTION("""COMPUTED_VALUE"""),12650.0)</f>
        <v>12650</v>
      </c>
      <c r="D1075" s="1">
        <f>IFERROR(__xludf.DUMMYFUNCTION("""COMPUTED_VALUE"""),11900.0)</f>
        <v>11900</v>
      </c>
      <c r="E1075" s="1">
        <f>IFERROR(__xludf.DUMMYFUNCTION("""COMPUTED_VALUE"""),12150.0)</f>
        <v>12150</v>
      </c>
      <c r="F1075" s="1">
        <f>IFERROR(__xludf.DUMMYFUNCTION("""COMPUTED_VALUE"""),54572.0)</f>
        <v>54572</v>
      </c>
    </row>
    <row r="1076">
      <c r="A1076" s="2">
        <f>IFERROR(__xludf.DUMMYFUNCTION("""COMPUTED_VALUE"""),42509.64583333333)</f>
        <v>42509.64583</v>
      </c>
      <c r="B1076" s="1">
        <f>IFERROR(__xludf.DUMMYFUNCTION("""COMPUTED_VALUE"""),12150.0)</f>
        <v>12150</v>
      </c>
      <c r="C1076" s="1">
        <f>IFERROR(__xludf.DUMMYFUNCTION("""COMPUTED_VALUE"""),12350.0)</f>
        <v>12350</v>
      </c>
      <c r="D1076" s="1">
        <f>IFERROR(__xludf.DUMMYFUNCTION("""COMPUTED_VALUE"""),11950.0)</f>
        <v>11950</v>
      </c>
      <c r="E1076" s="1">
        <f>IFERROR(__xludf.DUMMYFUNCTION("""COMPUTED_VALUE"""),12100.0)</f>
        <v>12100</v>
      </c>
      <c r="F1076" s="1">
        <f>IFERROR(__xludf.DUMMYFUNCTION("""COMPUTED_VALUE"""),13425.0)</f>
        <v>13425</v>
      </c>
    </row>
    <row r="1077">
      <c r="A1077" s="2">
        <f>IFERROR(__xludf.DUMMYFUNCTION("""COMPUTED_VALUE"""),42510.64583333333)</f>
        <v>42510.64583</v>
      </c>
      <c r="B1077" s="1">
        <f>IFERROR(__xludf.DUMMYFUNCTION("""COMPUTED_VALUE"""),12100.0)</f>
        <v>12100</v>
      </c>
      <c r="C1077" s="1">
        <f>IFERROR(__xludf.DUMMYFUNCTION("""COMPUTED_VALUE"""),12500.0)</f>
        <v>12500</v>
      </c>
      <c r="D1077" s="1">
        <f>IFERROR(__xludf.DUMMYFUNCTION("""COMPUTED_VALUE"""),12000.0)</f>
        <v>12000</v>
      </c>
      <c r="E1077" s="1">
        <f>IFERROR(__xludf.DUMMYFUNCTION("""COMPUTED_VALUE"""),12500.0)</f>
        <v>12500</v>
      </c>
      <c r="F1077" s="1">
        <f>IFERROR(__xludf.DUMMYFUNCTION("""COMPUTED_VALUE"""),17466.0)</f>
        <v>17466</v>
      </c>
    </row>
    <row r="1078">
      <c r="A1078" s="2">
        <f>IFERROR(__xludf.DUMMYFUNCTION("""COMPUTED_VALUE"""),42513.64583333333)</f>
        <v>42513.64583</v>
      </c>
      <c r="B1078" s="1">
        <f>IFERROR(__xludf.DUMMYFUNCTION("""COMPUTED_VALUE"""),12500.0)</f>
        <v>12500</v>
      </c>
      <c r="C1078" s="1">
        <f>IFERROR(__xludf.DUMMYFUNCTION("""COMPUTED_VALUE"""),12550.0)</f>
        <v>12550</v>
      </c>
      <c r="D1078" s="1">
        <f>IFERROR(__xludf.DUMMYFUNCTION("""COMPUTED_VALUE"""),12300.0)</f>
        <v>12300</v>
      </c>
      <c r="E1078" s="1">
        <f>IFERROR(__xludf.DUMMYFUNCTION("""COMPUTED_VALUE"""),12450.0)</f>
        <v>12450</v>
      </c>
      <c r="F1078" s="1">
        <f>IFERROR(__xludf.DUMMYFUNCTION("""COMPUTED_VALUE"""),14693.0)</f>
        <v>14693</v>
      </c>
    </row>
    <row r="1079">
      <c r="A1079" s="2">
        <f>IFERROR(__xludf.DUMMYFUNCTION("""COMPUTED_VALUE"""),42514.64583333333)</f>
        <v>42514.64583</v>
      </c>
      <c r="B1079" s="1">
        <f>IFERROR(__xludf.DUMMYFUNCTION("""COMPUTED_VALUE"""),12350.0)</f>
        <v>12350</v>
      </c>
      <c r="C1079" s="1">
        <f>IFERROR(__xludf.DUMMYFUNCTION("""COMPUTED_VALUE"""),13100.0)</f>
        <v>13100</v>
      </c>
      <c r="D1079" s="1">
        <f>IFERROR(__xludf.DUMMYFUNCTION("""COMPUTED_VALUE"""),12100.0)</f>
        <v>12100</v>
      </c>
      <c r="E1079" s="1">
        <f>IFERROR(__xludf.DUMMYFUNCTION("""COMPUTED_VALUE"""),12900.0)</f>
        <v>12900</v>
      </c>
      <c r="F1079" s="1">
        <f>IFERROR(__xludf.DUMMYFUNCTION("""COMPUTED_VALUE"""),98711.0)</f>
        <v>98711</v>
      </c>
    </row>
    <row r="1080">
      <c r="A1080" s="2">
        <f>IFERROR(__xludf.DUMMYFUNCTION("""COMPUTED_VALUE"""),42515.64583333333)</f>
        <v>42515.64583</v>
      </c>
      <c r="B1080" s="1">
        <f>IFERROR(__xludf.DUMMYFUNCTION("""COMPUTED_VALUE"""),13100.0)</f>
        <v>13100</v>
      </c>
      <c r="C1080" s="1">
        <f>IFERROR(__xludf.DUMMYFUNCTION("""COMPUTED_VALUE"""),13400.0)</f>
        <v>13400</v>
      </c>
      <c r="D1080" s="1">
        <f>IFERROR(__xludf.DUMMYFUNCTION("""COMPUTED_VALUE"""),12750.0)</f>
        <v>12750</v>
      </c>
      <c r="E1080" s="1">
        <f>IFERROR(__xludf.DUMMYFUNCTION("""COMPUTED_VALUE"""),13100.0)</f>
        <v>13100</v>
      </c>
      <c r="F1080" s="1">
        <f>IFERROR(__xludf.DUMMYFUNCTION("""COMPUTED_VALUE"""),66662.0)</f>
        <v>66662</v>
      </c>
    </row>
    <row r="1081">
      <c r="A1081" s="2">
        <f>IFERROR(__xludf.DUMMYFUNCTION("""COMPUTED_VALUE"""),42516.64583333333)</f>
        <v>42516.64583</v>
      </c>
      <c r="B1081" s="1">
        <f>IFERROR(__xludf.DUMMYFUNCTION("""COMPUTED_VALUE"""),13100.0)</f>
        <v>13100</v>
      </c>
      <c r="C1081" s="1">
        <f>IFERROR(__xludf.DUMMYFUNCTION("""COMPUTED_VALUE"""),13550.0)</f>
        <v>13550</v>
      </c>
      <c r="D1081" s="1">
        <f>IFERROR(__xludf.DUMMYFUNCTION("""COMPUTED_VALUE"""),13000.0)</f>
        <v>13000</v>
      </c>
      <c r="E1081" s="1">
        <f>IFERROR(__xludf.DUMMYFUNCTION("""COMPUTED_VALUE"""),13000.0)</f>
        <v>13000</v>
      </c>
      <c r="F1081" s="1">
        <f>IFERROR(__xludf.DUMMYFUNCTION("""COMPUTED_VALUE"""),56053.0)</f>
        <v>56053</v>
      </c>
    </row>
    <row r="1082">
      <c r="A1082" s="2">
        <f>IFERROR(__xludf.DUMMYFUNCTION("""COMPUTED_VALUE"""),42517.64583333333)</f>
        <v>42517.64583</v>
      </c>
      <c r="B1082" s="1">
        <f>IFERROR(__xludf.DUMMYFUNCTION("""COMPUTED_VALUE"""),13200.0)</f>
        <v>13200</v>
      </c>
      <c r="C1082" s="1">
        <f>IFERROR(__xludf.DUMMYFUNCTION("""COMPUTED_VALUE"""),13500.0)</f>
        <v>13500</v>
      </c>
      <c r="D1082" s="1">
        <f>IFERROR(__xludf.DUMMYFUNCTION("""COMPUTED_VALUE"""),13050.0)</f>
        <v>13050</v>
      </c>
      <c r="E1082" s="1">
        <f>IFERROR(__xludf.DUMMYFUNCTION("""COMPUTED_VALUE"""),13250.0)</f>
        <v>13250</v>
      </c>
      <c r="F1082" s="1">
        <f>IFERROR(__xludf.DUMMYFUNCTION("""COMPUTED_VALUE"""),22187.0)</f>
        <v>22187</v>
      </c>
    </row>
    <row r="1083">
      <c r="A1083" s="2">
        <f>IFERROR(__xludf.DUMMYFUNCTION("""COMPUTED_VALUE"""),42520.64583333333)</f>
        <v>42520.64583</v>
      </c>
      <c r="B1083" s="1">
        <f>IFERROR(__xludf.DUMMYFUNCTION("""COMPUTED_VALUE"""),13250.0)</f>
        <v>13250</v>
      </c>
      <c r="C1083" s="1">
        <f>IFERROR(__xludf.DUMMYFUNCTION("""COMPUTED_VALUE"""),13500.0)</f>
        <v>13500</v>
      </c>
      <c r="D1083" s="1">
        <f>IFERROR(__xludf.DUMMYFUNCTION("""COMPUTED_VALUE"""),13050.0)</f>
        <v>13050</v>
      </c>
      <c r="E1083" s="1">
        <f>IFERROR(__xludf.DUMMYFUNCTION("""COMPUTED_VALUE"""),13150.0)</f>
        <v>13150</v>
      </c>
      <c r="F1083" s="1">
        <f>IFERROR(__xludf.DUMMYFUNCTION("""COMPUTED_VALUE"""),12839.0)</f>
        <v>12839</v>
      </c>
    </row>
    <row r="1084">
      <c r="A1084" s="2">
        <f>IFERROR(__xludf.DUMMYFUNCTION("""COMPUTED_VALUE"""),42521.64583333333)</f>
        <v>42521.64583</v>
      </c>
      <c r="B1084" s="1">
        <f>IFERROR(__xludf.DUMMYFUNCTION("""COMPUTED_VALUE"""),13150.0)</f>
        <v>13150</v>
      </c>
      <c r="C1084" s="1">
        <f>IFERROR(__xludf.DUMMYFUNCTION("""COMPUTED_VALUE"""),14450.0)</f>
        <v>14450</v>
      </c>
      <c r="D1084" s="1">
        <f>IFERROR(__xludf.DUMMYFUNCTION("""COMPUTED_VALUE"""),12950.0)</f>
        <v>12950</v>
      </c>
      <c r="E1084" s="1">
        <f>IFERROR(__xludf.DUMMYFUNCTION("""COMPUTED_VALUE"""),13350.0)</f>
        <v>13350</v>
      </c>
      <c r="F1084" s="1">
        <f>IFERROR(__xludf.DUMMYFUNCTION("""COMPUTED_VALUE"""),113549.0)</f>
        <v>113549</v>
      </c>
    </row>
    <row r="1085">
      <c r="A1085" s="2">
        <f>IFERROR(__xludf.DUMMYFUNCTION("""COMPUTED_VALUE"""),42522.64583333333)</f>
        <v>42522.64583</v>
      </c>
      <c r="B1085" s="1">
        <f>IFERROR(__xludf.DUMMYFUNCTION("""COMPUTED_VALUE"""),13500.0)</f>
        <v>13500</v>
      </c>
      <c r="C1085" s="1">
        <f>IFERROR(__xludf.DUMMYFUNCTION("""COMPUTED_VALUE"""),13500.0)</f>
        <v>13500</v>
      </c>
      <c r="D1085" s="1">
        <f>IFERROR(__xludf.DUMMYFUNCTION("""COMPUTED_VALUE"""),13150.0)</f>
        <v>13150</v>
      </c>
      <c r="E1085" s="1">
        <f>IFERROR(__xludf.DUMMYFUNCTION("""COMPUTED_VALUE"""),13350.0)</f>
        <v>13350</v>
      </c>
      <c r="F1085" s="1">
        <f>IFERROR(__xludf.DUMMYFUNCTION("""COMPUTED_VALUE"""),30981.0)</f>
        <v>30981</v>
      </c>
    </row>
    <row r="1086">
      <c r="A1086" s="2">
        <f>IFERROR(__xludf.DUMMYFUNCTION("""COMPUTED_VALUE"""),42523.64583333333)</f>
        <v>42523.64583</v>
      </c>
      <c r="B1086" s="1">
        <f>IFERROR(__xludf.DUMMYFUNCTION("""COMPUTED_VALUE"""),13350.0)</f>
        <v>13350</v>
      </c>
      <c r="C1086" s="1">
        <f>IFERROR(__xludf.DUMMYFUNCTION("""COMPUTED_VALUE"""),13350.0)</f>
        <v>13350</v>
      </c>
      <c r="D1086" s="1">
        <f>IFERROR(__xludf.DUMMYFUNCTION("""COMPUTED_VALUE"""),12550.0)</f>
        <v>12550</v>
      </c>
      <c r="E1086" s="1">
        <f>IFERROR(__xludf.DUMMYFUNCTION("""COMPUTED_VALUE"""),12850.0)</f>
        <v>12850</v>
      </c>
      <c r="F1086" s="1">
        <f>IFERROR(__xludf.DUMMYFUNCTION("""COMPUTED_VALUE"""),53945.0)</f>
        <v>53945</v>
      </c>
    </row>
    <row r="1087">
      <c r="A1087" s="2">
        <f>IFERROR(__xludf.DUMMYFUNCTION("""COMPUTED_VALUE"""),42524.64583333333)</f>
        <v>42524.64583</v>
      </c>
      <c r="B1087" s="1">
        <f>IFERROR(__xludf.DUMMYFUNCTION("""COMPUTED_VALUE"""),12800.0)</f>
        <v>12800</v>
      </c>
      <c r="C1087" s="1">
        <f>IFERROR(__xludf.DUMMYFUNCTION("""COMPUTED_VALUE"""),13050.0)</f>
        <v>13050</v>
      </c>
      <c r="D1087" s="1">
        <f>IFERROR(__xludf.DUMMYFUNCTION("""COMPUTED_VALUE"""),12700.0)</f>
        <v>12700</v>
      </c>
      <c r="E1087" s="1">
        <f>IFERROR(__xludf.DUMMYFUNCTION("""COMPUTED_VALUE"""),12850.0)</f>
        <v>12850</v>
      </c>
      <c r="F1087" s="1">
        <f>IFERROR(__xludf.DUMMYFUNCTION("""COMPUTED_VALUE"""),43755.0)</f>
        <v>43755</v>
      </c>
    </row>
    <row r="1088">
      <c r="A1088" s="2">
        <f>IFERROR(__xludf.DUMMYFUNCTION("""COMPUTED_VALUE"""),42528.64583333333)</f>
        <v>42528.64583</v>
      </c>
      <c r="B1088" s="1">
        <f>IFERROR(__xludf.DUMMYFUNCTION("""COMPUTED_VALUE"""),12850.0)</f>
        <v>12850</v>
      </c>
      <c r="C1088" s="1">
        <f>IFERROR(__xludf.DUMMYFUNCTION("""COMPUTED_VALUE"""),12950.0)</f>
        <v>12950</v>
      </c>
      <c r="D1088" s="1">
        <f>IFERROR(__xludf.DUMMYFUNCTION("""COMPUTED_VALUE"""),12550.0)</f>
        <v>12550</v>
      </c>
      <c r="E1088" s="1">
        <f>IFERROR(__xludf.DUMMYFUNCTION("""COMPUTED_VALUE"""),12650.0)</f>
        <v>12650</v>
      </c>
      <c r="F1088" s="1">
        <f>IFERROR(__xludf.DUMMYFUNCTION("""COMPUTED_VALUE"""),54241.0)</f>
        <v>54241</v>
      </c>
    </row>
    <row r="1089">
      <c r="A1089" s="2">
        <f>IFERROR(__xludf.DUMMYFUNCTION("""COMPUTED_VALUE"""),42529.64583333333)</f>
        <v>42529.64583</v>
      </c>
      <c r="B1089" s="1">
        <f>IFERROR(__xludf.DUMMYFUNCTION("""COMPUTED_VALUE"""),12750.0)</f>
        <v>12750</v>
      </c>
      <c r="C1089" s="1">
        <f>IFERROR(__xludf.DUMMYFUNCTION("""COMPUTED_VALUE"""),12750.0)</f>
        <v>12750</v>
      </c>
      <c r="D1089" s="1">
        <f>IFERROR(__xludf.DUMMYFUNCTION("""COMPUTED_VALUE"""),12200.0)</f>
        <v>12200</v>
      </c>
      <c r="E1089" s="1">
        <f>IFERROR(__xludf.DUMMYFUNCTION("""COMPUTED_VALUE"""),12300.0)</f>
        <v>12300</v>
      </c>
      <c r="F1089" s="1">
        <f>IFERROR(__xludf.DUMMYFUNCTION("""COMPUTED_VALUE"""),35810.0)</f>
        <v>35810</v>
      </c>
    </row>
    <row r="1090">
      <c r="A1090" s="2">
        <f>IFERROR(__xludf.DUMMYFUNCTION("""COMPUTED_VALUE"""),42530.64583333333)</f>
        <v>42530.64583</v>
      </c>
      <c r="B1090" s="1">
        <f>IFERROR(__xludf.DUMMYFUNCTION("""COMPUTED_VALUE"""),12300.0)</f>
        <v>12300</v>
      </c>
      <c r="C1090" s="1">
        <f>IFERROR(__xludf.DUMMYFUNCTION("""COMPUTED_VALUE"""),12550.0)</f>
        <v>12550</v>
      </c>
      <c r="D1090" s="1">
        <f>IFERROR(__xludf.DUMMYFUNCTION("""COMPUTED_VALUE"""),12150.0)</f>
        <v>12150</v>
      </c>
      <c r="E1090" s="1">
        <f>IFERROR(__xludf.DUMMYFUNCTION("""COMPUTED_VALUE"""),12150.0)</f>
        <v>12150</v>
      </c>
      <c r="F1090" s="1">
        <f>IFERROR(__xludf.DUMMYFUNCTION("""COMPUTED_VALUE"""),25426.0)</f>
        <v>25426</v>
      </c>
    </row>
    <row r="1091">
      <c r="A1091" s="2">
        <f>IFERROR(__xludf.DUMMYFUNCTION("""COMPUTED_VALUE"""),42531.64583333333)</f>
        <v>42531.64583</v>
      </c>
      <c r="B1091" s="1">
        <f>IFERROR(__xludf.DUMMYFUNCTION("""COMPUTED_VALUE"""),12250.0)</f>
        <v>12250</v>
      </c>
      <c r="C1091" s="1">
        <f>IFERROR(__xludf.DUMMYFUNCTION("""COMPUTED_VALUE"""),12750.0)</f>
        <v>12750</v>
      </c>
      <c r="D1091" s="1">
        <f>IFERROR(__xludf.DUMMYFUNCTION("""COMPUTED_VALUE"""),12200.0)</f>
        <v>12200</v>
      </c>
      <c r="E1091" s="1">
        <f>IFERROR(__xludf.DUMMYFUNCTION("""COMPUTED_VALUE"""),12300.0)</f>
        <v>12300</v>
      </c>
      <c r="F1091" s="1">
        <f>IFERROR(__xludf.DUMMYFUNCTION("""COMPUTED_VALUE"""),35484.0)</f>
        <v>35484</v>
      </c>
    </row>
    <row r="1092">
      <c r="A1092" s="2">
        <f>IFERROR(__xludf.DUMMYFUNCTION("""COMPUTED_VALUE"""),42534.64583333333)</f>
        <v>42534.64583</v>
      </c>
      <c r="B1092" s="1">
        <f>IFERROR(__xludf.DUMMYFUNCTION("""COMPUTED_VALUE"""),12300.0)</f>
        <v>12300</v>
      </c>
      <c r="C1092" s="1">
        <f>IFERROR(__xludf.DUMMYFUNCTION("""COMPUTED_VALUE"""),12400.0)</f>
        <v>12400</v>
      </c>
      <c r="D1092" s="1">
        <f>IFERROR(__xludf.DUMMYFUNCTION("""COMPUTED_VALUE"""),12000.0)</f>
        <v>12000</v>
      </c>
      <c r="E1092" s="1">
        <f>IFERROR(__xludf.DUMMYFUNCTION("""COMPUTED_VALUE"""),12200.0)</f>
        <v>12200</v>
      </c>
      <c r="F1092" s="1">
        <f>IFERROR(__xludf.DUMMYFUNCTION("""COMPUTED_VALUE"""),30294.0)</f>
        <v>30294</v>
      </c>
    </row>
    <row r="1093">
      <c r="A1093" s="2">
        <f>IFERROR(__xludf.DUMMYFUNCTION("""COMPUTED_VALUE"""),42535.64583333333)</f>
        <v>42535.64583</v>
      </c>
      <c r="B1093" s="1">
        <f>IFERROR(__xludf.DUMMYFUNCTION("""COMPUTED_VALUE"""),12150.0)</f>
        <v>12150</v>
      </c>
      <c r="C1093" s="1">
        <f>IFERROR(__xludf.DUMMYFUNCTION("""COMPUTED_VALUE"""),12250.0)</f>
        <v>12250</v>
      </c>
      <c r="D1093" s="1">
        <f>IFERROR(__xludf.DUMMYFUNCTION("""COMPUTED_VALUE"""),11950.0)</f>
        <v>11950</v>
      </c>
      <c r="E1093" s="1">
        <f>IFERROR(__xludf.DUMMYFUNCTION("""COMPUTED_VALUE"""),12000.0)</f>
        <v>12000</v>
      </c>
      <c r="F1093" s="1">
        <f>IFERROR(__xludf.DUMMYFUNCTION("""COMPUTED_VALUE"""),26056.0)</f>
        <v>26056</v>
      </c>
    </row>
    <row r="1094">
      <c r="A1094" s="2">
        <f>IFERROR(__xludf.DUMMYFUNCTION("""COMPUTED_VALUE"""),42536.64583333333)</f>
        <v>42536.64583</v>
      </c>
      <c r="B1094" s="1">
        <f>IFERROR(__xludf.DUMMYFUNCTION("""COMPUTED_VALUE"""),12000.0)</f>
        <v>12000</v>
      </c>
      <c r="C1094" s="1">
        <f>IFERROR(__xludf.DUMMYFUNCTION("""COMPUTED_VALUE"""),12200.0)</f>
        <v>12200</v>
      </c>
      <c r="D1094" s="1">
        <f>IFERROR(__xludf.DUMMYFUNCTION("""COMPUTED_VALUE"""),11850.0)</f>
        <v>11850</v>
      </c>
      <c r="E1094" s="1">
        <f>IFERROR(__xludf.DUMMYFUNCTION("""COMPUTED_VALUE"""),12000.0)</f>
        <v>12000</v>
      </c>
      <c r="F1094" s="1">
        <f>IFERROR(__xludf.DUMMYFUNCTION("""COMPUTED_VALUE"""),12680.0)</f>
        <v>12680</v>
      </c>
    </row>
    <row r="1095">
      <c r="A1095" s="2">
        <f>IFERROR(__xludf.DUMMYFUNCTION("""COMPUTED_VALUE"""),42537.64583333333)</f>
        <v>42537.64583</v>
      </c>
      <c r="B1095" s="1">
        <f>IFERROR(__xludf.DUMMYFUNCTION("""COMPUTED_VALUE"""),11900.0)</f>
        <v>11900</v>
      </c>
      <c r="C1095" s="1">
        <f>IFERROR(__xludf.DUMMYFUNCTION("""COMPUTED_VALUE"""),12150.0)</f>
        <v>12150</v>
      </c>
      <c r="D1095" s="1">
        <f>IFERROR(__xludf.DUMMYFUNCTION("""COMPUTED_VALUE"""),11700.0)</f>
        <v>11700</v>
      </c>
      <c r="E1095" s="1">
        <f>IFERROR(__xludf.DUMMYFUNCTION("""COMPUTED_VALUE"""),11900.0)</f>
        <v>11900</v>
      </c>
      <c r="F1095" s="1">
        <f>IFERROR(__xludf.DUMMYFUNCTION("""COMPUTED_VALUE"""),33296.0)</f>
        <v>33296</v>
      </c>
    </row>
    <row r="1096">
      <c r="A1096" s="2">
        <f>IFERROR(__xludf.DUMMYFUNCTION("""COMPUTED_VALUE"""),42538.64583333333)</f>
        <v>42538.64583</v>
      </c>
      <c r="B1096" s="1">
        <f>IFERROR(__xludf.DUMMYFUNCTION("""COMPUTED_VALUE"""),11900.0)</f>
        <v>11900</v>
      </c>
      <c r="C1096" s="1">
        <f>IFERROR(__xludf.DUMMYFUNCTION("""COMPUTED_VALUE"""),12300.0)</f>
        <v>12300</v>
      </c>
      <c r="D1096" s="1">
        <f>IFERROR(__xludf.DUMMYFUNCTION("""COMPUTED_VALUE"""),11500.0)</f>
        <v>11500</v>
      </c>
      <c r="E1096" s="1">
        <f>IFERROR(__xludf.DUMMYFUNCTION("""COMPUTED_VALUE"""),11800.0)</f>
        <v>11800</v>
      </c>
      <c r="F1096" s="1">
        <f>IFERROR(__xludf.DUMMYFUNCTION("""COMPUTED_VALUE"""),58474.0)</f>
        <v>58474</v>
      </c>
    </row>
    <row r="1097">
      <c r="A1097" s="2">
        <f>IFERROR(__xludf.DUMMYFUNCTION("""COMPUTED_VALUE"""),42541.64583333333)</f>
        <v>42541.64583</v>
      </c>
      <c r="B1097" s="1">
        <f>IFERROR(__xludf.DUMMYFUNCTION("""COMPUTED_VALUE"""),11900.0)</f>
        <v>11900</v>
      </c>
      <c r="C1097" s="1">
        <f>IFERROR(__xludf.DUMMYFUNCTION("""COMPUTED_VALUE"""),12000.0)</f>
        <v>12000</v>
      </c>
      <c r="D1097" s="1">
        <f>IFERROR(__xludf.DUMMYFUNCTION("""COMPUTED_VALUE"""),11700.0)</f>
        <v>11700</v>
      </c>
      <c r="E1097" s="1">
        <f>IFERROR(__xludf.DUMMYFUNCTION("""COMPUTED_VALUE"""),11850.0)</f>
        <v>11850</v>
      </c>
      <c r="F1097" s="1">
        <f>IFERROR(__xludf.DUMMYFUNCTION("""COMPUTED_VALUE"""),12356.0)</f>
        <v>12356</v>
      </c>
    </row>
    <row r="1098">
      <c r="A1098" s="2">
        <f>IFERROR(__xludf.DUMMYFUNCTION("""COMPUTED_VALUE"""),42542.64583333333)</f>
        <v>42542.64583</v>
      </c>
      <c r="B1098" s="1">
        <f>IFERROR(__xludf.DUMMYFUNCTION("""COMPUTED_VALUE"""),11900.0)</f>
        <v>11900</v>
      </c>
      <c r="C1098" s="1">
        <f>IFERROR(__xludf.DUMMYFUNCTION("""COMPUTED_VALUE"""),12200.0)</f>
        <v>12200</v>
      </c>
      <c r="D1098" s="1">
        <f>IFERROR(__xludf.DUMMYFUNCTION("""COMPUTED_VALUE"""),11750.0)</f>
        <v>11750</v>
      </c>
      <c r="E1098" s="1">
        <f>IFERROR(__xludf.DUMMYFUNCTION("""COMPUTED_VALUE"""),11900.0)</f>
        <v>11900</v>
      </c>
      <c r="F1098" s="1">
        <f>IFERROR(__xludf.DUMMYFUNCTION("""COMPUTED_VALUE"""),13065.0)</f>
        <v>13065</v>
      </c>
    </row>
    <row r="1099">
      <c r="A1099" s="2">
        <f>IFERROR(__xludf.DUMMYFUNCTION("""COMPUTED_VALUE"""),42543.64583333333)</f>
        <v>42543.64583</v>
      </c>
      <c r="B1099" s="1">
        <f>IFERROR(__xludf.DUMMYFUNCTION("""COMPUTED_VALUE"""),11750.0)</f>
        <v>11750</v>
      </c>
      <c r="C1099" s="1">
        <f>IFERROR(__xludf.DUMMYFUNCTION("""COMPUTED_VALUE"""),12150.0)</f>
        <v>12150</v>
      </c>
      <c r="D1099" s="1">
        <f>IFERROR(__xludf.DUMMYFUNCTION("""COMPUTED_VALUE"""),11750.0)</f>
        <v>11750</v>
      </c>
      <c r="E1099" s="1">
        <f>IFERROR(__xludf.DUMMYFUNCTION("""COMPUTED_VALUE"""),11750.0)</f>
        <v>11750</v>
      </c>
      <c r="F1099" s="1">
        <f>IFERROR(__xludf.DUMMYFUNCTION("""COMPUTED_VALUE"""),13703.0)</f>
        <v>13703</v>
      </c>
    </row>
    <row r="1100">
      <c r="A1100" s="2">
        <f>IFERROR(__xludf.DUMMYFUNCTION("""COMPUTED_VALUE"""),42544.64583333333)</f>
        <v>42544.64583</v>
      </c>
      <c r="B1100" s="1">
        <f>IFERROR(__xludf.DUMMYFUNCTION("""COMPUTED_VALUE"""),11800.0)</f>
        <v>11800</v>
      </c>
      <c r="C1100" s="1">
        <f>IFERROR(__xludf.DUMMYFUNCTION("""COMPUTED_VALUE"""),11900.0)</f>
        <v>11900</v>
      </c>
      <c r="D1100" s="1">
        <f>IFERROR(__xludf.DUMMYFUNCTION("""COMPUTED_VALUE"""),11450.0)</f>
        <v>11450</v>
      </c>
      <c r="E1100" s="1">
        <f>IFERROR(__xludf.DUMMYFUNCTION("""COMPUTED_VALUE"""),11550.0)</f>
        <v>11550</v>
      </c>
      <c r="F1100" s="1">
        <f>IFERROR(__xludf.DUMMYFUNCTION("""COMPUTED_VALUE"""),14664.0)</f>
        <v>14664</v>
      </c>
    </row>
    <row r="1101">
      <c r="A1101" s="2">
        <f>IFERROR(__xludf.DUMMYFUNCTION("""COMPUTED_VALUE"""),42545.64583333333)</f>
        <v>42545.64583</v>
      </c>
      <c r="B1101" s="1">
        <f>IFERROR(__xludf.DUMMYFUNCTION("""COMPUTED_VALUE"""),11650.0)</f>
        <v>11650</v>
      </c>
      <c r="C1101" s="1">
        <f>IFERROR(__xludf.DUMMYFUNCTION("""COMPUTED_VALUE"""),11800.0)</f>
        <v>11800</v>
      </c>
      <c r="D1101" s="1">
        <f>IFERROR(__xludf.DUMMYFUNCTION("""COMPUTED_VALUE"""),10100.0)</f>
        <v>10100</v>
      </c>
      <c r="E1101" s="1">
        <f>IFERROR(__xludf.DUMMYFUNCTION("""COMPUTED_VALUE"""),10900.0)</f>
        <v>10900</v>
      </c>
      <c r="F1101" s="1">
        <f>IFERROR(__xludf.DUMMYFUNCTION("""COMPUTED_VALUE"""),71661.0)</f>
        <v>71661</v>
      </c>
    </row>
    <row r="1102">
      <c r="A1102" s="2">
        <f>IFERROR(__xludf.DUMMYFUNCTION("""COMPUTED_VALUE"""),42548.64583333333)</f>
        <v>42548.64583</v>
      </c>
      <c r="B1102" s="1">
        <f>IFERROR(__xludf.DUMMYFUNCTION("""COMPUTED_VALUE"""),10450.0)</f>
        <v>10450</v>
      </c>
      <c r="C1102" s="1">
        <f>IFERROR(__xludf.DUMMYFUNCTION("""COMPUTED_VALUE"""),10900.0)</f>
        <v>10900</v>
      </c>
      <c r="D1102" s="1">
        <f>IFERROR(__xludf.DUMMYFUNCTION("""COMPUTED_VALUE"""),10400.0)</f>
        <v>10400</v>
      </c>
      <c r="E1102" s="1">
        <f>IFERROR(__xludf.DUMMYFUNCTION("""COMPUTED_VALUE"""),10500.0)</f>
        <v>10500</v>
      </c>
      <c r="F1102" s="1">
        <f>IFERROR(__xludf.DUMMYFUNCTION("""COMPUTED_VALUE"""),70750.0)</f>
        <v>70750</v>
      </c>
    </row>
    <row r="1103">
      <c r="A1103" s="2">
        <f>IFERROR(__xludf.DUMMYFUNCTION("""COMPUTED_VALUE"""),42549.64583333333)</f>
        <v>42549.64583</v>
      </c>
      <c r="B1103" s="1">
        <f>IFERROR(__xludf.DUMMYFUNCTION("""COMPUTED_VALUE"""),10400.0)</f>
        <v>10400</v>
      </c>
      <c r="C1103" s="1">
        <f>IFERROR(__xludf.DUMMYFUNCTION("""COMPUTED_VALUE"""),10900.0)</f>
        <v>10900</v>
      </c>
      <c r="D1103" s="1">
        <f>IFERROR(__xludf.DUMMYFUNCTION("""COMPUTED_VALUE"""),10350.0)</f>
        <v>10350</v>
      </c>
      <c r="E1103" s="1">
        <f>IFERROR(__xludf.DUMMYFUNCTION("""COMPUTED_VALUE"""),10750.0)</f>
        <v>10750</v>
      </c>
      <c r="F1103" s="1">
        <f>IFERROR(__xludf.DUMMYFUNCTION("""COMPUTED_VALUE"""),29181.0)</f>
        <v>29181</v>
      </c>
    </row>
    <row r="1104">
      <c r="A1104" s="2">
        <f>IFERROR(__xludf.DUMMYFUNCTION("""COMPUTED_VALUE"""),42550.64583333333)</f>
        <v>42550.64583</v>
      </c>
      <c r="B1104" s="1">
        <f>IFERROR(__xludf.DUMMYFUNCTION("""COMPUTED_VALUE"""),10900.0)</f>
        <v>10900</v>
      </c>
      <c r="C1104" s="1">
        <f>IFERROR(__xludf.DUMMYFUNCTION("""COMPUTED_VALUE"""),11800.0)</f>
        <v>11800</v>
      </c>
      <c r="D1104" s="1">
        <f>IFERROR(__xludf.DUMMYFUNCTION("""COMPUTED_VALUE"""),10900.0)</f>
        <v>10900</v>
      </c>
      <c r="E1104" s="1">
        <f>IFERROR(__xludf.DUMMYFUNCTION("""COMPUTED_VALUE"""),11250.0)</f>
        <v>11250</v>
      </c>
      <c r="F1104" s="1">
        <f>IFERROR(__xludf.DUMMYFUNCTION("""COMPUTED_VALUE"""),105567.0)</f>
        <v>105567</v>
      </c>
    </row>
    <row r="1105">
      <c r="A1105" s="2">
        <f>IFERROR(__xludf.DUMMYFUNCTION("""COMPUTED_VALUE"""),42551.64583333333)</f>
        <v>42551.64583</v>
      </c>
      <c r="B1105" s="1">
        <f>IFERROR(__xludf.DUMMYFUNCTION("""COMPUTED_VALUE"""),11200.0)</f>
        <v>11200</v>
      </c>
      <c r="C1105" s="1">
        <f>IFERROR(__xludf.DUMMYFUNCTION("""COMPUTED_VALUE"""),11350.0)</f>
        <v>11350</v>
      </c>
      <c r="D1105" s="1">
        <f>IFERROR(__xludf.DUMMYFUNCTION("""COMPUTED_VALUE"""),11000.0)</f>
        <v>11000</v>
      </c>
      <c r="E1105" s="1">
        <f>IFERROR(__xludf.DUMMYFUNCTION("""COMPUTED_VALUE"""),11250.0)</f>
        <v>11250</v>
      </c>
      <c r="F1105" s="1">
        <f>IFERROR(__xludf.DUMMYFUNCTION("""COMPUTED_VALUE"""),28847.0)</f>
        <v>28847</v>
      </c>
    </row>
    <row r="1106">
      <c r="A1106" s="2">
        <f>IFERROR(__xludf.DUMMYFUNCTION("""COMPUTED_VALUE"""),42552.64583333333)</f>
        <v>42552.64583</v>
      </c>
      <c r="B1106" s="1">
        <f>IFERROR(__xludf.DUMMYFUNCTION("""COMPUTED_VALUE"""),11300.0)</f>
        <v>11300</v>
      </c>
      <c r="C1106" s="1">
        <f>IFERROR(__xludf.DUMMYFUNCTION("""COMPUTED_VALUE"""),11450.0)</f>
        <v>11450</v>
      </c>
      <c r="D1106" s="1">
        <f>IFERROR(__xludf.DUMMYFUNCTION("""COMPUTED_VALUE"""),11150.0)</f>
        <v>11150</v>
      </c>
      <c r="E1106" s="1">
        <f>IFERROR(__xludf.DUMMYFUNCTION("""COMPUTED_VALUE"""),11400.0)</f>
        <v>11400</v>
      </c>
      <c r="F1106" s="1">
        <f>IFERROR(__xludf.DUMMYFUNCTION("""COMPUTED_VALUE"""),15411.0)</f>
        <v>15411</v>
      </c>
    </row>
    <row r="1107">
      <c r="A1107" s="2">
        <f>IFERROR(__xludf.DUMMYFUNCTION("""COMPUTED_VALUE"""),42555.64583333333)</f>
        <v>42555.64583</v>
      </c>
      <c r="B1107" s="1">
        <f>IFERROR(__xludf.DUMMYFUNCTION("""COMPUTED_VALUE"""),11500.0)</f>
        <v>11500</v>
      </c>
      <c r="C1107" s="1">
        <f>IFERROR(__xludf.DUMMYFUNCTION("""COMPUTED_VALUE"""),11500.0)</f>
        <v>11500</v>
      </c>
      <c r="D1107" s="1">
        <f>IFERROR(__xludf.DUMMYFUNCTION("""COMPUTED_VALUE"""),11200.0)</f>
        <v>11200</v>
      </c>
      <c r="E1107" s="1">
        <f>IFERROR(__xludf.DUMMYFUNCTION("""COMPUTED_VALUE"""),11350.0)</f>
        <v>11350</v>
      </c>
      <c r="F1107" s="1">
        <f>IFERROR(__xludf.DUMMYFUNCTION("""COMPUTED_VALUE"""),20839.0)</f>
        <v>20839</v>
      </c>
    </row>
    <row r="1108">
      <c r="A1108" s="2">
        <f>IFERROR(__xludf.DUMMYFUNCTION("""COMPUTED_VALUE"""),42556.64583333333)</f>
        <v>42556.64583</v>
      </c>
      <c r="B1108" s="1">
        <f>IFERROR(__xludf.DUMMYFUNCTION("""COMPUTED_VALUE"""),11450.0)</f>
        <v>11450</v>
      </c>
      <c r="C1108" s="1">
        <f>IFERROR(__xludf.DUMMYFUNCTION("""COMPUTED_VALUE"""),11450.0)</f>
        <v>11450</v>
      </c>
      <c r="D1108" s="1">
        <f>IFERROR(__xludf.DUMMYFUNCTION("""COMPUTED_VALUE"""),11200.0)</f>
        <v>11200</v>
      </c>
      <c r="E1108" s="1">
        <f>IFERROR(__xludf.DUMMYFUNCTION("""COMPUTED_VALUE"""),11400.0)</f>
        <v>11400</v>
      </c>
      <c r="F1108" s="1">
        <f>IFERROR(__xludf.DUMMYFUNCTION("""COMPUTED_VALUE"""),10119.0)</f>
        <v>10119</v>
      </c>
    </row>
    <row r="1109">
      <c r="A1109" s="2">
        <f>IFERROR(__xludf.DUMMYFUNCTION("""COMPUTED_VALUE"""),42557.64583333333)</f>
        <v>42557.64583</v>
      </c>
      <c r="B1109" s="1">
        <f>IFERROR(__xludf.DUMMYFUNCTION("""COMPUTED_VALUE"""),11250.0)</f>
        <v>11250</v>
      </c>
      <c r="C1109" s="1">
        <f>IFERROR(__xludf.DUMMYFUNCTION("""COMPUTED_VALUE"""),11500.0)</f>
        <v>11500</v>
      </c>
      <c r="D1109" s="1">
        <f>IFERROR(__xludf.DUMMYFUNCTION("""COMPUTED_VALUE"""),10750.0)</f>
        <v>10750</v>
      </c>
      <c r="E1109" s="1">
        <f>IFERROR(__xludf.DUMMYFUNCTION("""COMPUTED_VALUE"""),10900.0)</f>
        <v>10900</v>
      </c>
      <c r="F1109" s="1">
        <f>IFERROR(__xludf.DUMMYFUNCTION("""COMPUTED_VALUE"""),45783.0)</f>
        <v>45783</v>
      </c>
    </row>
    <row r="1110">
      <c r="A1110" s="2">
        <f>IFERROR(__xludf.DUMMYFUNCTION("""COMPUTED_VALUE"""),42558.64583333333)</f>
        <v>42558.64583</v>
      </c>
      <c r="B1110" s="1">
        <f>IFERROR(__xludf.DUMMYFUNCTION("""COMPUTED_VALUE"""),10950.0)</f>
        <v>10950</v>
      </c>
      <c r="C1110" s="1">
        <f>IFERROR(__xludf.DUMMYFUNCTION("""COMPUTED_VALUE"""),11300.0)</f>
        <v>11300</v>
      </c>
      <c r="D1110" s="1">
        <f>IFERROR(__xludf.DUMMYFUNCTION("""COMPUTED_VALUE"""),10850.0)</f>
        <v>10850</v>
      </c>
      <c r="E1110" s="1">
        <f>IFERROR(__xludf.DUMMYFUNCTION("""COMPUTED_VALUE"""),11100.0)</f>
        <v>11100</v>
      </c>
      <c r="F1110" s="1">
        <f>IFERROR(__xludf.DUMMYFUNCTION("""COMPUTED_VALUE"""),52285.0)</f>
        <v>52285</v>
      </c>
    </row>
    <row r="1111">
      <c r="A1111" s="2">
        <f>IFERROR(__xludf.DUMMYFUNCTION("""COMPUTED_VALUE"""),42559.64583333333)</f>
        <v>42559.64583</v>
      </c>
      <c r="B1111" s="1">
        <f>IFERROR(__xludf.DUMMYFUNCTION("""COMPUTED_VALUE"""),11000.0)</f>
        <v>11000</v>
      </c>
      <c r="C1111" s="1">
        <f>IFERROR(__xludf.DUMMYFUNCTION("""COMPUTED_VALUE"""),11300.0)</f>
        <v>11300</v>
      </c>
      <c r="D1111" s="1">
        <f>IFERROR(__xludf.DUMMYFUNCTION("""COMPUTED_VALUE"""),10800.0)</f>
        <v>10800</v>
      </c>
      <c r="E1111" s="1">
        <f>IFERROR(__xludf.DUMMYFUNCTION("""COMPUTED_VALUE"""),10850.0)</f>
        <v>10850</v>
      </c>
      <c r="F1111" s="1">
        <f>IFERROR(__xludf.DUMMYFUNCTION("""COMPUTED_VALUE"""),32753.0)</f>
        <v>32753</v>
      </c>
    </row>
    <row r="1112">
      <c r="A1112" s="2">
        <f>IFERROR(__xludf.DUMMYFUNCTION("""COMPUTED_VALUE"""),42562.64583333333)</f>
        <v>42562.64583</v>
      </c>
      <c r="B1112" s="1">
        <f>IFERROR(__xludf.DUMMYFUNCTION("""COMPUTED_VALUE"""),11000.0)</f>
        <v>11000</v>
      </c>
      <c r="C1112" s="1">
        <f>IFERROR(__xludf.DUMMYFUNCTION("""COMPUTED_VALUE"""),11050.0)</f>
        <v>11050</v>
      </c>
      <c r="D1112" s="1">
        <f>IFERROR(__xludf.DUMMYFUNCTION("""COMPUTED_VALUE"""),10600.0)</f>
        <v>10600</v>
      </c>
      <c r="E1112" s="1">
        <f>IFERROR(__xludf.DUMMYFUNCTION("""COMPUTED_VALUE"""),10900.0)</f>
        <v>10900</v>
      </c>
      <c r="F1112" s="1">
        <f>IFERROR(__xludf.DUMMYFUNCTION("""COMPUTED_VALUE"""),28910.0)</f>
        <v>28910</v>
      </c>
    </row>
    <row r="1113">
      <c r="A1113" s="2">
        <f>IFERROR(__xludf.DUMMYFUNCTION("""COMPUTED_VALUE"""),42563.64583333333)</f>
        <v>42563.64583</v>
      </c>
      <c r="B1113" s="1">
        <f>IFERROR(__xludf.DUMMYFUNCTION("""COMPUTED_VALUE"""),10900.0)</f>
        <v>10900</v>
      </c>
      <c r="C1113" s="1">
        <f>IFERROR(__xludf.DUMMYFUNCTION("""COMPUTED_VALUE"""),12100.0)</f>
        <v>12100</v>
      </c>
      <c r="D1113" s="1">
        <f>IFERROR(__xludf.DUMMYFUNCTION("""COMPUTED_VALUE"""),10900.0)</f>
        <v>10900</v>
      </c>
      <c r="E1113" s="1">
        <f>IFERROR(__xludf.DUMMYFUNCTION("""COMPUTED_VALUE"""),11850.0)</f>
        <v>11850</v>
      </c>
      <c r="F1113" s="1">
        <f>IFERROR(__xludf.DUMMYFUNCTION("""COMPUTED_VALUE"""),139205.0)</f>
        <v>139205</v>
      </c>
    </row>
    <row r="1114">
      <c r="A1114" s="2">
        <f>IFERROR(__xludf.DUMMYFUNCTION("""COMPUTED_VALUE"""),42564.64583333333)</f>
        <v>42564.64583</v>
      </c>
      <c r="B1114" s="1">
        <f>IFERROR(__xludf.DUMMYFUNCTION("""COMPUTED_VALUE"""),11850.0)</f>
        <v>11850</v>
      </c>
      <c r="C1114" s="1">
        <f>IFERROR(__xludf.DUMMYFUNCTION("""COMPUTED_VALUE"""),12100.0)</f>
        <v>12100</v>
      </c>
      <c r="D1114" s="1">
        <f>IFERROR(__xludf.DUMMYFUNCTION("""COMPUTED_VALUE"""),11450.0)</f>
        <v>11450</v>
      </c>
      <c r="E1114" s="1">
        <f>IFERROR(__xludf.DUMMYFUNCTION("""COMPUTED_VALUE"""),11600.0)</f>
        <v>11600</v>
      </c>
      <c r="F1114" s="1">
        <f>IFERROR(__xludf.DUMMYFUNCTION("""COMPUTED_VALUE"""),57719.0)</f>
        <v>57719</v>
      </c>
    </row>
    <row r="1115">
      <c r="A1115" s="2">
        <f>IFERROR(__xludf.DUMMYFUNCTION("""COMPUTED_VALUE"""),42565.64583333333)</f>
        <v>42565.64583</v>
      </c>
      <c r="B1115" s="1">
        <f>IFERROR(__xludf.DUMMYFUNCTION("""COMPUTED_VALUE"""),11650.0)</f>
        <v>11650</v>
      </c>
      <c r="C1115" s="1">
        <f>IFERROR(__xludf.DUMMYFUNCTION("""COMPUTED_VALUE"""),13250.0)</f>
        <v>13250</v>
      </c>
      <c r="D1115" s="1">
        <f>IFERROR(__xludf.DUMMYFUNCTION("""COMPUTED_VALUE"""),11650.0)</f>
        <v>11650</v>
      </c>
      <c r="E1115" s="1">
        <f>IFERROR(__xludf.DUMMYFUNCTION("""COMPUTED_VALUE"""),12300.0)</f>
        <v>12300</v>
      </c>
      <c r="F1115" s="1">
        <f>IFERROR(__xludf.DUMMYFUNCTION("""COMPUTED_VALUE"""),365301.0)</f>
        <v>365301</v>
      </c>
    </row>
    <row r="1116">
      <c r="A1116" s="2">
        <f>IFERROR(__xludf.DUMMYFUNCTION("""COMPUTED_VALUE"""),42566.64583333333)</f>
        <v>42566.64583</v>
      </c>
      <c r="B1116" s="1">
        <f>IFERROR(__xludf.DUMMYFUNCTION("""COMPUTED_VALUE"""),12350.0)</f>
        <v>12350</v>
      </c>
      <c r="C1116" s="1">
        <f>IFERROR(__xludf.DUMMYFUNCTION("""COMPUTED_VALUE"""),12800.0)</f>
        <v>12800</v>
      </c>
      <c r="D1116" s="1">
        <f>IFERROR(__xludf.DUMMYFUNCTION("""COMPUTED_VALUE"""),12200.0)</f>
        <v>12200</v>
      </c>
      <c r="E1116" s="1">
        <f>IFERROR(__xludf.DUMMYFUNCTION("""COMPUTED_VALUE"""),12250.0)</f>
        <v>12250</v>
      </c>
      <c r="F1116" s="1">
        <f>IFERROR(__xludf.DUMMYFUNCTION("""COMPUTED_VALUE"""),114188.0)</f>
        <v>114188</v>
      </c>
    </row>
    <row r="1117">
      <c r="A1117" s="2">
        <f>IFERROR(__xludf.DUMMYFUNCTION("""COMPUTED_VALUE"""),42569.64583333333)</f>
        <v>42569.64583</v>
      </c>
      <c r="B1117" s="1">
        <f>IFERROR(__xludf.DUMMYFUNCTION("""COMPUTED_VALUE"""),12650.0)</f>
        <v>12650</v>
      </c>
      <c r="C1117" s="1">
        <f>IFERROR(__xludf.DUMMYFUNCTION("""COMPUTED_VALUE"""),13250.0)</f>
        <v>13250</v>
      </c>
      <c r="D1117" s="1">
        <f>IFERROR(__xludf.DUMMYFUNCTION("""COMPUTED_VALUE"""),12500.0)</f>
        <v>12500</v>
      </c>
      <c r="E1117" s="1">
        <f>IFERROR(__xludf.DUMMYFUNCTION("""COMPUTED_VALUE"""),12800.0)</f>
        <v>12800</v>
      </c>
      <c r="F1117" s="1">
        <f>IFERROR(__xludf.DUMMYFUNCTION("""COMPUTED_VALUE"""),135923.0)</f>
        <v>135923</v>
      </c>
    </row>
    <row r="1118">
      <c r="A1118" s="2">
        <f>IFERROR(__xludf.DUMMYFUNCTION("""COMPUTED_VALUE"""),42570.64583333333)</f>
        <v>42570.64583</v>
      </c>
      <c r="B1118" s="1">
        <f>IFERROR(__xludf.DUMMYFUNCTION("""COMPUTED_VALUE"""),12900.0)</f>
        <v>12900</v>
      </c>
      <c r="C1118" s="1">
        <f>IFERROR(__xludf.DUMMYFUNCTION("""COMPUTED_VALUE"""),12900.0)</f>
        <v>12900</v>
      </c>
      <c r="D1118" s="1">
        <f>IFERROR(__xludf.DUMMYFUNCTION("""COMPUTED_VALUE"""),12350.0)</f>
        <v>12350</v>
      </c>
      <c r="E1118" s="1">
        <f>IFERROR(__xludf.DUMMYFUNCTION("""COMPUTED_VALUE"""),12500.0)</f>
        <v>12500</v>
      </c>
      <c r="F1118" s="1">
        <f>IFERROR(__xludf.DUMMYFUNCTION("""COMPUTED_VALUE"""),115300.0)</f>
        <v>115300</v>
      </c>
    </row>
    <row r="1119">
      <c r="A1119" s="2">
        <f>IFERROR(__xludf.DUMMYFUNCTION("""COMPUTED_VALUE"""),42571.64583333333)</f>
        <v>42571.64583</v>
      </c>
      <c r="B1119" s="1">
        <f>IFERROR(__xludf.DUMMYFUNCTION("""COMPUTED_VALUE"""),12650.0)</f>
        <v>12650</v>
      </c>
      <c r="C1119" s="1">
        <f>IFERROR(__xludf.DUMMYFUNCTION("""COMPUTED_VALUE"""),12900.0)</f>
        <v>12900</v>
      </c>
      <c r="D1119" s="1">
        <f>IFERROR(__xludf.DUMMYFUNCTION("""COMPUTED_VALUE"""),12300.0)</f>
        <v>12300</v>
      </c>
      <c r="E1119" s="1">
        <f>IFERROR(__xludf.DUMMYFUNCTION("""COMPUTED_VALUE"""),12900.0)</f>
        <v>12900</v>
      </c>
      <c r="F1119" s="1">
        <f>IFERROR(__xludf.DUMMYFUNCTION("""COMPUTED_VALUE"""),78819.0)</f>
        <v>78819</v>
      </c>
    </row>
    <row r="1120">
      <c r="A1120" s="2">
        <f>IFERROR(__xludf.DUMMYFUNCTION("""COMPUTED_VALUE"""),42572.64583333333)</f>
        <v>42572.64583</v>
      </c>
      <c r="B1120" s="1">
        <f>IFERROR(__xludf.DUMMYFUNCTION("""COMPUTED_VALUE"""),12850.0)</f>
        <v>12850</v>
      </c>
      <c r="C1120" s="1">
        <f>IFERROR(__xludf.DUMMYFUNCTION("""COMPUTED_VALUE"""),12850.0)</f>
        <v>12850</v>
      </c>
      <c r="D1120" s="1">
        <f>IFERROR(__xludf.DUMMYFUNCTION("""COMPUTED_VALUE"""),12200.0)</f>
        <v>12200</v>
      </c>
      <c r="E1120" s="1">
        <f>IFERROR(__xludf.DUMMYFUNCTION("""COMPUTED_VALUE"""),12250.0)</f>
        <v>12250</v>
      </c>
      <c r="F1120" s="1">
        <f>IFERROR(__xludf.DUMMYFUNCTION("""COMPUTED_VALUE"""),77637.0)</f>
        <v>77637</v>
      </c>
    </row>
    <row r="1121">
      <c r="A1121" s="2">
        <f>IFERROR(__xludf.DUMMYFUNCTION("""COMPUTED_VALUE"""),42573.64583333333)</f>
        <v>42573.64583</v>
      </c>
      <c r="B1121" s="1">
        <f>IFERROR(__xludf.DUMMYFUNCTION("""COMPUTED_VALUE"""),12300.0)</f>
        <v>12300</v>
      </c>
      <c r="C1121" s="1">
        <f>IFERROR(__xludf.DUMMYFUNCTION("""COMPUTED_VALUE"""),12400.0)</f>
        <v>12400</v>
      </c>
      <c r="D1121" s="1">
        <f>IFERROR(__xludf.DUMMYFUNCTION("""COMPUTED_VALUE"""),11850.0)</f>
        <v>11850</v>
      </c>
      <c r="E1121" s="1">
        <f>IFERROR(__xludf.DUMMYFUNCTION("""COMPUTED_VALUE"""),11950.0)</f>
        <v>11950</v>
      </c>
      <c r="F1121" s="1">
        <f>IFERROR(__xludf.DUMMYFUNCTION("""COMPUTED_VALUE"""),52735.0)</f>
        <v>52735</v>
      </c>
    </row>
    <row r="1122">
      <c r="A1122" s="2">
        <f>IFERROR(__xludf.DUMMYFUNCTION("""COMPUTED_VALUE"""),42576.64583333333)</f>
        <v>42576.64583</v>
      </c>
      <c r="B1122" s="1">
        <f>IFERROR(__xludf.DUMMYFUNCTION("""COMPUTED_VALUE"""),11950.0)</f>
        <v>11950</v>
      </c>
      <c r="C1122" s="1">
        <f>IFERROR(__xludf.DUMMYFUNCTION("""COMPUTED_VALUE"""),12000.0)</f>
        <v>12000</v>
      </c>
      <c r="D1122" s="1">
        <f>IFERROR(__xludf.DUMMYFUNCTION("""COMPUTED_VALUE"""),11450.0)</f>
        <v>11450</v>
      </c>
      <c r="E1122" s="1">
        <f>IFERROR(__xludf.DUMMYFUNCTION("""COMPUTED_VALUE"""),11450.0)</f>
        <v>11450</v>
      </c>
      <c r="F1122" s="1">
        <f>IFERROR(__xludf.DUMMYFUNCTION("""COMPUTED_VALUE"""),66871.0)</f>
        <v>66871</v>
      </c>
    </row>
    <row r="1123">
      <c r="A1123" s="2">
        <f>IFERROR(__xludf.DUMMYFUNCTION("""COMPUTED_VALUE"""),42577.64583333333)</f>
        <v>42577.64583</v>
      </c>
      <c r="B1123" s="1">
        <f>IFERROR(__xludf.DUMMYFUNCTION("""COMPUTED_VALUE"""),11450.0)</f>
        <v>11450</v>
      </c>
      <c r="C1123" s="1">
        <f>IFERROR(__xludf.DUMMYFUNCTION("""COMPUTED_VALUE"""),11650.0)</f>
        <v>11650</v>
      </c>
      <c r="D1123" s="1">
        <f>IFERROR(__xludf.DUMMYFUNCTION("""COMPUTED_VALUE"""),11450.0)</f>
        <v>11450</v>
      </c>
      <c r="E1123" s="1">
        <f>IFERROR(__xludf.DUMMYFUNCTION("""COMPUTED_VALUE"""),11600.0)</f>
        <v>11600</v>
      </c>
      <c r="F1123" s="1">
        <f>IFERROR(__xludf.DUMMYFUNCTION("""COMPUTED_VALUE"""),33117.0)</f>
        <v>33117</v>
      </c>
    </row>
    <row r="1124">
      <c r="A1124" s="2">
        <f>IFERROR(__xludf.DUMMYFUNCTION("""COMPUTED_VALUE"""),42578.64583333333)</f>
        <v>42578.64583</v>
      </c>
      <c r="B1124" s="1">
        <f>IFERROR(__xludf.DUMMYFUNCTION("""COMPUTED_VALUE"""),11550.0)</f>
        <v>11550</v>
      </c>
      <c r="C1124" s="1">
        <f>IFERROR(__xludf.DUMMYFUNCTION("""COMPUTED_VALUE"""),11750.0)</f>
        <v>11750</v>
      </c>
      <c r="D1124" s="1">
        <f>IFERROR(__xludf.DUMMYFUNCTION("""COMPUTED_VALUE"""),11300.0)</f>
        <v>11300</v>
      </c>
      <c r="E1124" s="1">
        <f>IFERROR(__xludf.DUMMYFUNCTION("""COMPUTED_VALUE"""),11450.0)</f>
        <v>11450</v>
      </c>
      <c r="F1124" s="1">
        <f>IFERROR(__xludf.DUMMYFUNCTION("""COMPUTED_VALUE"""),39925.0)</f>
        <v>39925</v>
      </c>
    </row>
    <row r="1125">
      <c r="A1125" s="2">
        <f>IFERROR(__xludf.DUMMYFUNCTION("""COMPUTED_VALUE"""),42579.64583333333)</f>
        <v>42579.64583</v>
      </c>
      <c r="B1125" s="1">
        <f>IFERROR(__xludf.DUMMYFUNCTION("""COMPUTED_VALUE"""),11350.0)</f>
        <v>11350</v>
      </c>
      <c r="C1125" s="1">
        <f>IFERROR(__xludf.DUMMYFUNCTION("""COMPUTED_VALUE"""),12000.0)</f>
        <v>12000</v>
      </c>
      <c r="D1125" s="1">
        <f>IFERROR(__xludf.DUMMYFUNCTION("""COMPUTED_VALUE"""),11350.0)</f>
        <v>11350</v>
      </c>
      <c r="E1125" s="1">
        <f>IFERROR(__xludf.DUMMYFUNCTION("""COMPUTED_VALUE"""),11650.0)</f>
        <v>11650</v>
      </c>
      <c r="F1125" s="1">
        <f>IFERROR(__xludf.DUMMYFUNCTION("""COMPUTED_VALUE"""),68052.0)</f>
        <v>68052</v>
      </c>
    </row>
    <row r="1126">
      <c r="A1126" s="2">
        <f>IFERROR(__xludf.DUMMYFUNCTION("""COMPUTED_VALUE"""),42580.64583333333)</f>
        <v>42580.64583</v>
      </c>
      <c r="B1126" s="1">
        <f>IFERROR(__xludf.DUMMYFUNCTION("""COMPUTED_VALUE"""),11600.0)</f>
        <v>11600</v>
      </c>
      <c r="C1126" s="1">
        <f>IFERROR(__xludf.DUMMYFUNCTION("""COMPUTED_VALUE"""),11700.0)</f>
        <v>11700</v>
      </c>
      <c r="D1126" s="1">
        <f>IFERROR(__xludf.DUMMYFUNCTION("""COMPUTED_VALUE"""),11400.0)</f>
        <v>11400</v>
      </c>
      <c r="E1126" s="1">
        <f>IFERROR(__xludf.DUMMYFUNCTION("""COMPUTED_VALUE"""),11450.0)</f>
        <v>11450</v>
      </c>
      <c r="F1126" s="1">
        <f>IFERROR(__xludf.DUMMYFUNCTION("""COMPUTED_VALUE"""),58424.0)</f>
        <v>58424</v>
      </c>
    </row>
    <row r="1127">
      <c r="A1127" s="2">
        <f>IFERROR(__xludf.DUMMYFUNCTION("""COMPUTED_VALUE"""),42583.64583333333)</f>
        <v>42583.64583</v>
      </c>
      <c r="B1127" s="1">
        <f>IFERROR(__xludf.DUMMYFUNCTION("""COMPUTED_VALUE"""),11450.0)</f>
        <v>11450</v>
      </c>
      <c r="C1127" s="1">
        <f>IFERROR(__xludf.DUMMYFUNCTION("""COMPUTED_VALUE"""),11750.0)</f>
        <v>11750</v>
      </c>
      <c r="D1127" s="1">
        <f>IFERROR(__xludf.DUMMYFUNCTION("""COMPUTED_VALUE"""),11300.0)</f>
        <v>11300</v>
      </c>
      <c r="E1127" s="1">
        <f>IFERROR(__xludf.DUMMYFUNCTION("""COMPUTED_VALUE"""),11350.0)</f>
        <v>11350</v>
      </c>
      <c r="F1127" s="1">
        <f>IFERROR(__xludf.DUMMYFUNCTION("""COMPUTED_VALUE"""),45373.0)</f>
        <v>45373</v>
      </c>
    </row>
    <row r="1128">
      <c r="A1128" s="2">
        <f>IFERROR(__xludf.DUMMYFUNCTION("""COMPUTED_VALUE"""),42584.64583333333)</f>
        <v>42584.64583</v>
      </c>
      <c r="B1128" s="1">
        <f>IFERROR(__xludf.DUMMYFUNCTION("""COMPUTED_VALUE"""),11250.0)</f>
        <v>11250</v>
      </c>
      <c r="C1128" s="1">
        <f>IFERROR(__xludf.DUMMYFUNCTION("""COMPUTED_VALUE"""),11500.0)</f>
        <v>11500</v>
      </c>
      <c r="D1128" s="1">
        <f>IFERROR(__xludf.DUMMYFUNCTION("""COMPUTED_VALUE"""),11200.0)</f>
        <v>11200</v>
      </c>
      <c r="E1128" s="1">
        <f>IFERROR(__xludf.DUMMYFUNCTION("""COMPUTED_VALUE"""),11300.0)</f>
        <v>11300</v>
      </c>
      <c r="F1128" s="1">
        <f>IFERROR(__xludf.DUMMYFUNCTION("""COMPUTED_VALUE"""),22815.0)</f>
        <v>22815</v>
      </c>
    </row>
    <row r="1129">
      <c r="A1129" s="2">
        <f>IFERROR(__xludf.DUMMYFUNCTION("""COMPUTED_VALUE"""),42585.64583333333)</f>
        <v>42585.64583</v>
      </c>
      <c r="B1129" s="1">
        <f>IFERROR(__xludf.DUMMYFUNCTION("""COMPUTED_VALUE"""),11300.0)</f>
        <v>11300</v>
      </c>
      <c r="C1129" s="1">
        <f>IFERROR(__xludf.DUMMYFUNCTION("""COMPUTED_VALUE"""),11350.0)</f>
        <v>11350</v>
      </c>
      <c r="D1129" s="1">
        <f>IFERROR(__xludf.DUMMYFUNCTION("""COMPUTED_VALUE"""),11050.0)</f>
        <v>11050</v>
      </c>
      <c r="E1129" s="1">
        <f>IFERROR(__xludf.DUMMYFUNCTION("""COMPUTED_VALUE"""),11150.0)</f>
        <v>11150</v>
      </c>
      <c r="F1129" s="1">
        <f>IFERROR(__xludf.DUMMYFUNCTION("""COMPUTED_VALUE"""),28661.0)</f>
        <v>28661</v>
      </c>
    </row>
    <row r="1130">
      <c r="A1130" s="2">
        <f>IFERROR(__xludf.DUMMYFUNCTION("""COMPUTED_VALUE"""),42586.64583333333)</f>
        <v>42586.64583</v>
      </c>
      <c r="B1130" s="1">
        <f>IFERROR(__xludf.DUMMYFUNCTION("""COMPUTED_VALUE"""),11150.0)</f>
        <v>11150</v>
      </c>
      <c r="C1130" s="1">
        <f>IFERROR(__xludf.DUMMYFUNCTION("""COMPUTED_VALUE"""),11350.0)</f>
        <v>11350</v>
      </c>
      <c r="D1130" s="1">
        <f>IFERROR(__xludf.DUMMYFUNCTION("""COMPUTED_VALUE"""),11050.0)</f>
        <v>11050</v>
      </c>
      <c r="E1130" s="1">
        <f>IFERROR(__xludf.DUMMYFUNCTION("""COMPUTED_VALUE"""),11350.0)</f>
        <v>11350</v>
      </c>
      <c r="F1130" s="1">
        <f>IFERROR(__xludf.DUMMYFUNCTION("""COMPUTED_VALUE"""),39812.0)</f>
        <v>39812</v>
      </c>
    </row>
    <row r="1131">
      <c r="A1131" s="2">
        <f>IFERROR(__xludf.DUMMYFUNCTION("""COMPUTED_VALUE"""),42587.64583333333)</f>
        <v>42587.64583</v>
      </c>
      <c r="B1131" s="1">
        <f>IFERROR(__xludf.DUMMYFUNCTION("""COMPUTED_VALUE"""),11250.0)</f>
        <v>11250</v>
      </c>
      <c r="C1131" s="1">
        <f>IFERROR(__xludf.DUMMYFUNCTION("""COMPUTED_VALUE"""),11450.0)</f>
        <v>11450</v>
      </c>
      <c r="D1131" s="1">
        <f>IFERROR(__xludf.DUMMYFUNCTION("""COMPUTED_VALUE"""),11150.0)</f>
        <v>11150</v>
      </c>
      <c r="E1131" s="1">
        <f>IFERROR(__xludf.DUMMYFUNCTION("""COMPUTED_VALUE"""),11250.0)</f>
        <v>11250</v>
      </c>
      <c r="F1131" s="1">
        <f>IFERROR(__xludf.DUMMYFUNCTION("""COMPUTED_VALUE"""),37601.0)</f>
        <v>37601</v>
      </c>
    </row>
    <row r="1132">
      <c r="A1132" s="2">
        <f>IFERROR(__xludf.DUMMYFUNCTION("""COMPUTED_VALUE"""),42590.64583333333)</f>
        <v>42590.64583</v>
      </c>
      <c r="B1132" s="1">
        <f>IFERROR(__xludf.DUMMYFUNCTION("""COMPUTED_VALUE"""),11200.0)</f>
        <v>11200</v>
      </c>
      <c r="C1132" s="1">
        <f>IFERROR(__xludf.DUMMYFUNCTION("""COMPUTED_VALUE"""),11350.0)</f>
        <v>11350</v>
      </c>
      <c r="D1132" s="1">
        <f>IFERROR(__xludf.DUMMYFUNCTION("""COMPUTED_VALUE"""),11100.0)</f>
        <v>11100</v>
      </c>
      <c r="E1132" s="1">
        <f>IFERROR(__xludf.DUMMYFUNCTION("""COMPUTED_VALUE"""),11100.0)</f>
        <v>11100</v>
      </c>
      <c r="F1132" s="1">
        <f>IFERROR(__xludf.DUMMYFUNCTION("""COMPUTED_VALUE"""),22529.0)</f>
        <v>22529</v>
      </c>
    </row>
    <row r="1133">
      <c r="A1133" s="2">
        <f>IFERROR(__xludf.DUMMYFUNCTION("""COMPUTED_VALUE"""),42591.64583333333)</f>
        <v>42591.64583</v>
      </c>
      <c r="B1133" s="1">
        <f>IFERROR(__xludf.DUMMYFUNCTION("""COMPUTED_VALUE"""),11100.0)</f>
        <v>11100</v>
      </c>
      <c r="C1133" s="1">
        <f>IFERROR(__xludf.DUMMYFUNCTION("""COMPUTED_VALUE"""),11350.0)</f>
        <v>11350</v>
      </c>
      <c r="D1133" s="1">
        <f>IFERROR(__xludf.DUMMYFUNCTION("""COMPUTED_VALUE"""),10900.0)</f>
        <v>10900</v>
      </c>
      <c r="E1133" s="1">
        <f>IFERROR(__xludf.DUMMYFUNCTION("""COMPUTED_VALUE"""),11100.0)</f>
        <v>11100</v>
      </c>
      <c r="F1133" s="1">
        <f>IFERROR(__xludf.DUMMYFUNCTION("""COMPUTED_VALUE"""),53351.0)</f>
        <v>53351</v>
      </c>
    </row>
    <row r="1134">
      <c r="A1134" s="2">
        <f>IFERROR(__xludf.DUMMYFUNCTION("""COMPUTED_VALUE"""),42592.64583333333)</f>
        <v>42592.64583</v>
      </c>
      <c r="B1134" s="1">
        <f>IFERROR(__xludf.DUMMYFUNCTION("""COMPUTED_VALUE"""),11000.0)</f>
        <v>11000</v>
      </c>
      <c r="C1134" s="1">
        <f>IFERROR(__xludf.DUMMYFUNCTION("""COMPUTED_VALUE"""),11550.0)</f>
        <v>11550</v>
      </c>
      <c r="D1134" s="1">
        <f>IFERROR(__xludf.DUMMYFUNCTION("""COMPUTED_VALUE"""),11000.0)</f>
        <v>11000</v>
      </c>
      <c r="E1134" s="1">
        <f>IFERROR(__xludf.DUMMYFUNCTION("""COMPUTED_VALUE"""),11400.0)</f>
        <v>11400</v>
      </c>
      <c r="F1134" s="1">
        <f>IFERROR(__xludf.DUMMYFUNCTION("""COMPUTED_VALUE"""),53004.0)</f>
        <v>53004</v>
      </c>
    </row>
    <row r="1135">
      <c r="A1135" s="2">
        <f>IFERROR(__xludf.DUMMYFUNCTION("""COMPUTED_VALUE"""),42593.64583333333)</f>
        <v>42593.64583</v>
      </c>
      <c r="B1135" s="1">
        <f>IFERROR(__xludf.DUMMYFUNCTION("""COMPUTED_VALUE"""),11550.0)</f>
        <v>11550</v>
      </c>
      <c r="C1135" s="1">
        <f>IFERROR(__xludf.DUMMYFUNCTION("""COMPUTED_VALUE"""),11550.0)</f>
        <v>11550</v>
      </c>
      <c r="D1135" s="1">
        <f>IFERROR(__xludf.DUMMYFUNCTION("""COMPUTED_VALUE"""),11250.0)</f>
        <v>11250</v>
      </c>
      <c r="E1135" s="1">
        <f>IFERROR(__xludf.DUMMYFUNCTION("""COMPUTED_VALUE"""),11250.0)</f>
        <v>11250</v>
      </c>
      <c r="F1135" s="1">
        <f>IFERROR(__xludf.DUMMYFUNCTION("""COMPUTED_VALUE"""),25759.0)</f>
        <v>25759</v>
      </c>
    </row>
    <row r="1136">
      <c r="A1136" s="2">
        <f>IFERROR(__xludf.DUMMYFUNCTION("""COMPUTED_VALUE"""),42594.64583333333)</f>
        <v>42594.64583</v>
      </c>
      <c r="B1136" s="1">
        <f>IFERROR(__xludf.DUMMYFUNCTION("""COMPUTED_VALUE"""),11350.0)</f>
        <v>11350</v>
      </c>
      <c r="C1136" s="1">
        <f>IFERROR(__xludf.DUMMYFUNCTION("""COMPUTED_VALUE"""),11700.0)</f>
        <v>11700</v>
      </c>
      <c r="D1136" s="1">
        <f>IFERROR(__xludf.DUMMYFUNCTION("""COMPUTED_VALUE"""),11250.0)</f>
        <v>11250</v>
      </c>
      <c r="E1136" s="1">
        <f>IFERROR(__xludf.DUMMYFUNCTION("""COMPUTED_VALUE"""),11550.0)</f>
        <v>11550</v>
      </c>
      <c r="F1136" s="1">
        <f>IFERROR(__xludf.DUMMYFUNCTION("""COMPUTED_VALUE"""),32451.0)</f>
        <v>32451</v>
      </c>
    </row>
    <row r="1137">
      <c r="A1137" s="2">
        <f>IFERROR(__xludf.DUMMYFUNCTION("""COMPUTED_VALUE"""),42598.64583333333)</f>
        <v>42598.64583</v>
      </c>
      <c r="B1137" s="1">
        <f>IFERROR(__xludf.DUMMYFUNCTION("""COMPUTED_VALUE"""),11550.0)</f>
        <v>11550</v>
      </c>
      <c r="C1137" s="1">
        <f>IFERROR(__xludf.DUMMYFUNCTION("""COMPUTED_VALUE"""),11950.0)</f>
        <v>11950</v>
      </c>
      <c r="D1137" s="1">
        <f>IFERROR(__xludf.DUMMYFUNCTION("""COMPUTED_VALUE"""),11400.0)</f>
        <v>11400</v>
      </c>
      <c r="E1137" s="1">
        <f>IFERROR(__xludf.DUMMYFUNCTION("""COMPUTED_VALUE"""),11650.0)</f>
        <v>11650</v>
      </c>
      <c r="F1137" s="1">
        <f>IFERROR(__xludf.DUMMYFUNCTION("""COMPUTED_VALUE"""),47846.0)</f>
        <v>47846</v>
      </c>
    </row>
    <row r="1138">
      <c r="A1138" s="2">
        <f>IFERROR(__xludf.DUMMYFUNCTION("""COMPUTED_VALUE"""),42599.64583333333)</f>
        <v>42599.64583</v>
      </c>
      <c r="B1138" s="1">
        <f>IFERROR(__xludf.DUMMYFUNCTION("""COMPUTED_VALUE"""),11800.0)</f>
        <v>11800</v>
      </c>
      <c r="C1138" s="1">
        <f>IFERROR(__xludf.DUMMYFUNCTION("""COMPUTED_VALUE"""),11800.0)</f>
        <v>11800</v>
      </c>
      <c r="D1138" s="1">
        <f>IFERROR(__xludf.DUMMYFUNCTION("""COMPUTED_VALUE"""),11250.0)</f>
        <v>11250</v>
      </c>
      <c r="E1138" s="1">
        <f>IFERROR(__xludf.DUMMYFUNCTION("""COMPUTED_VALUE"""),11300.0)</f>
        <v>11300</v>
      </c>
      <c r="F1138" s="1">
        <f>IFERROR(__xludf.DUMMYFUNCTION("""COMPUTED_VALUE"""),44564.0)</f>
        <v>44564</v>
      </c>
    </row>
    <row r="1139">
      <c r="A1139" s="2">
        <f>IFERROR(__xludf.DUMMYFUNCTION("""COMPUTED_VALUE"""),42600.64583333333)</f>
        <v>42600.64583</v>
      </c>
      <c r="B1139" s="1">
        <f>IFERROR(__xludf.DUMMYFUNCTION("""COMPUTED_VALUE"""),11300.0)</f>
        <v>11300</v>
      </c>
      <c r="C1139" s="1">
        <f>IFERROR(__xludf.DUMMYFUNCTION("""COMPUTED_VALUE"""),11450.0)</f>
        <v>11450</v>
      </c>
      <c r="D1139" s="1">
        <f>IFERROR(__xludf.DUMMYFUNCTION("""COMPUTED_VALUE"""),11150.0)</f>
        <v>11150</v>
      </c>
      <c r="E1139" s="1">
        <f>IFERROR(__xludf.DUMMYFUNCTION("""COMPUTED_VALUE"""),11200.0)</f>
        <v>11200</v>
      </c>
      <c r="F1139" s="1">
        <f>IFERROR(__xludf.DUMMYFUNCTION("""COMPUTED_VALUE"""),36168.0)</f>
        <v>36168</v>
      </c>
    </row>
    <row r="1140">
      <c r="A1140" s="2">
        <f>IFERROR(__xludf.DUMMYFUNCTION("""COMPUTED_VALUE"""),42601.64583333333)</f>
        <v>42601.64583</v>
      </c>
      <c r="B1140" s="1">
        <f>IFERROR(__xludf.DUMMYFUNCTION("""COMPUTED_VALUE"""),11300.0)</f>
        <v>11300</v>
      </c>
      <c r="C1140" s="1">
        <f>IFERROR(__xludf.DUMMYFUNCTION("""COMPUTED_VALUE"""),11350.0)</f>
        <v>11350</v>
      </c>
      <c r="D1140" s="1">
        <f>IFERROR(__xludf.DUMMYFUNCTION("""COMPUTED_VALUE"""),11150.0)</f>
        <v>11150</v>
      </c>
      <c r="E1140" s="1">
        <f>IFERROR(__xludf.DUMMYFUNCTION("""COMPUTED_VALUE"""),11250.0)</f>
        <v>11250</v>
      </c>
      <c r="F1140" s="1">
        <f>IFERROR(__xludf.DUMMYFUNCTION("""COMPUTED_VALUE"""),15400.0)</f>
        <v>15400</v>
      </c>
    </row>
    <row r="1141">
      <c r="A1141" s="2">
        <f>IFERROR(__xludf.DUMMYFUNCTION("""COMPUTED_VALUE"""),42604.64583333333)</f>
        <v>42604.64583</v>
      </c>
      <c r="B1141" s="1">
        <f>IFERROR(__xludf.DUMMYFUNCTION("""COMPUTED_VALUE"""),11350.0)</f>
        <v>11350</v>
      </c>
      <c r="C1141" s="1">
        <f>IFERROR(__xludf.DUMMYFUNCTION("""COMPUTED_VALUE"""),11350.0)</f>
        <v>11350</v>
      </c>
      <c r="D1141" s="1">
        <f>IFERROR(__xludf.DUMMYFUNCTION("""COMPUTED_VALUE"""),11050.0)</f>
        <v>11050</v>
      </c>
      <c r="E1141" s="1">
        <f>IFERROR(__xludf.DUMMYFUNCTION("""COMPUTED_VALUE"""),11200.0)</f>
        <v>11200</v>
      </c>
      <c r="F1141" s="1">
        <f>IFERROR(__xludf.DUMMYFUNCTION("""COMPUTED_VALUE"""),27301.0)</f>
        <v>27301</v>
      </c>
    </row>
    <row r="1142">
      <c r="A1142" s="2">
        <f>IFERROR(__xludf.DUMMYFUNCTION("""COMPUTED_VALUE"""),42605.64583333333)</f>
        <v>42605.64583</v>
      </c>
      <c r="B1142" s="1">
        <f>IFERROR(__xludf.DUMMYFUNCTION("""COMPUTED_VALUE"""),11250.0)</f>
        <v>11250</v>
      </c>
      <c r="C1142" s="1">
        <f>IFERROR(__xludf.DUMMYFUNCTION("""COMPUTED_VALUE"""),11250.0)</f>
        <v>11250</v>
      </c>
      <c r="D1142" s="1">
        <f>IFERROR(__xludf.DUMMYFUNCTION("""COMPUTED_VALUE"""),10700.0)</f>
        <v>10700</v>
      </c>
      <c r="E1142" s="1">
        <f>IFERROR(__xludf.DUMMYFUNCTION("""COMPUTED_VALUE"""),11050.0)</f>
        <v>11050</v>
      </c>
      <c r="F1142" s="1">
        <f>IFERROR(__xludf.DUMMYFUNCTION("""COMPUTED_VALUE"""),68765.0)</f>
        <v>68765</v>
      </c>
    </row>
    <row r="1143">
      <c r="A1143" s="2">
        <f>IFERROR(__xludf.DUMMYFUNCTION("""COMPUTED_VALUE"""),42606.64583333333)</f>
        <v>42606.64583</v>
      </c>
      <c r="B1143" s="1">
        <f>IFERROR(__xludf.DUMMYFUNCTION("""COMPUTED_VALUE"""),11200.0)</f>
        <v>11200</v>
      </c>
      <c r="C1143" s="1">
        <f>IFERROR(__xludf.DUMMYFUNCTION("""COMPUTED_VALUE"""),11500.0)</f>
        <v>11500</v>
      </c>
      <c r="D1143" s="1">
        <f>IFERROR(__xludf.DUMMYFUNCTION("""COMPUTED_VALUE"""),11000.0)</f>
        <v>11000</v>
      </c>
      <c r="E1143" s="1">
        <f>IFERROR(__xludf.DUMMYFUNCTION("""COMPUTED_VALUE"""),11200.0)</f>
        <v>11200</v>
      </c>
      <c r="F1143" s="1">
        <f>IFERROR(__xludf.DUMMYFUNCTION("""COMPUTED_VALUE"""),35915.0)</f>
        <v>35915</v>
      </c>
    </row>
    <row r="1144">
      <c r="A1144" s="2">
        <f>IFERROR(__xludf.DUMMYFUNCTION("""COMPUTED_VALUE"""),42607.64583333333)</f>
        <v>42607.64583</v>
      </c>
      <c r="B1144" s="1">
        <f>IFERROR(__xludf.DUMMYFUNCTION("""COMPUTED_VALUE"""),11200.0)</f>
        <v>11200</v>
      </c>
      <c r="C1144" s="1">
        <f>IFERROR(__xludf.DUMMYFUNCTION("""COMPUTED_VALUE"""),11400.0)</f>
        <v>11400</v>
      </c>
      <c r="D1144" s="1">
        <f>IFERROR(__xludf.DUMMYFUNCTION("""COMPUTED_VALUE"""),11100.0)</f>
        <v>11100</v>
      </c>
      <c r="E1144" s="1">
        <f>IFERROR(__xludf.DUMMYFUNCTION("""COMPUTED_VALUE"""),11200.0)</f>
        <v>11200</v>
      </c>
      <c r="F1144" s="1">
        <f>IFERROR(__xludf.DUMMYFUNCTION("""COMPUTED_VALUE"""),23725.0)</f>
        <v>23725</v>
      </c>
    </row>
    <row r="1145">
      <c r="A1145" s="2">
        <f>IFERROR(__xludf.DUMMYFUNCTION("""COMPUTED_VALUE"""),42608.64583333333)</f>
        <v>42608.64583</v>
      </c>
      <c r="B1145" s="1">
        <f>IFERROR(__xludf.DUMMYFUNCTION("""COMPUTED_VALUE"""),11200.0)</f>
        <v>11200</v>
      </c>
      <c r="C1145" s="1">
        <f>IFERROR(__xludf.DUMMYFUNCTION("""COMPUTED_VALUE"""),11300.0)</f>
        <v>11300</v>
      </c>
      <c r="D1145" s="1">
        <f>IFERROR(__xludf.DUMMYFUNCTION("""COMPUTED_VALUE"""),11000.0)</f>
        <v>11000</v>
      </c>
      <c r="E1145" s="1">
        <f>IFERROR(__xludf.DUMMYFUNCTION("""COMPUTED_VALUE"""),11250.0)</f>
        <v>11250</v>
      </c>
      <c r="F1145" s="1">
        <f>IFERROR(__xludf.DUMMYFUNCTION("""COMPUTED_VALUE"""),22064.0)</f>
        <v>22064</v>
      </c>
    </row>
    <row r="1146">
      <c r="A1146" s="2">
        <f>IFERROR(__xludf.DUMMYFUNCTION("""COMPUTED_VALUE"""),42611.64583333333)</f>
        <v>42611.64583</v>
      </c>
      <c r="B1146" s="1">
        <f>IFERROR(__xludf.DUMMYFUNCTION("""COMPUTED_VALUE"""),11300.0)</f>
        <v>11300</v>
      </c>
      <c r="C1146" s="1">
        <f>IFERROR(__xludf.DUMMYFUNCTION("""COMPUTED_VALUE"""),11300.0)</f>
        <v>11300</v>
      </c>
      <c r="D1146" s="1">
        <f>IFERROR(__xludf.DUMMYFUNCTION("""COMPUTED_VALUE"""),10750.0)</f>
        <v>10750</v>
      </c>
      <c r="E1146" s="1">
        <f>IFERROR(__xludf.DUMMYFUNCTION("""COMPUTED_VALUE"""),10850.0)</f>
        <v>10850</v>
      </c>
      <c r="F1146" s="1">
        <f>IFERROR(__xludf.DUMMYFUNCTION("""COMPUTED_VALUE"""),53169.0)</f>
        <v>53169</v>
      </c>
    </row>
    <row r="1147">
      <c r="A1147" s="2">
        <f>IFERROR(__xludf.DUMMYFUNCTION("""COMPUTED_VALUE"""),42612.64583333333)</f>
        <v>42612.64583</v>
      </c>
      <c r="B1147" s="1">
        <f>IFERROR(__xludf.DUMMYFUNCTION("""COMPUTED_VALUE"""),10900.0)</f>
        <v>10900</v>
      </c>
      <c r="C1147" s="1">
        <f>IFERROR(__xludf.DUMMYFUNCTION("""COMPUTED_VALUE"""),11350.0)</f>
        <v>11350</v>
      </c>
      <c r="D1147" s="1">
        <f>IFERROR(__xludf.DUMMYFUNCTION("""COMPUTED_VALUE"""),10700.0)</f>
        <v>10700</v>
      </c>
      <c r="E1147" s="1">
        <f>IFERROR(__xludf.DUMMYFUNCTION("""COMPUTED_VALUE"""),11150.0)</f>
        <v>11150</v>
      </c>
      <c r="F1147" s="1">
        <f>IFERROR(__xludf.DUMMYFUNCTION("""COMPUTED_VALUE"""),115395.0)</f>
        <v>115395</v>
      </c>
    </row>
    <row r="1148">
      <c r="A1148" s="2">
        <f>IFERROR(__xludf.DUMMYFUNCTION("""COMPUTED_VALUE"""),42613.64583333333)</f>
        <v>42613.64583</v>
      </c>
      <c r="B1148" s="1">
        <f>IFERROR(__xludf.DUMMYFUNCTION("""COMPUTED_VALUE"""),11250.0)</f>
        <v>11250</v>
      </c>
      <c r="C1148" s="1">
        <f>IFERROR(__xludf.DUMMYFUNCTION("""COMPUTED_VALUE"""),11300.0)</f>
        <v>11300</v>
      </c>
      <c r="D1148" s="1">
        <f>IFERROR(__xludf.DUMMYFUNCTION("""COMPUTED_VALUE"""),10950.0)</f>
        <v>10950</v>
      </c>
      <c r="E1148" s="1">
        <f>IFERROR(__xludf.DUMMYFUNCTION("""COMPUTED_VALUE"""),11000.0)</f>
        <v>11000</v>
      </c>
      <c r="F1148" s="1">
        <f>IFERROR(__xludf.DUMMYFUNCTION("""COMPUTED_VALUE"""),25727.0)</f>
        <v>25727</v>
      </c>
    </row>
    <row r="1149">
      <c r="A1149" s="2">
        <f>IFERROR(__xludf.DUMMYFUNCTION("""COMPUTED_VALUE"""),42614.64583333333)</f>
        <v>42614.64583</v>
      </c>
      <c r="B1149" s="1">
        <f>IFERROR(__xludf.DUMMYFUNCTION("""COMPUTED_VALUE"""),11150.0)</f>
        <v>11150</v>
      </c>
      <c r="C1149" s="1">
        <f>IFERROR(__xludf.DUMMYFUNCTION("""COMPUTED_VALUE"""),11600.0)</f>
        <v>11600</v>
      </c>
      <c r="D1149" s="1">
        <f>IFERROR(__xludf.DUMMYFUNCTION("""COMPUTED_VALUE"""),11000.0)</f>
        <v>11000</v>
      </c>
      <c r="E1149" s="1">
        <f>IFERROR(__xludf.DUMMYFUNCTION("""COMPUTED_VALUE"""),11350.0)</f>
        <v>11350</v>
      </c>
      <c r="F1149" s="1">
        <f>IFERROR(__xludf.DUMMYFUNCTION("""COMPUTED_VALUE"""),87163.0)</f>
        <v>87163</v>
      </c>
    </row>
    <row r="1150">
      <c r="A1150" s="2">
        <f>IFERROR(__xludf.DUMMYFUNCTION("""COMPUTED_VALUE"""),42615.64583333333)</f>
        <v>42615.64583</v>
      </c>
      <c r="B1150" s="1">
        <f>IFERROR(__xludf.DUMMYFUNCTION("""COMPUTED_VALUE"""),11300.0)</f>
        <v>11300</v>
      </c>
      <c r="C1150" s="1">
        <f>IFERROR(__xludf.DUMMYFUNCTION("""COMPUTED_VALUE"""),11800.0)</f>
        <v>11800</v>
      </c>
      <c r="D1150" s="1">
        <f>IFERROR(__xludf.DUMMYFUNCTION("""COMPUTED_VALUE"""),11250.0)</f>
        <v>11250</v>
      </c>
      <c r="E1150" s="1">
        <f>IFERROR(__xludf.DUMMYFUNCTION("""COMPUTED_VALUE"""),11800.0)</f>
        <v>11800</v>
      </c>
      <c r="F1150" s="1">
        <f>IFERROR(__xludf.DUMMYFUNCTION("""COMPUTED_VALUE"""),79140.0)</f>
        <v>79140</v>
      </c>
    </row>
    <row r="1151">
      <c r="A1151" s="2">
        <f>IFERROR(__xludf.DUMMYFUNCTION("""COMPUTED_VALUE"""),42618.64583333333)</f>
        <v>42618.64583</v>
      </c>
      <c r="B1151" s="1">
        <f>IFERROR(__xludf.DUMMYFUNCTION("""COMPUTED_VALUE"""),11750.0)</f>
        <v>11750</v>
      </c>
      <c r="C1151" s="1">
        <f>IFERROR(__xludf.DUMMYFUNCTION("""COMPUTED_VALUE"""),12350.0)</f>
        <v>12350</v>
      </c>
      <c r="D1151" s="1">
        <f>IFERROR(__xludf.DUMMYFUNCTION("""COMPUTED_VALUE"""),11700.0)</f>
        <v>11700</v>
      </c>
      <c r="E1151" s="1">
        <f>IFERROR(__xludf.DUMMYFUNCTION("""COMPUTED_VALUE"""),11850.0)</f>
        <v>11850</v>
      </c>
      <c r="F1151" s="1">
        <f>IFERROR(__xludf.DUMMYFUNCTION("""COMPUTED_VALUE"""),115507.0)</f>
        <v>115507</v>
      </c>
    </row>
    <row r="1152">
      <c r="A1152" s="2">
        <f>IFERROR(__xludf.DUMMYFUNCTION("""COMPUTED_VALUE"""),42619.64583333333)</f>
        <v>42619.64583</v>
      </c>
      <c r="B1152" s="1">
        <f>IFERROR(__xludf.DUMMYFUNCTION("""COMPUTED_VALUE"""),11900.0)</f>
        <v>11900</v>
      </c>
      <c r="C1152" s="1">
        <f>IFERROR(__xludf.DUMMYFUNCTION("""COMPUTED_VALUE"""),12100.0)</f>
        <v>12100</v>
      </c>
      <c r="D1152" s="1">
        <f>IFERROR(__xludf.DUMMYFUNCTION("""COMPUTED_VALUE"""),11650.0)</f>
        <v>11650</v>
      </c>
      <c r="E1152" s="1">
        <f>IFERROR(__xludf.DUMMYFUNCTION("""COMPUTED_VALUE"""),11850.0)</f>
        <v>11850</v>
      </c>
      <c r="F1152" s="1">
        <f>IFERROR(__xludf.DUMMYFUNCTION("""COMPUTED_VALUE"""),64191.0)</f>
        <v>64191</v>
      </c>
    </row>
    <row r="1153">
      <c r="A1153" s="2">
        <f>IFERROR(__xludf.DUMMYFUNCTION("""COMPUTED_VALUE"""),42620.64583333333)</f>
        <v>42620.64583</v>
      </c>
      <c r="B1153" s="1">
        <f>IFERROR(__xludf.DUMMYFUNCTION("""COMPUTED_VALUE"""),11850.0)</f>
        <v>11850</v>
      </c>
      <c r="C1153" s="1">
        <f>IFERROR(__xludf.DUMMYFUNCTION("""COMPUTED_VALUE"""),12200.0)</f>
        <v>12200</v>
      </c>
      <c r="D1153" s="1">
        <f>IFERROR(__xludf.DUMMYFUNCTION("""COMPUTED_VALUE"""),11250.0)</f>
        <v>11250</v>
      </c>
      <c r="E1153" s="1">
        <f>IFERROR(__xludf.DUMMYFUNCTION("""COMPUTED_VALUE"""),11300.0)</f>
        <v>11300</v>
      </c>
      <c r="F1153" s="1">
        <f>IFERROR(__xludf.DUMMYFUNCTION("""COMPUTED_VALUE"""),110935.0)</f>
        <v>110935</v>
      </c>
    </row>
    <row r="1154">
      <c r="A1154" s="2">
        <f>IFERROR(__xludf.DUMMYFUNCTION("""COMPUTED_VALUE"""),42621.64583333333)</f>
        <v>42621.64583</v>
      </c>
      <c r="B1154" s="1">
        <f>IFERROR(__xludf.DUMMYFUNCTION("""COMPUTED_VALUE"""),11450.0)</f>
        <v>11450</v>
      </c>
      <c r="C1154" s="1">
        <f>IFERROR(__xludf.DUMMYFUNCTION("""COMPUTED_VALUE"""),14650.0)</f>
        <v>14650</v>
      </c>
      <c r="D1154" s="1">
        <f>IFERROR(__xludf.DUMMYFUNCTION("""COMPUTED_VALUE"""),11450.0)</f>
        <v>11450</v>
      </c>
      <c r="E1154" s="1">
        <f>IFERROR(__xludf.DUMMYFUNCTION("""COMPUTED_VALUE"""),13450.0)</f>
        <v>13450</v>
      </c>
      <c r="F1154" s="1">
        <f>IFERROR(__xludf.DUMMYFUNCTION("""COMPUTED_VALUE"""),2088196.0)</f>
        <v>2088196</v>
      </c>
    </row>
    <row r="1155">
      <c r="A1155" s="2">
        <f>IFERROR(__xludf.DUMMYFUNCTION("""COMPUTED_VALUE"""),42622.64583333333)</f>
        <v>42622.64583</v>
      </c>
      <c r="B1155" s="1">
        <f>IFERROR(__xludf.DUMMYFUNCTION("""COMPUTED_VALUE"""),13350.0)</f>
        <v>13350</v>
      </c>
      <c r="C1155" s="1">
        <f>IFERROR(__xludf.DUMMYFUNCTION("""COMPUTED_VALUE"""),14050.0)</f>
        <v>14050</v>
      </c>
      <c r="D1155" s="1">
        <f>IFERROR(__xludf.DUMMYFUNCTION("""COMPUTED_VALUE"""),12850.0)</f>
        <v>12850</v>
      </c>
      <c r="E1155" s="1">
        <f>IFERROR(__xludf.DUMMYFUNCTION("""COMPUTED_VALUE"""),13850.0)</f>
        <v>13850</v>
      </c>
      <c r="F1155" s="1">
        <f>IFERROR(__xludf.DUMMYFUNCTION("""COMPUTED_VALUE"""),750888.0)</f>
        <v>750888</v>
      </c>
    </row>
    <row r="1156">
      <c r="A1156" s="2">
        <f>IFERROR(__xludf.DUMMYFUNCTION("""COMPUTED_VALUE"""),42625.64583333333)</f>
        <v>42625.64583</v>
      </c>
      <c r="B1156" s="1">
        <f>IFERROR(__xludf.DUMMYFUNCTION("""COMPUTED_VALUE"""),14500.0)</f>
        <v>14500</v>
      </c>
      <c r="C1156" s="1">
        <f>IFERROR(__xludf.DUMMYFUNCTION("""COMPUTED_VALUE"""),17000.0)</f>
        <v>17000</v>
      </c>
      <c r="D1156" s="1">
        <f>IFERROR(__xludf.DUMMYFUNCTION("""COMPUTED_VALUE"""),13900.0)</f>
        <v>13900</v>
      </c>
      <c r="E1156" s="1">
        <f>IFERROR(__xludf.DUMMYFUNCTION("""COMPUTED_VALUE"""),14900.0)</f>
        <v>14900</v>
      </c>
      <c r="F1156" s="1">
        <f>IFERROR(__xludf.DUMMYFUNCTION("""COMPUTED_VALUE"""),991479.0)</f>
        <v>991479</v>
      </c>
    </row>
    <row r="1157">
      <c r="A1157" s="2">
        <f>IFERROR(__xludf.DUMMYFUNCTION("""COMPUTED_VALUE"""),42626.64583333333)</f>
        <v>42626.64583</v>
      </c>
      <c r="B1157" s="1">
        <f>IFERROR(__xludf.DUMMYFUNCTION("""COMPUTED_VALUE"""),14850.0)</f>
        <v>14850</v>
      </c>
      <c r="C1157" s="1">
        <f>IFERROR(__xludf.DUMMYFUNCTION("""COMPUTED_VALUE"""),15150.0)</f>
        <v>15150</v>
      </c>
      <c r="D1157" s="1">
        <f>IFERROR(__xludf.DUMMYFUNCTION("""COMPUTED_VALUE"""),14000.0)</f>
        <v>14000</v>
      </c>
      <c r="E1157" s="1">
        <f>IFERROR(__xludf.DUMMYFUNCTION("""COMPUTED_VALUE"""),14900.0)</f>
        <v>14900</v>
      </c>
      <c r="F1157" s="1">
        <f>IFERROR(__xludf.DUMMYFUNCTION("""COMPUTED_VALUE"""),365356.0)</f>
        <v>365356</v>
      </c>
    </row>
    <row r="1158">
      <c r="A1158" s="2">
        <f>IFERROR(__xludf.DUMMYFUNCTION("""COMPUTED_VALUE"""),42632.64583333333)</f>
        <v>42632.64583</v>
      </c>
      <c r="B1158" s="1">
        <f>IFERROR(__xludf.DUMMYFUNCTION("""COMPUTED_VALUE"""),14500.0)</f>
        <v>14500</v>
      </c>
      <c r="C1158" s="1">
        <f>IFERROR(__xludf.DUMMYFUNCTION("""COMPUTED_VALUE"""),14650.0)</f>
        <v>14650</v>
      </c>
      <c r="D1158" s="1">
        <f>IFERROR(__xludf.DUMMYFUNCTION("""COMPUTED_VALUE"""),12750.0)</f>
        <v>12750</v>
      </c>
      <c r="E1158" s="1">
        <f>IFERROR(__xludf.DUMMYFUNCTION("""COMPUTED_VALUE"""),13000.0)</f>
        <v>13000</v>
      </c>
      <c r="F1158" s="1">
        <f>IFERROR(__xludf.DUMMYFUNCTION("""COMPUTED_VALUE"""),651844.0)</f>
        <v>651844</v>
      </c>
    </row>
    <row r="1159">
      <c r="A1159" s="2">
        <f>IFERROR(__xludf.DUMMYFUNCTION("""COMPUTED_VALUE"""),42633.64583333333)</f>
        <v>42633.64583</v>
      </c>
      <c r="B1159" s="1">
        <f>IFERROR(__xludf.DUMMYFUNCTION("""COMPUTED_VALUE"""),12850.0)</f>
        <v>12850</v>
      </c>
      <c r="C1159" s="1">
        <f>IFERROR(__xludf.DUMMYFUNCTION("""COMPUTED_VALUE"""),13100.0)</f>
        <v>13100</v>
      </c>
      <c r="D1159" s="1">
        <f>IFERROR(__xludf.DUMMYFUNCTION("""COMPUTED_VALUE"""),12550.0)</f>
        <v>12550</v>
      </c>
      <c r="E1159" s="1">
        <f>IFERROR(__xludf.DUMMYFUNCTION("""COMPUTED_VALUE"""),12900.0)</f>
        <v>12900</v>
      </c>
      <c r="F1159" s="1">
        <f>IFERROR(__xludf.DUMMYFUNCTION("""COMPUTED_VALUE"""),358227.0)</f>
        <v>358227</v>
      </c>
    </row>
    <row r="1160">
      <c r="A1160" s="2">
        <f>IFERROR(__xludf.DUMMYFUNCTION("""COMPUTED_VALUE"""),42634.64583333333)</f>
        <v>42634.64583</v>
      </c>
      <c r="B1160" s="1">
        <f>IFERROR(__xludf.DUMMYFUNCTION("""COMPUTED_VALUE"""),13250.0)</f>
        <v>13250</v>
      </c>
      <c r="C1160" s="1">
        <f>IFERROR(__xludf.DUMMYFUNCTION("""COMPUTED_VALUE"""),13600.0)</f>
        <v>13600</v>
      </c>
      <c r="D1160" s="1">
        <f>IFERROR(__xludf.DUMMYFUNCTION("""COMPUTED_VALUE"""),12400.0)</f>
        <v>12400</v>
      </c>
      <c r="E1160" s="1">
        <f>IFERROR(__xludf.DUMMYFUNCTION("""COMPUTED_VALUE"""),12400.0)</f>
        <v>12400</v>
      </c>
      <c r="F1160" s="1">
        <f>IFERROR(__xludf.DUMMYFUNCTION("""COMPUTED_VALUE"""),714824.0)</f>
        <v>714824</v>
      </c>
    </row>
    <row r="1161">
      <c r="A1161" s="2">
        <f>IFERROR(__xludf.DUMMYFUNCTION("""COMPUTED_VALUE"""),42635.64583333333)</f>
        <v>42635.64583</v>
      </c>
      <c r="B1161" s="1">
        <f>IFERROR(__xludf.DUMMYFUNCTION("""COMPUTED_VALUE"""),12550.0)</f>
        <v>12550</v>
      </c>
      <c r="C1161" s="1">
        <f>IFERROR(__xludf.DUMMYFUNCTION("""COMPUTED_VALUE"""),12750.0)</f>
        <v>12750</v>
      </c>
      <c r="D1161" s="1">
        <f>IFERROR(__xludf.DUMMYFUNCTION("""COMPUTED_VALUE"""),12150.0)</f>
        <v>12150</v>
      </c>
      <c r="E1161" s="1">
        <f>IFERROR(__xludf.DUMMYFUNCTION("""COMPUTED_VALUE"""),12350.0)</f>
        <v>12350</v>
      </c>
      <c r="F1161" s="1">
        <f>IFERROR(__xludf.DUMMYFUNCTION("""COMPUTED_VALUE"""),276286.0)</f>
        <v>276286</v>
      </c>
    </row>
    <row r="1162">
      <c r="A1162" s="2">
        <f>IFERROR(__xludf.DUMMYFUNCTION("""COMPUTED_VALUE"""),42636.64583333333)</f>
        <v>42636.64583</v>
      </c>
      <c r="B1162" s="1">
        <f>IFERROR(__xludf.DUMMYFUNCTION("""COMPUTED_VALUE"""),12350.0)</f>
        <v>12350</v>
      </c>
      <c r="C1162" s="1">
        <f>IFERROR(__xludf.DUMMYFUNCTION("""COMPUTED_VALUE"""),12450.0)</f>
        <v>12450</v>
      </c>
      <c r="D1162" s="1">
        <f>IFERROR(__xludf.DUMMYFUNCTION("""COMPUTED_VALUE"""),11700.0)</f>
        <v>11700</v>
      </c>
      <c r="E1162" s="1">
        <f>IFERROR(__xludf.DUMMYFUNCTION("""COMPUTED_VALUE"""),12150.0)</f>
        <v>12150</v>
      </c>
      <c r="F1162" s="1">
        <f>IFERROR(__xludf.DUMMYFUNCTION("""COMPUTED_VALUE"""),249967.0)</f>
        <v>249967</v>
      </c>
    </row>
    <row r="1163">
      <c r="A1163" s="2">
        <f>IFERROR(__xludf.DUMMYFUNCTION("""COMPUTED_VALUE"""),42639.64583333333)</f>
        <v>42639.64583</v>
      </c>
      <c r="B1163" s="1">
        <f>IFERROR(__xludf.DUMMYFUNCTION("""COMPUTED_VALUE"""),12200.0)</f>
        <v>12200</v>
      </c>
      <c r="C1163" s="1">
        <f>IFERROR(__xludf.DUMMYFUNCTION("""COMPUTED_VALUE"""),12400.0)</f>
        <v>12400</v>
      </c>
      <c r="D1163" s="1">
        <f>IFERROR(__xludf.DUMMYFUNCTION("""COMPUTED_VALUE"""),12000.0)</f>
        <v>12000</v>
      </c>
      <c r="E1163" s="1">
        <f>IFERROR(__xludf.DUMMYFUNCTION("""COMPUTED_VALUE"""),12150.0)</f>
        <v>12150</v>
      </c>
      <c r="F1163" s="1">
        <f>IFERROR(__xludf.DUMMYFUNCTION("""COMPUTED_VALUE"""),158587.0)</f>
        <v>158587</v>
      </c>
    </row>
    <row r="1164">
      <c r="A1164" s="2">
        <f>IFERROR(__xludf.DUMMYFUNCTION("""COMPUTED_VALUE"""),42640.64583333333)</f>
        <v>42640.64583</v>
      </c>
      <c r="B1164" s="1">
        <f>IFERROR(__xludf.DUMMYFUNCTION("""COMPUTED_VALUE"""),12050.0)</f>
        <v>12050</v>
      </c>
      <c r="C1164" s="1">
        <f>IFERROR(__xludf.DUMMYFUNCTION("""COMPUTED_VALUE"""),12250.0)</f>
        <v>12250</v>
      </c>
      <c r="D1164" s="1">
        <f>IFERROR(__xludf.DUMMYFUNCTION("""COMPUTED_VALUE"""),11550.0)</f>
        <v>11550</v>
      </c>
      <c r="E1164" s="1">
        <f>IFERROR(__xludf.DUMMYFUNCTION("""COMPUTED_VALUE"""),11800.0)</f>
        <v>11800</v>
      </c>
      <c r="F1164" s="1">
        <f>IFERROR(__xludf.DUMMYFUNCTION("""COMPUTED_VALUE"""),263604.0)</f>
        <v>263604</v>
      </c>
    </row>
    <row r="1165">
      <c r="A1165" s="2">
        <f>IFERROR(__xludf.DUMMYFUNCTION("""COMPUTED_VALUE"""),42641.64583333333)</f>
        <v>42641.64583</v>
      </c>
      <c r="B1165" s="1">
        <f>IFERROR(__xludf.DUMMYFUNCTION("""COMPUTED_VALUE"""),11850.0)</f>
        <v>11850</v>
      </c>
      <c r="C1165" s="1">
        <f>IFERROR(__xludf.DUMMYFUNCTION("""COMPUTED_VALUE"""),12350.0)</f>
        <v>12350</v>
      </c>
      <c r="D1165" s="1">
        <f>IFERROR(__xludf.DUMMYFUNCTION("""COMPUTED_VALUE"""),11700.0)</f>
        <v>11700</v>
      </c>
      <c r="E1165" s="1">
        <f>IFERROR(__xludf.DUMMYFUNCTION("""COMPUTED_VALUE"""),12000.0)</f>
        <v>12000</v>
      </c>
      <c r="F1165" s="1">
        <f>IFERROR(__xludf.DUMMYFUNCTION("""COMPUTED_VALUE"""),260215.0)</f>
        <v>260215</v>
      </c>
    </row>
    <row r="1166">
      <c r="A1166" s="2">
        <f>IFERROR(__xludf.DUMMYFUNCTION("""COMPUTED_VALUE"""),42642.64583333333)</f>
        <v>42642.64583</v>
      </c>
      <c r="B1166" s="1">
        <f>IFERROR(__xludf.DUMMYFUNCTION("""COMPUTED_VALUE"""),12000.0)</f>
        <v>12000</v>
      </c>
      <c r="C1166" s="1">
        <f>IFERROR(__xludf.DUMMYFUNCTION("""COMPUTED_VALUE"""),12200.0)</f>
        <v>12200</v>
      </c>
      <c r="D1166" s="1">
        <f>IFERROR(__xludf.DUMMYFUNCTION("""COMPUTED_VALUE"""),11900.0)</f>
        <v>11900</v>
      </c>
      <c r="E1166" s="1">
        <f>IFERROR(__xludf.DUMMYFUNCTION("""COMPUTED_VALUE"""),11950.0)</f>
        <v>11950</v>
      </c>
      <c r="F1166" s="1">
        <f>IFERROR(__xludf.DUMMYFUNCTION("""COMPUTED_VALUE"""),91144.0)</f>
        <v>91144</v>
      </c>
    </row>
    <row r="1167">
      <c r="A1167" s="2">
        <f>IFERROR(__xludf.DUMMYFUNCTION("""COMPUTED_VALUE"""),42643.64583333333)</f>
        <v>42643.64583</v>
      </c>
      <c r="B1167" s="1">
        <f>IFERROR(__xludf.DUMMYFUNCTION("""COMPUTED_VALUE"""),11950.0)</f>
        <v>11950</v>
      </c>
      <c r="C1167" s="1">
        <f>IFERROR(__xludf.DUMMYFUNCTION("""COMPUTED_VALUE"""),12050.0)</f>
        <v>12050</v>
      </c>
      <c r="D1167" s="1">
        <f>IFERROR(__xludf.DUMMYFUNCTION("""COMPUTED_VALUE"""),11400.0)</f>
        <v>11400</v>
      </c>
      <c r="E1167" s="1">
        <f>IFERROR(__xludf.DUMMYFUNCTION("""COMPUTED_VALUE"""),11500.0)</f>
        <v>11500</v>
      </c>
      <c r="F1167" s="1">
        <f>IFERROR(__xludf.DUMMYFUNCTION("""COMPUTED_VALUE"""),137510.0)</f>
        <v>137510</v>
      </c>
    </row>
    <row r="1168">
      <c r="A1168" s="2">
        <f>IFERROR(__xludf.DUMMYFUNCTION("""COMPUTED_VALUE"""),42647.64583333333)</f>
        <v>42647.64583</v>
      </c>
      <c r="B1168" s="1">
        <f>IFERROR(__xludf.DUMMYFUNCTION("""COMPUTED_VALUE"""),11650.0)</f>
        <v>11650</v>
      </c>
      <c r="C1168" s="1">
        <f>IFERROR(__xludf.DUMMYFUNCTION("""COMPUTED_VALUE"""),11750.0)</f>
        <v>11750</v>
      </c>
      <c r="D1168" s="1">
        <f>IFERROR(__xludf.DUMMYFUNCTION("""COMPUTED_VALUE"""),11550.0)</f>
        <v>11550</v>
      </c>
      <c r="E1168" s="1">
        <f>IFERROR(__xludf.DUMMYFUNCTION("""COMPUTED_VALUE"""),11550.0)</f>
        <v>11550</v>
      </c>
      <c r="F1168" s="1">
        <f>IFERROR(__xludf.DUMMYFUNCTION("""COMPUTED_VALUE"""),77989.0)</f>
        <v>77989</v>
      </c>
    </row>
    <row r="1169">
      <c r="A1169" s="2">
        <f>IFERROR(__xludf.DUMMYFUNCTION("""COMPUTED_VALUE"""),42648.64583333333)</f>
        <v>42648.64583</v>
      </c>
      <c r="B1169" s="1">
        <f>IFERROR(__xludf.DUMMYFUNCTION("""COMPUTED_VALUE"""),11650.0)</f>
        <v>11650</v>
      </c>
      <c r="C1169" s="1">
        <f>IFERROR(__xludf.DUMMYFUNCTION("""COMPUTED_VALUE"""),12100.0)</f>
        <v>12100</v>
      </c>
      <c r="D1169" s="1">
        <f>IFERROR(__xludf.DUMMYFUNCTION("""COMPUTED_VALUE"""),11600.0)</f>
        <v>11600</v>
      </c>
      <c r="E1169" s="1">
        <f>IFERROR(__xludf.DUMMYFUNCTION("""COMPUTED_VALUE"""),11800.0)</f>
        <v>11800</v>
      </c>
      <c r="F1169" s="1">
        <f>IFERROR(__xludf.DUMMYFUNCTION("""COMPUTED_VALUE"""),133673.0)</f>
        <v>133673</v>
      </c>
    </row>
    <row r="1170">
      <c r="A1170" s="2">
        <f>IFERROR(__xludf.DUMMYFUNCTION("""COMPUTED_VALUE"""),42649.64583333333)</f>
        <v>42649.64583</v>
      </c>
      <c r="B1170" s="1">
        <f>IFERROR(__xludf.DUMMYFUNCTION("""COMPUTED_VALUE"""),11850.0)</f>
        <v>11850</v>
      </c>
      <c r="C1170" s="1">
        <f>IFERROR(__xludf.DUMMYFUNCTION("""COMPUTED_VALUE"""),12000.0)</f>
        <v>12000</v>
      </c>
      <c r="D1170" s="1">
        <f>IFERROR(__xludf.DUMMYFUNCTION("""COMPUTED_VALUE"""),11650.0)</f>
        <v>11650</v>
      </c>
      <c r="E1170" s="1">
        <f>IFERROR(__xludf.DUMMYFUNCTION("""COMPUTED_VALUE"""),11850.0)</f>
        <v>11850</v>
      </c>
      <c r="F1170" s="1">
        <f>IFERROR(__xludf.DUMMYFUNCTION("""COMPUTED_VALUE"""),97556.0)</f>
        <v>97556</v>
      </c>
    </row>
    <row r="1171">
      <c r="A1171" s="2">
        <f>IFERROR(__xludf.DUMMYFUNCTION("""COMPUTED_VALUE"""),42650.64583333333)</f>
        <v>42650.64583</v>
      </c>
      <c r="B1171" s="1">
        <f>IFERROR(__xludf.DUMMYFUNCTION("""COMPUTED_VALUE"""),12300.0)</f>
        <v>12300</v>
      </c>
      <c r="C1171" s="1">
        <f>IFERROR(__xludf.DUMMYFUNCTION("""COMPUTED_VALUE"""),13200.0)</f>
        <v>13200</v>
      </c>
      <c r="D1171" s="1">
        <f>IFERROR(__xludf.DUMMYFUNCTION("""COMPUTED_VALUE"""),12100.0)</f>
        <v>12100</v>
      </c>
      <c r="E1171" s="1">
        <f>IFERROR(__xludf.DUMMYFUNCTION("""COMPUTED_VALUE"""),12600.0)</f>
        <v>12600</v>
      </c>
      <c r="F1171" s="1">
        <f>IFERROR(__xludf.DUMMYFUNCTION("""COMPUTED_VALUE"""),840623.0)</f>
        <v>840623</v>
      </c>
    </row>
    <row r="1172">
      <c r="A1172" s="2">
        <f>IFERROR(__xludf.DUMMYFUNCTION("""COMPUTED_VALUE"""),42653.64583333333)</f>
        <v>42653.64583</v>
      </c>
      <c r="B1172" s="1">
        <f>IFERROR(__xludf.DUMMYFUNCTION("""COMPUTED_VALUE"""),12750.0)</f>
        <v>12750</v>
      </c>
      <c r="C1172" s="1">
        <f>IFERROR(__xludf.DUMMYFUNCTION("""COMPUTED_VALUE"""),13800.0)</f>
        <v>13800</v>
      </c>
      <c r="D1172" s="1">
        <f>IFERROR(__xludf.DUMMYFUNCTION("""COMPUTED_VALUE"""),12750.0)</f>
        <v>12750</v>
      </c>
      <c r="E1172" s="1">
        <f>IFERROR(__xludf.DUMMYFUNCTION("""COMPUTED_VALUE"""),13500.0)</f>
        <v>13500</v>
      </c>
      <c r="F1172" s="1">
        <f>IFERROR(__xludf.DUMMYFUNCTION("""COMPUTED_VALUE"""),625796.0)</f>
        <v>625796</v>
      </c>
    </row>
    <row r="1173">
      <c r="A1173" s="2">
        <f>IFERROR(__xludf.DUMMYFUNCTION("""COMPUTED_VALUE"""),42654.64583333333)</f>
        <v>42654.64583</v>
      </c>
      <c r="B1173" s="1">
        <f>IFERROR(__xludf.DUMMYFUNCTION("""COMPUTED_VALUE"""),13250.0)</f>
        <v>13250</v>
      </c>
      <c r="C1173" s="1">
        <f>IFERROR(__xludf.DUMMYFUNCTION("""COMPUTED_VALUE"""),13300.0)</f>
        <v>13300</v>
      </c>
      <c r="D1173" s="1">
        <f>IFERROR(__xludf.DUMMYFUNCTION("""COMPUTED_VALUE"""),12900.0)</f>
        <v>12900</v>
      </c>
      <c r="E1173" s="1">
        <f>IFERROR(__xludf.DUMMYFUNCTION("""COMPUTED_VALUE"""),13200.0)</f>
        <v>13200</v>
      </c>
      <c r="F1173" s="1">
        <f>IFERROR(__xludf.DUMMYFUNCTION("""COMPUTED_VALUE"""),260487.0)</f>
        <v>260487</v>
      </c>
    </row>
    <row r="1174">
      <c r="A1174" s="2">
        <f>IFERROR(__xludf.DUMMYFUNCTION("""COMPUTED_VALUE"""),42655.64583333333)</f>
        <v>42655.64583</v>
      </c>
      <c r="B1174" s="1">
        <f>IFERROR(__xludf.DUMMYFUNCTION("""COMPUTED_VALUE"""),13000.0)</f>
        <v>13000</v>
      </c>
      <c r="C1174" s="1">
        <f>IFERROR(__xludf.DUMMYFUNCTION("""COMPUTED_VALUE"""),13550.0)</f>
        <v>13550</v>
      </c>
      <c r="D1174" s="1">
        <f>IFERROR(__xludf.DUMMYFUNCTION("""COMPUTED_VALUE"""),13000.0)</f>
        <v>13000</v>
      </c>
      <c r="E1174" s="1">
        <f>IFERROR(__xludf.DUMMYFUNCTION("""COMPUTED_VALUE"""),13350.0)</f>
        <v>13350</v>
      </c>
      <c r="F1174" s="1">
        <f>IFERROR(__xludf.DUMMYFUNCTION("""COMPUTED_VALUE"""),201413.0)</f>
        <v>201413</v>
      </c>
    </row>
    <row r="1175">
      <c r="A1175" s="2">
        <f>IFERROR(__xludf.DUMMYFUNCTION("""COMPUTED_VALUE"""),42656.64583333333)</f>
        <v>42656.64583</v>
      </c>
      <c r="B1175" s="1">
        <f>IFERROR(__xludf.DUMMYFUNCTION("""COMPUTED_VALUE"""),13450.0)</f>
        <v>13450</v>
      </c>
      <c r="C1175" s="1">
        <f>IFERROR(__xludf.DUMMYFUNCTION("""COMPUTED_VALUE"""),13500.0)</f>
        <v>13500</v>
      </c>
      <c r="D1175" s="1">
        <f>IFERROR(__xludf.DUMMYFUNCTION("""COMPUTED_VALUE"""),12450.0)</f>
        <v>12450</v>
      </c>
      <c r="E1175" s="1">
        <f>IFERROR(__xludf.DUMMYFUNCTION("""COMPUTED_VALUE"""),12450.0)</f>
        <v>12450</v>
      </c>
      <c r="F1175" s="1">
        <f>IFERROR(__xludf.DUMMYFUNCTION("""COMPUTED_VALUE"""),209262.0)</f>
        <v>209262</v>
      </c>
    </row>
    <row r="1176">
      <c r="A1176" s="2">
        <f>IFERROR(__xludf.DUMMYFUNCTION("""COMPUTED_VALUE"""),42657.64583333333)</f>
        <v>42657.64583</v>
      </c>
      <c r="B1176" s="1">
        <f>IFERROR(__xludf.DUMMYFUNCTION("""COMPUTED_VALUE"""),12600.0)</f>
        <v>12600</v>
      </c>
      <c r="C1176" s="1">
        <f>IFERROR(__xludf.DUMMYFUNCTION("""COMPUTED_VALUE"""),12900.0)</f>
        <v>12900</v>
      </c>
      <c r="D1176" s="1">
        <f>IFERROR(__xludf.DUMMYFUNCTION("""COMPUTED_VALUE"""),12250.0)</f>
        <v>12250</v>
      </c>
      <c r="E1176" s="1">
        <f>IFERROR(__xludf.DUMMYFUNCTION("""COMPUTED_VALUE"""),12750.0)</f>
        <v>12750</v>
      </c>
      <c r="F1176" s="1">
        <f>IFERROR(__xludf.DUMMYFUNCTION("""COMPUTED_VALUE"""),146844.0)</f>
        <v>146844</v>
      </c>
    </row>
    <row r="1177">
      <c r="A1177" s="2">
        <f>IFERROR(__xludf.DUMMYFUNCTION("""COMPUTED_VALUE"""),42660.64583333333)</f>
        <v>42660.64583</v>
      </c>
      <c r="B1177" s="1">
        <f>IFERROR(__xludf.DUMMYFUNCTION("""COMPUTED_VALUE"""),12750.0)</f>
        <v>12750</v>
      </c>
      <c r="C1177" s="1">
        <f>IFERROR(__xludf.DUMMYFUNCTION("""COMPUTED_VALUE"""),12900.0)</f>
        <v>12900</v>
      </c>
      <c r="D1177" s="1">
        <f>IFERROR(__xludf.DUMMYFUNCTION("""COMPUTED_VALUE"""),12300.0)</f>
        <v>12300</v>
      </c>
      <c r="E1177" s="1">
        <f>IFERROR(__xludf.DUMMYFUNCTION("""COMPUTED_VALUE"""),12300.0)</f>
        <v>12300</v>
      </c>
      <c r="F1177" s="1">
        <f>IFERROR(__xludf.DUMMYFUNCTION("""COMPUTED_VALUE"""),94967.0)</f>
        <v>94967</v>
      </c>
    </row>
    <row r="1178">
      <c r="A1178" s="2">
        <f>IFERROR(__xludf.DUMMYFUNCTION("""COMPUTED_VALUE"""),42661.64583333333)</f>
        <v>42661.64583</v>
      </c>
      <c r="B1178" s="1">
        <f>IFERROR(__xludf.DUMMYFUNCTION("""COMPUTED_VALUE"""),12250.0)</f>
        <v>12250</v>
      </c>
      <c r="C1178" s="1">
        <f>IFERROR(__xludf.DUMMYFUNCTION("""COMPUTED_VALUE"""),12500.0)</f>
        <v>12500</v>
      </c>
      <c r="D1178" s="1">
        <f>IFERROR(__xludf.DUMMYFUNCTION("""COMPUTED_VALUE"""),12050.0)</f>
        <v>12050</v>
      </c>
      <c r="E1178" s="1">
        <f>IFERROR(__xludf.DUMMYFUNCTION("""COMPUTED_VALUE"""),12250.0)</f>
        <v>12250</v>
      </c>
      <c r="F1178" s="1">
        <f>IFERROR(__xludf.DUMMYFUNCTION("""COMPUTED_VALUE"""),89225.0)</f>
        <v>89225</v>
      </c>
    </row>
    <row r="1179">
      <c r="A1179" s="2">
        <f>IFERROR(__xludf.DUMMYFUNCTION("""COMPUTED_VALUE"""),42662.64583333333)</f>
        <v>42662.64583</v>
      </c>
      <c r="B1179" s="1">
        <f>IFERROR(__xludf.DUMMYFUNCTION("""COMPUTED_VALUE"""),12200.0)</f>
        <v>12200</v>
      </c>
      <c r="C1179" s="1">
        <f>IFERROR(__xludf.DUMMYFUNCTION("""COMPUTED_VALUE"""),12400.0)</f>
        <v>12400</v>
      </c>
      <c r="D1179" s="1">
        <f>IFERROR(__xludf.DUMMYFUNCTION("""COMPUTED_VALUE"""),11900.0)</f>
        <v>11900</v>
      </c>
      <c r="E1179" s="1">
        <f>IFERROR(__xludf.DUMMYFUNCTION("""COMPUTED_VALUE"""),12300.0)</f>
        <v>12300</v>
      </c>
      <c r="F1179" s="1">
        <f>IFERROR(__xludf.DUMMYFUNCTION("""COMPUTED_VALUE"""),99240.0)</f>
        <v>99240</v>
      </c>
    </row>
    <row r="1180">
      <c r="A1180" s="2">
        <f>IFERROR(__xludf.DUMMYFUNCTION("""COMPUTED_VALUE"""),42663.64583333333)</f>
        <v>42663.64583</v>
      </c>
      <c r="B1180" s="1">
        <f>IFERROR(__xludf.DUMMYFUNCTION("""COMPUTED_VALUE"""),12200.0)</f>
        <v>12200</v>
      </c>
      <c r="C1180" s="1">
        <f>IFERROR(__xludf.DUMMYFUNCTION("""COMPUTED_VALUE"""),12650.0)</f>
        <v>12650</v>
      </c>
      <c r="D1180" s="1">
        <f>IFERROR(__xludf.DUMMYFUNCTION("""COMPUTED_VALUE"""),12100.0)</f>
        <v>12100</v>
      </c>
      <c r="E1180" s="1">
        <f>IFERROR(__xludf.DUMMYFUNCTION("""COMPUTED_VALUE"""),12650.0)</f>
        <v>12650</v>
      </c>
      <c r="F1180" s="1">
        <f>IFERROR(__xludf.DUMMYFUNCTION("""COMPUTED_VALUE"""),97331.0)</f>
        <v>97331</v>
      </c>
    </row>
    <row r="1181">
      <c r="A1181" s="2">
        <f>IFERROR(__xludf.DUMMYFUNCTION("""COMPUTED_VALUE"""),42664.64583333333)</f>
        <v>42664.64583</v>
      </c>
      <c r="B1181" s="1">
        <f>IFERROR(__xludf.DUMMYFUNCTION("""COMPUTED_VALUE"""),12600.0)</f>
        <v>12600</v>
      </c>
      <c r="C1181" s="1">
        <f>IFERROR(__xludf.DUMMYFUNCTION("""COMPUTED_VALUE"""),12650.0)</f>
        <v>12650</v>
      </c>
      <c r="D1181" s="1">
        <f>IFERROR(__xludf.DUMMYFUNCTION("""COMPUTED_VALUE"""),12350.0)</f>
        <v>12350</v>
      </c>
      <c r="E1181" s="1">
        <f>IFERROR(__xludf.DUMMYFUNCTION("""COMPUTED_VALUE"""),12350.0)</f>
        <v>12350</v>
      </c>
      <c r="F1181" s="1">
        <f>IFERROR(__xludf.DUMMYFUNCTION("""COMPUTED_VALUE"""),65350.0)</f>
        <v>65350</v>
      </c>
    </row>
    <row r="1182">
      <c r="A1182" s="2">
        <f>IFERROR(__xludf.DUMMYFUNCTION("""COMPUTED_VALUE"""),42667.64583333333)</f>
        <v>42667.64583</v>
      </c>
      <c r="B1182" s="1">
        <f>IFERROR(__xludf.DUMMYFUNCTION("""COMPUTED_VALUE"""),12200.0)</f>
        <v>12200</v>
      </c>
      <c r="C1182" s="1">
        <f>IFERROR(__xludf.DUMMYFUNCTION("""COMPUTED_VALUE"""),12350.0)</f>
        <v>12350</v>
      </c>
      <c r="D1182" s="1">
        <f>IFERROR(__xludf.DUMMYFUNCTION("""COMPUTED_VALUE"""),12000.0)</f>
        <v>12000</v>
      </c>
      <c r="E1182" s="1">
        <f>IFERROR(__xludf.DUMMYFUNCTION("""COMPUTED_VALUE"""),12000.0)</f>
        <v>12000</v>
      </c>
      <c r="F1182" s="1">
        <f>IFERROR(__xludf.DUMMYFUNCTION("""COMPUTED_VALUE"""),66768.0)</f>
        <v>66768</v>
      </c>
    </row>
    <row r="1183">
      <c r="A1183" s="2">
        <f>IFERROR(__xludf.DUMMYFUNCTION("""COMPUTED_VALUE"""),42668.64583333333)</f>
        <v>42668.64583</v>
      </c>
      <c r="B1183" s="1">
        <f>IFERROR(__xludf.DUMMYFUNCTION("""COMPUTED_VALUE"""),12000.0)</f>
        <v>12000</v>
      </c>
      <c r="C1183" s="1">
        <f>IFERROR(__xludf.DUMMYFUNCTION("""COMPUTED_VALUE"""),12150.0)</f>
        <v>12150</v>
      </c>
      <c r="D1183" s="1">
        <f>IFERROR(__xludf.DUMMYFUNCTION("""COMPUTED_VALUE"""),11500.0)</f>
        <v>11500</v>
      </c>
      <c r="E1183" s="1">
        <f>IFERROR(__xludf.DUMMYFUNCTION("""COMPUTED_VALUE"""),11650.0)</f>
        <v>11650</v>
      </c>
      <c r="F1183" s="1">
        <f>IFERROR(__xludf.DUMMYFUNCTION("""COMPUTED_VALUE"""),118605.0)</f>
        <v>118605</v>
      </c>
    </row>
    <row r="1184">
      <c r="A1184" s="2">
        <f>IFERROR(__xludf.DUMMYFUNCTION("""COMPUTED_VALUE"""),42669.64583333333)</f>
        <v>42669.64583</v>
      </c>
      <c r="B1184" s="1">
        <f>IFERROR(__xludf.DUMMYFUNCTION("""COMPUTED_VALUE"""),11800.0)</f>
        <v>11800</v>
      </c>
      <c r="C1184" s="1">
        <f>IFERROR(__xludf.DUMMYFUNCTION("""COMPUTED_VALUE"""),12200.0)</f>
        <v>12200</v>
      </c>
      <c r="D1184" s="1">
        <f>IFERROR(__xludf.DUMMYFUNCTION("""COMPUTED_VALUE"""),11600.0)</f>
        <v>11600</v>
      </c>
      <c r="E1184" s="1">
        <f>IFERROR(__xludf.DUMMYFUNCTION("""COMPUTED_VALUE"""),12050.0)</f>
        <v>12050</v>
      </c>
      <c r="F1184" s="1">
        <f>IFERROR(__xludf.DUMMYFUNCTION("""COMPUTED_VALUE"""),132850.0)</f>
        <v>132850</v>
      </c>
    </row>
    <row r="1185">
      <c r="A1185" s="2">
        <f>IFERROR(__xludf.DUMMYFUNCTION("""COMPUTED_VALUE"""),42670.64583333333)</f>
        <v>42670.64583</v>
      </c>
      <c r="B1185" s="1">
        <f>IFERROR(__xludf.DUMMYFUNCTION("""COMPUTED_VALUE"""),12100.0)</f>
        <v>12100</v>
      </c>
      <c r="C1185" s="1">
        <f>IFERROR(__xludf.DUMMYFUNCTION("""COMPUTED_VALUE"""),12300.0)</f>
        <v>12300</v>
      </c>
      <c r="D1185" s="1">
        <f>IFERROR(__xludf.DUMMYFUNCTION("""COMPUTED_VALUE"""),11900.0)</f>
        <v>11900</v>
      </c>
      <c r="E1185" s="1">
        <f>IFERROR(__xludf.DUMMYFUNCTION("""COMPUTED_VALUE"""),12150.0)</f>
        <v>12150</v>
      </c>
      <c r="F1185" s="1">
        <f>IFERROR(__xludf.DUMMYFUNCTION("""COMPUTED_VALUE"""),83777.0)</f>
        <v>83777</v>
      </c>
    </row>
    <row r="1186">
      <c r="A1186" s="2">
        <f>IFERROR(__xludf.DUMMYFUNCTION("""COMPUTED_VALUE"""),42671.64583333333)</f>
        <v>42671.64583</v>
      </c>
      <c r="B1186" s="1">
        <f>IFERROR(__xludf.DUMMYFUNCTION("""COMPUTED_VALUE"""),12100.0)</f>
        <v>12100</v>
      </c>
      <c r="C1186" s="1">
        <f>IFERROR(__xludf.DUMMYFUNCTION("""COMPUTED_VALUE"""),12250.0)</f>
        <v>12250</v>
      </c>
      <c r="D1186" s="1">
        <f>IFERROR(__xludf.DUMMYFUNCTION("""COMPUTED_VALUE"""),11850.0)</f>
        <v>11850</v>
      </c>
      <c r="E1186" s="1">
        <f>IFERROR(__xludf.DUMMYFUNCTION("""COMPUTED_VALUE"""),11850.0)</f>
        <v>11850</v>
      </c>
      <c r="F1186" s="1">
        <f>IFERROR(__xludf.DUMMYFUNCTION("""COMPUTED_VALUE"""),66801.0)</f>
        <v>66801</v>
      </c>
    </row>
    <row r="1187">
      <c r="A1187" s="2">
        <f>IFERROR(__xludf.DUMMYFUNCTION("""COMPUTED_VALUE"""),42674.64583333333)</f>
        <v>42674.64583</v>
      </c>
      <c r="B1187" s="1">
        <f>IFERROR(__xludf.DUMMYFUNCTION("""COMPUTED_VALUE"""),11900.0)</f>
        <v>11900</v>
      </c>
      <c r="C1187" s="1">
        <f>IFERROR(__xludf.DUMMYFUNCTION("""COMPUTED_VALUE"""),11900.0)</f>
        <v>11900</v>
      </c>
      <c r="D1187" s="1">
        <f>IFERROR(__xludf.DUMMYFUNCTION("""COMPUTED_VALUE"""),11450.0)</f>
        <v>11450</v>
      </c>
      <c r="E1187" s="1">
        <f>IFERROR(__xludf.DUMMYFUNCTION("""COMPUTED_VALUE"""),11500.0)</f>
        <v>11500</v>
      </c>
      <c r="F1187" s="1">
        <f>IFERROR(__xludf.DUMMYFUNCTION("""COMPUTED_VALUE"""),89172.0)</f>
        <v>89172</v>
      </c>
    </row>
    <row r="1188">
      <c r="A1188" s="2">
        <f>IFERROR(__xludf.DUMMYFUNCTION("""COMPUTED_VALUE"""),42675.64583333333)</f>
        <v>42675.64583</v>
      </c>
      <c r="B1188" s="1">
        <f>IFERROR(__xludf.DUMMYFUNCTION("""COMPUTED_VALUE"""),11300.0)</f>
        <v>11300</v>
      </c>
      <c r="C1188" s="1">
        <f>IFERROR(__xludf.DUMMYFUNCTION("""COMPUTED_VALUE"""),11800.0)</f>
        <v>11800</v>
      </c>
      <c r="D1188" s="1">
        <f>IFERROR(__xludf.DUMMYFUNCTION("""COMPUTED_VALUE"""),11300.0)</f>
        <v>11300</v>
      </c>
      <c r="E1188" s="1">
        <f>IFERROR(__xludf.DUMMYFUNCTION("""COMPUTED_VALUE"""),11450.0)</f>
        <v>11450</v>
      </c>
      <c r="F1188" s="1">
        <f>IFERROR(__xludf.DUMMYFUNCTION("""COMPUTED_VALUE"""),46812.0)</f>
        <v>46812</v>
      </c>
    </row>
    <row r="1189">
      <c r="A1189" s="2">
        <f>IFERROR(__xludf.DUMMYFUNCTION("""COMPUTED_VALUE"""),42676.64583333333)</f>
        <v>42676.64583</v>
      </c>
      <c r="B1189" s="1">
        <f>IFERROR(__xludf.DUMMYFUNCTION("""COMPUTED_VALUE"""),11450.0)</f>
        <v>11450</v>
      </c>
      <c r="C1189" s="1">
        <f>IFERROR(__xludf.DUMMYFUNCTION("""COMPUTED_VALUE"""),11550.0)</f>
        <v>11550</v>
      </c>
      <c r="D1189" s="1">
        <f>IFERROR(__xludf.DUMMYFUNCTION("""COMPUTED_VALUE"""),10950.0)</f>
        <v>10950</v>
      </c>
      <c r="E1189" s="1">
        <f>IFERROR(__xludf.DUMMYFUNCTION("""COMPUTED_VALUE"""),10950.0)</f>
        <v>10950</v>
      </c>
      <c r="F1189" s="1">
        <f>IFERROR(__xludf.DUMMYFUNCTION("""COMPUTED_VALUE"""),101349.0)</f>
        <v>101349</v>
      </c>
    </row>
    <row r="1190">
      <c r="A1190" s="2">
        <f>IFERROR(__xludf.DUMMYFUNCTION("""COMPUTED_VALUE"""),42677.64583333333)</f>
        <v>42677.64583</v>
      </c>
      <c r="B1190" s="1">
        <f>IFERROR(__xludf.DUMMYFUNCTION("""COMPUTED_VALUE"""),10800.0)</f>
        <v>10800</v>
      </c>
      <c r="C1190" s="1">
        <f>IFERROR(__xludf.DUMMYFUNCTION("""COMPUTED_VALUE"""),11300.0)</f>
        <v>11300</v>
      </c>
      <c r="D1190" s="1">
        <f>IFERROR(__xludf.DUMMYFUNCTION("""COMPUTED_VALUE"""),10800.0)</f>
        <v>10800</v>
      </c>
      <c r="E1190" s="1">
        <f>IFERROR(__xludf.DUMMYFUNCTION("""COMPUTED_VALUE"""),11150.0)</f>
        <v>11150</v>
      </c>
      <c r="F1190" s="1">
        <f>IFERROR(__xludf.DUMMYFUNCTION("""COMPUTED_VALUE"""),60077.0)</f>
        <v>60077</v>
      </c>
    </row>
    <row r="1191">
      <c r="A1191" s="2">
        <f>IFERROR(__xludf.DUMMYFUNCTION("""COMPUTED_VALUE"""),42678.64583333333)</f>
        <v>42678.64583</v>
      </c>
      <c r="B1191" s="1">
        <f>IFERROR(__xludf.DUMMYFUNCTION("""COMPUTED_VALUE"""),11250.0)</f>
        <v>11250</v>
      </c>
      <c r="C1191" s="1">
        <f>IFERROR(__xludf.DUMMYFUNCTION("""COMPUTED_VALUE"""),11350.0)</f>
        <v>11350</v>
      </c>
      <c r="D1191" s="1">
        <f>IFERROR(__xludf.DUMMYFUNCTION("""COMPUTED_VALUE"""),10950.0)</f>
        <v>10950</v>
      </c>
      <c r="E1191" s="1">
        <f>IFERROR(__xludf.DUMMYFUNCTION("""COMPUTED_VALUE"""),11300.0)</f>
        <v>11300</v>
      </c>
      <c r="F1191" s="1">
        <f>IFERROR(__xludf.DUMMYFUNCTION("""COMPUTED_VALUE"""),27688.0)</f>
        <v>27688</v>
      </c>
    </row>
    <row r="1192">
      <c r="A1192" s="2">
        <f>IFERROR(__xludf.DUMMYFUNCTION("""COMPUTED_VALUE"""),42681.64583333333)</f>
        <v>42681.64583</v>
      </c>
      <c r="B1192" s="1">
        <f>IFERROR(__xludf.DUMMYFUNCTION("""COMPUTED_VALUE"""),11250.0)</f>
        <v>11250</v>
      </c>
      <c r="C1192" s="1">
        <f>IFERROR(__xludf.DUMMYFUNCTION("""COMPUTED_VALUE"""),11600.0)</f>
        <v>11600</v>
      </c>
      <c r="D1192" s="1">
        <f>IFERROR(__xludf.DUMMYFUNCTION("""COMPUTED_VALUE"""),11250.0)</f>
        <v>11250</v>
      </c>
      <c r="E1192" s="1">
        <f>IFERROR(__xludf.DUMMYFUNCTION("""COMPUTED_VALUE"""),11500.0)</f>
        <v>11500</v>
      </c>
      <c r="F1192" s="1">
        <f>IFERROR(__xludf.DUMMYFUNCTION("""COMPUTED_VALUE"""),40471.0)</f>
        <v>40471</v>
      </c>
    </row>
    <row r="1193">
      <c r="A1193" s="2">
        <f>IFERROR(__xludf.DUMMYFUNCTION("""COMPUTED_VALUE"""),42682.64583333333)</f>
        <v>42682.64583</v>
      </c>
      <c r="B1193" s="1">
        <f>IFERROR(__xludf.DUMMYFUNCTION("""COMPUTED_VALUE"""),11500.0)</f>
        <v>11500</v>
      </c>
      <c r="C1193" s="1">
        <f>IFERROR(__xludf.DUMMYFUNCTION("""COMPUTED_VALUE"""),11700.0)</f>
        <v>11700</v>
      </c>
      <c r="D1193" s="1">
        <f>IFERROR(__xludf.DUMMYFUNCTION("""COMPUTED_VALUE"""),11400.0)</f>
        <v>11400</v>
      </c>
      <c r="E1193" s="1">
        <f>IFERROR(__xludf.DUMMYFUNCTION("""COMPUTED_VALUE"""),11500.0)</f>
        <v>11500</v>
      </c>
      <c r="F1193" s="1">
        <f>IFERROR(__xludf.DUMMYFUNCTION("""COMPUTED_VALUE"""),33377.0)</f>
        <v>33377</v>
      </c>
    </row>
    <row r="1194">
      <c r="A1194" s="2">
        <f>IFERROR(__xludf.DUMMYFUNCTION("""COMPUTED_VALUE"""),42683.64583333333)</f>
        <v>42683.64583</v>
      </c>
      <c r="B1194" s="1">
        <f>IFERROR(__xludf.DUMMYFUNCTION("""COMPUTED_VALUE"""),11700.0)</f>
        <v>11700</v>
      </c>
      <c r="C1194" s="1">
        <f>IFERROR(__xludf.DUMMYFUNCTION("""COMPUTED_VALUE"""),11700.0)</f>
        <v>11700</v>
      </c>
      <c r="D1194" s="1">
        <f>IFERROR(__xludf.DUMMYFUNCTION("""COMPUTED_VALUE"""),10350.0)</f>
        <v>10350</v>
      </c>
      <c r="E1194" s="1">
        <f>IFERROR(__xludf.DUMMYFUNCTION("""COMPUTED_VALUE"""),10800.0)</f>
        <v>10800</v>
      </c>
      <c r="F1194" s="1">
        <f>IFERROR(__xludf.DUMMYFUNCTION("""COMPUTED_VALUE"""),228916.0)</f>
        <v>228916</v>
      </c>
    </row>
    <row r="1195">
      <c r="A1195" s="2">
        <f>IFERROR(__xludf.DUMMYFUNCTION("""COMPUTED_VALUE"""),42684.64583333333)</f>
        <v>42684.64583</v>
      </c>
      <c r="B1195" s="1">
        <f>IFERROR(__xludf.DUMMYFUNCTION("""COMPUTED_VALUE"""),11000.0)</f>
        <v>11000</v>
      </c>
      <c r="C1195" s="1">
        <f>IFERROR(__xludf.DUMMYFUNCTION("""COMPUTED_VALUE"""),11350.0)</f>
        <v>11350</v>
      </c>
      <c r="D1195" s="1">
        <f>IFERROR(__xludf.DUMMYFUNCTION("""COMPUTED_VALUE"""),11000.0)</f>
        <v>11000</v>
      </c>
      <c r="E1195" s="1">
        <f>IFERROR(__xludf.DUMMYFUNCTION("""COMPUTED_VALUE"""),11350.0)</f>
        <v>11350</v>
      </c>
      <c r="F1195" s="1">
        <f>IFERROR(__xludf.DUMMYFUNCTION("""COMPUTED_VALUE"""),84659.0)</f>
        <v>84659</v>
      </c>
    </row>
    <row r="1196">
      <c r="A1196" s="2">
        <f>IFERROR(__xludf.DUMMYFUNCTION("""COMPUTED_VALUE"""),42685.64583333333)</f>
        <v>42685.64583</v>
      </c>
      <c r="B1196" s="1">
        <f>IFERROR(__xludf.DUMMYFUNCTION("""COMPUTED_VALUE"""),11300.0)</f>
        <v>11300</v>
      </c>
      <c r="C1196" s="1">
        <f>IFERROR(__xludf.DUMMYFUNCTION("""COMPUTED_VALUE"""),11350.0)</f>
        <v>11350</v>
      </c>
      <c r="D1196" s="1">
        <f>IFERROR(__xludf.DUMMYFUNCTION("""COMPUTED_VALUE"""),11100.0)</f>
        <v>11100</v>
      </c>
      <c r="E1196" s="1">
        <f>IFERROR(__xludf.DUMMYFUNCTION("""COMPUTED_VALUE"""),11200.0)</f>
        <v>11200</v>
      </c>
      <c r="F1196" s="1">
        <f>IFERROR(__xludf.DUMMYFUNCTION("""COMPUTED_VALUE"""),44640.0)</f>
        <v>44640</v>
      </c>
    </row>
    <row r="1197">
      <c r="A1197" s="2">
        <f>IFERROR(__xludf.DUMMYFUNCTION("""COMPUTED_VALUE"""),42688.64583333333)</f>
        <v>42688.64583</v>
      </c>
      <c r="B1197" s="1">
        <f>IFERROR(__xludf.DUMMYFUNCTION("""COMPUTED_VALUE"""),11100.0)</f>
        <v>11100</v>
      </c>
      <c r="C1197" s="1">
        <f>IFERROR(__xludf.DUMMYFUNCTION("""COMPUTED_VALUE"""),11350.0)</f>
        <v>11350</v>
      </c>
      <c r="D1197" s="1">
        <f>IFERROR(__xludf.DUMMYFUNCTION("""COMPUTED_VALUE"""),11000.0)</f>
        <v>11000</v>
      </c>
      <c r="E1197" s="1">
        <f>IFERROR(__xludf.DUMMYFUNCTION("""COMPUTED_VALUE"""),11150.0)</f>
        <v>11150</v>
      </c>
      <c r="F1197" s="1">
        <f>IFERROR(__xludf.DUMMYFUNCTION("""COMPUTED_VALUE"""),49522.0)</f>
        <v>49522</v>
      </c>
    </row>
    <row r="1198">
      <c r="A1198" s="2">
        <f>IFERROR(__xludf.DUMMYFUNCTION("""COMPUTED_VALUE"""),42689.64583333333)</f>
        <v>42689.64583</v>
      </c>
      <c r="B1198" s="1">
        <f>IFERROR(__xludf.DUMMYFUNCTION("""COMPUTED_VALUE"""),11400.0)</f>
        <v>11400</v>
      </c>
      <c r="C1198" s="1">
        <f>IFERROR(__xludf.DUMMYFUNCTION("""COMPUTED_VALUE"""),11700.0)</f>
        <v>11700</v>
      </c>
      <c r="D1198" s="1">
        <f>IFERROR(__xludf.DUMMYFUNCTION("""COMPUTED_VALUE"""),11250.0)</f>
        <v>11250</v>
      </c>
      <c r="E1198" s="1">
        <f>IFERROR(__xludf.DUMMYFUNCTION("""COMPUTED_VALUE"""),11500.0)</f>
        <v>11500</v>
      </c>
      <c r="F1198" s="1">
        <f>IFERROR(__xludf.DUMMYFUNCTION("""COMPUTED_VALUE"""),126298.0)</f>
        <v>126298</v>
      </c>
    </row>
    <row r="1199">
      <c r="A1199" s="2">
        <f>IFERROR(__xludf.DUMMYFUNCTION("""COMPUTED_VALUE"""),42690.64583333333)</f>
        <v>42690.64583</v>
      </c>
      <c r="B1199" s="1">
        <f>IFERROR(__xludf.DUMMYFUNCTION("""COMPUTED_VALUE"""),11600.0)</f>
        <v>11600</v>
      </c>
      <c r="C1199" s="1">
        <f>IFERROR(__xludf.DUMMYFUNCTION("""COMPUTED_VALUE"""),11700.0)</f>
        <v>11700</v>
      </c>
      <c r="D1199" s="1">
        <f>IFERROR(__xludf.DUMMYFUNCTION("""COMPUTED_VALUE"""),11450.0)</f>
        <v>11450</v>
      </c>
      <c r="E1199" s="1">
        <f>IFERROR(__xludf.DUMMYFUNCTION("""COMPUTED_VALUE"""),11650.0)</f>
        <v>11650</v>
      </c>
      <c r="F1199" s="1">
        <f>IFERROR(__xludf.DUMMYFUNCTION("""COMPUTED_VALUE"""),33529.0)</f>
        <v>33529</v>
      </c>
    </row>
    <row r="1200">
      <c r="A1200" s="2">
        <f>IFERROR(__xludf.DUMMYFUNCTION("""COMPUTED_VALUE"""),42691.64583333333)</f>
        <v>42691.64583</v>
      </c>
      <c r="B1200" s="1">
        <f>IFERROR(__xludf.DUMMYFUNCTION("""COMPUTED_VALUE"""),11650.0)</f>
        <v>11650</v>
      </c>
      <c r="C1200" s="1">
        <f>IFERROR(__xludf.DUMMYFUNCTION("""COMPUTED_VALUE"""),11700.0)</f>
        <v>11700</v>
      </c>
      <c r="D1200" s="1">
        <f>IFERROR(__xludf.DUMMYFUNCTION("""COMPUTED_VALUE"""),11450.0)</f>
        <v>11450</v>
      </c>
      <c r="E1200" s="1">
        <f>IFERROR(__xludf.DUMMYFUNCTION("""COMPUTED_VALUE"""),11650.0)</f>
        <v>11650</v>
      </c>
      <c r="F1200" s="1">
        <f>IFERROR(__xludf.DUMMYFUNCTION("""COMPUTED_VALUE"""),33590.0)</f>
        <v>33590</v>
      </c>
    </row>
    <row r="1201">
      <c r="A1201" s="2">
        <f>IFERROR(__xludf.DUMMYFUNCTION("""COMPUTED_VALUE"""),42692.64583333333)</f>
        <v>42692.64583</v>
      </c>
      <c r="B1201" s="1">
        <f>IFERROR(__xludf.DUMMYFUNCTION("""COMPUTED_VALUE"""),11750.0)</f>
        <v>11750</v>
      </c>
      <c r="C1201" s="1">
        <f>IFERROR(__xludf.DUMMYFUNCTION("""COMPUTED_VALUE"""),12250.0)</f>
        <v>12250</v>
      </c>
      <c r="D1201" s="1">
        <f>IFERROR(__xludf.DUMMYFUNCTION("""COMPUTED_VALUE"""),11650.0)</f>
        <v>11650</v>
      </c>
      <c r="E1201" s="1">
        <f>IFERROR(__xludf.DUMMYFUNCTION("""COMPUTED_VALUE"""),11850.0)</f>
        <v>11850</v>
      </c>
      <c r="F1201" s="1">
        <f>IFERROR(__xludf.DUMMYFUNCTION("""COMPUTED_VALUE"""),134134.0)</f>
        <v>134134</v>
      </c>
    </row>
    <row r="1202">
      <c r="A1202" s="2">
        <f>IFERROR(__xludf.DUMMYFUNCTION("""COMPUTED_VALUE"""),42695.64583333333)</f>
        <v>42695.64583</v>
      </c>
      <c r="B1202" s="1">
        <f>IFERROR(__xludf.DUMMYFUNCTION("""COMPUTED_VALUE"""),11850.0)</f>
        <v>11850</v>
      </c>
      <c r="C1202" s="1">
        <f>IFERROR(__xludf.DUMMYFUNCTION("""COMPUTED_VALUE"""),11850.0)</f>
        <v>11850</v>
      </c>
      <c r="D1202" s="1">
        <f>IFERROR(__xludf.DUMMYFUNCTION("""COMPUTED_VALUE"""),11500.0)</f>
        <v>11500</v>
      </c>
      <c r="E1202" s="1">
        <f>IFERROR(__xludf.DUMMYFUNCTION("""COMPUTED_VALUE"""),11600.0)</f>
        <v>11600</v>
      </c>
      <c r="F1202" s="1">
        <f>IFERROR(__xludf.DUMMYFUNCTION("""COMPUTED_VALUE"""),48620.0)</f>
        <v>48620</v>
      </c>
    </row>
    <row r="1203">
      <c r="A1203" s="2">
        <f>IFERROR(__xludf.DUMMYFUNCTION("""COMPUTED_VALUE"""),42696.64583333333)</f>
        <v>42696.64583</v>
      </c>
      <c r="B1203" s="1">
        <f>IFERROR(__xludf.DUMMYFUNCTION("""COMPUTED_VALUE"""),11700.0)</f>
        <v>11700</v>
      </c>
      <c r="C1203" s="1">
        <f>IFERROR(__xludf.DUMMYFUNCTION("""COMPUTED_VALUE"""),11700.0)</f>
        <v>11700</v>
      </c>
      <c r="D1203" s="1">
        <f>IFERROR(__xludf.DUMMYFUNCTION("""COMPUTED_VALUE"""),11350.0)</f>
        <v>11350</v>
      </c>
      <c r="E1203" s="1">
        <f>IFERROR(__xludf.DUMMYFUNCTION("""COMPUTED_VALUE"""),11450.0)</f>
        <v>11450</v>
      </c>
      <c r="F1203" s="1">
        <f>IFERROR(__xludf.DUMMYFUNCTION("""COMPUTED_VALUE"""),46791.0)</f>
        <v>46791</v>
      </c>
    </row>
    <row r="1204">
      <c r="A1204" s="2">
        <f>IFERROR(__xludf.DUMMYFUNCTION("""COMPUTED_VALUE"""),42697.64583333333)</f>
        <v>42697.64583</v>
      </c>
      <c r="B1204" s="1">
        <f>IFERROR(__xludf.DUMMYFUNCTION("""COMPUTED_VALUE"""),11400.0)</f>
        <v>11400</v>
      </c>
      <c r="C1204" s="1">
        <f>IFERROR(__xludf.DUMMYFUNCTION("""COMPUTED_VALUE"""),11450.0)</f>
        <v>11450</v>
      </c>
      <c r="D1204" s="1">
        <f>IFERROR(__xludf.DUMMYFUNCTION("""COMPUTED_VALUE"""),10950.0)</f>
        <v>10950</v>
      </c>
      <c r="E1204" s="1">
        <f>IFERROR(__xludf.DUMMYFUNCTION("""COMPUTED_VALUE"""),11100.0)</f>
        <v>11100</v>
      </c>
      <c r="F1204" s="1">
        <f>IFERROR(__xludf.DUMMYFUNCTION("""COMPUTED_VALUE"""),73934.0)</f>
        <v>73934</v>
      </c>
    </row>
    <row r="1205">
      <c r="A1205" s="2">
        <f>IFERROR(__xludf.DUMMYFUNCTION("""COMPUTED_VALUE"""),42698.64583333333)</f>
        <v>42698.64583</v>
      </c>
      <c r="B1205" s="1">
        <f>IFERROR(__xludf.DUMMYFUNCTION("""COMPUTED_VALUE"""),11050.0)</f>
        <v>11050</v>
      </c>
      <c r="C1205" s="1">
        <f>IFERROR(__xludf.DUMMYFUNCTION("""COMPUTED_VALUE"""),11250.0)</f>
        <v>11250</v>
      </c>
      <c r="D1205" s="1">
        <f>IFERROR(__xludf.DUMMYFUNCTION("""COMPUTED_VALUE"""),10850.0)</f>
        <v>10850</v>
      </c>
      <c r="E1205" s="1">
        <f>IFERROR(__xludf.DUMMYFUNCTION("""COMPUTED_VALUE"""),10900.0)</f>
        <v>10900</v>
      </c>
      <c r="F1205" s="1">
        <f>IFERROR(__xludf.DUMMYFUNCTION("""COMPUTED_VALUE"""),46167.0)</f>
        <v>46167</v>
      </c>
    </row>
    <row r="1206">
      <c r="A1206" s="2">
        <f>IFERROR(__xludf.DUMMYFUNCTION("""COMPUTED_VALUE"""),42699.64583333333)</f>
        <v>42699.64583</v>
      </c>
      <c r="B1206" s="1">
        <f>IFERROR(__xludf.DUMMYFUNCTION("""COMPUTED_VALUE"""),10850.0)</f>
        <v>10850</v>
      </c>
      <c r="C1206" s="1">
        <f>IFERROR(__xludf.DUMMYFUNCTION("""COMPUTED_VALUE"""),11250.0)</f>
        <v>11250</v>
      </c>
      <c r="D1206" s="1">
        <f>IFERROR(__xludf.DUMMYFUNCTION("""COMPUTED_VALUE"""),10850.0)</f>
        <v>10850</v>
      </c>
      <c r="E1206" s="1">
        <f>IFERROR(__xludf.DUMMYFUNCTION("""COMPUTED_VALUE"""),11050.0)</f>
        <v>11050</v>
      </c>
      <c r="F1206" s="1">
        <f>IFERROR(__xludf.DUMMYFUNCTION("""COMPUTED_VALUE"""),31314.0)</f>
        <v>31314</v>
      </c>
    </row>
    <row r="1207">
      <c r="A1207" s="2">
        <f>IFERROR(__xludf.DUMMYFUNCTION("""COMPUTED_VALUE"""),42702.64583333333)</f>
        <v>42702.64583</v>
      </c>
      <c r="B1207" s="1">
        <f>IFERROR(__xludf.DUMMYFUNCTION("""COMPUTED_VALUE"""),11200.0)</f>
        <v>11200</v>
      </c>
      <c r="C1207" s="1">
        <f>IFERROR(__xludf.DUMMYFUNCTION("""COMPUTED_VALUE"""),11250.0)</f>
        <v>11250</v>
      </c>
      <c r="D1207" s="1">
        <f>IFERROR(__xludf.DUMMYFUNCTION("""COMPUTED_VALUE"""),10950.0)</f>
        <v>10950</v>
      </c>
      <c r="E1207" s="1">
        <f>IFERROR(__xludf.DUMMYFUNCTION("""COMPUTED_VALUE"""),10950.0)</f>
        <v>10950</v>
      </c>
      <c r="F1207" s="1">
        <f>IFERROR(__xludf.DUMMYFUNCTION("""COMPUTED_VALUE"""),17625.0)</f>
        <v>17625</v>
      </c>
    </row>
    <row r="1208">
      <c r="A1208" s="2">
        <f>IFERROR(__xludf.DUMMYFUNCTION("""COMPUTED_VALUE"""),42703.64583333333)</f>
        <v>42703.64583</v>
      </c>
      <c r="B1208" s="1">
        <f>IFERROR(__xludf.DUMMYFUNCTION("""COMPUTED_VALUE"""),10900.0)</f>
        <v>10900</v>
      </c>
      <c r="C1208" s="1">
        <f>IFERROR(__xludf.DUMMYFUNCTION("""COMPUTED_VALUE"""),11350.0)</f>
        <v>11350</v>
      </c>
      <c r="D1208" s="1">
        <f>IFERROR(__xludf.DUMMYFUNCTION("""COMPUTED_VALUE"""),10900.0)</f>
        <v>10900</v>
      </c>
      <c r="E1208" s="1">
        <f>IFERROR(__xludf.DUMMYFUNCTION("""COMPUTED_VALUE"""),11300.0)</f>
        <v>11300</v>
      </c>
      <c r="F1208" s="1">
        <f>IFERROR(__xludf.DUMMYFUNCTION("""COMPUTED_VALUE"""),21708.0)</f>
        <v>21708</v>
      </c>
    </row>
    <row r="1209">
      <c r="A1209" s="2">
        <f>IFERROR(__xludf.DUMMYFUNCTION("""COMPUTED_VALUE"""),42704.64583333333)</f>
        <v>42704.64583</v>
      </c>
      <c r="B1209" s="1">
        <f>IFERROR(__xludf.DUMMYFUNCTION("""COMPUTED_VALUE"""),11400.0)</f>
        <v>11400</v>
      </c>
      <c r="C1209" s="1">
        <f>IFERROR(__xludf.DUMMYFUNCTION("""COMPUTED_VALUE"""),11400.0)</f>
        <v>11400</v>
      </c>
      <c r="D1209" s="1">
        <f>IFERROR(__xludf.DUMMYFUNCTION("""COMPUTED_VALUE"""),11100.0)</f>
        <v>11100</v>
      </c>
      <c r="E1209" s="1">
        <f>IFERROR(__xludf.DUMMYFUNCTION("""COMPUTED_VALUE"""),11150.0)</f>
        <v>11150</v>
      </c>
      <c r="F1209" s="1">
        <f>IFERROR(__xludf.DUMMYFUNCTION("""COMPUTED_VALUE"""),15751.0)</f>
        <v>15751</v>
      </c>
    </row>
    <row r="1210">
      <c r="A1210" s="2">
        <f>IFERROR(__xludf.DUMMYFUNCTION("""COMPUTED_VALUE"""),42705.64583333333)</f>
        <v>42705.64583</v>
      </c>
      <c r="B1210" s="1">
        <f>IFERROR(__xludf.DUMMYFUNCTION("""COMPUTED_VALUE"""),11250.0)</f>
        <v>11250</v>
      </c>
      <c r="C1210" s="1">
        <f>IFERROR(__xludf.DUMMYFUNCTION("""COMPUTED_VALUE"""),11400.0)</f>
        <v>11400</v>
      </c>
      <c r="D1210" s="1">
        <f>IFERROR(__xludf.DUMMYFUNCTION("""COMPUTED_VALUE"""),11100.0)</f>
        <v>11100</v>
      </c>
      <c r="E1210" s="1">
        <f>IFERROR(__xludf.DUMMYFUNCTION("""COMPUTED_VALUE"""),11200.0)</f>
        <v>11200</v>
      </c>
      <c r="F1210" s="1">
        <f>IFERROR(__xludf.DUMMYFUNCTION("""COMPUTED_VALUE"""),25880.0)</f>
        <v>25880</v>
      </c>
    </row>
    <row r="1211">
      <c r="A1211" s="2">
        <f>IFERROR(__xludf.DUMMYFUNCTION("""COMPUTED_VALUE"""),42706.64583333333)</f>
        <v>42706.64583</v>
      </c>
      <c r="B1211" s="1">
        <f>IFERROR(__xludf.DUMMYFUNCTION("""COMPUTED_VALUE"""),11200.0)</f>
        <v>11200</v>
      </c>
      <c r="C1211" s="1">
        <f>IFERROR(__xludf.DUMMYFUNCTION("""COMPUTED_VALUE"""),11300.0)</f>
        <v>11300</v>
      </c>
      <c r="D1211" s="1">
        <f>IFERROR(__xludf.DUMMYFUNCTION("""COMPUTED_VALUE"""),11000.0)</f>
        <v>11000</v>
      </c>
      <c r="E1211" s="1">
        <f>IFERROR(__xludf.DUMMYFUNCTION("""COMPUTED_VALUE"""),11100.0)</f>
        <v>11100</v>
      </c>
      <c r="F1211" s="1">
        <f>IFERROR(__xludf.DUMMYFUNCTION("""COMPUTED_VALUE"""),22688.0)</f>
        <v>22688</v>
      </c>
    </row>
    <row r="1212">
      <c r="A1212" s="2">
        <f>IFERROR(__xludf.DUMMYFUNCTION("""COMPUTED_VALUE"""),42709.64583333333)</f>
        <v>42709.64583</v>
      </c>
      <c r="B1212" s="1">
        <f>IFERROR(__xludf.DUMMYFUNCTION("""COMPUTED_VALUE"""),10950.0)</f>
        <v>10950</v>
      </c>
      <c r="C1212" s="1">
        <f>IFERROR(__xludf.DUMMYFUNCTION("""COMPUTED_VALUE"""),11100.0)</f>
        <v>11100</v>
      </c>
      <c r="D1212" s="1">
        <f>IFERROR(__xludf.DUMMYFUNCTION("""COMPUTED_VALUE"""),10850.0)</f>
        <v>10850</v>
      </c>
      <c r="E1212" s="1">
        <f>IFERROR(__xludf.DUMMYFUNCTION("""COMPUTED_VALUE"""),10900.0)</f>
        <v>10900</v>
      </c>
      <c r="F1212" s="1">
        <f>IFERROR(__xludf.DUMMYFUNCTION("""COMPUTED_VALUE"""),33961.0)</f>
        <v>33961</v>
      </c>
    </row>
    <row r="1213">
      <c r="A1213" s="2">
        <f>IFERROR(__xludf.DUMMYFUNCTION("""COMPUTED_VALUE"""),42710.64583333333)</f>
        <v>42710.64583</v>
      </c>
      <c r="B1213" s="1">
        <f>IFERROR(__xludf.DUMMYFUNCTION("""COMPUTED_VALUE"""),10850.0)</f>
        <v>10850</v>
      </c>
      <c r="C1213" s="1">
        <f>IFERROR(__xludf.DUMMYFUNCTION("""COMPUTED_VALUE"""),11700.0)</f>
        <v>11700</v>
      </c>
      <c r="D1213" s="1">
        <f>IFERROR(__xludf.DUMMYFUNCTION("""COMPUTED_VALUE"""),10850.0)</f>
        <v>10850</v>
      </c>
      <c r="E1213" s="1">
        <f>IFERROR(__xludf.DUMMYFUNCTION("""COMPUTED_VALUE"""),11200.0)</f>
        <v>11200</v>
      </c>
      <c r="F1213" s="1">
        <f>IFERROR(__xludf.DUMMYFUNCTION("""COMPUTED_VALUE"""),120598.0)</f>
        <v>120598</v>
      </c>
    </row>
    <row r="1214">
      <c r="A1214" s="2">
        <f>IFERROR(__xludf.DUMMYFUNCTION("""COMPUTED_VALUE"""),42711.64583333333)</f>
        <v>42711.64583</v>
      </c>
      <c r="B1214" s="1">
        <f>IFERROR(__xludf.DUMMYFUNCTION("""COMPUTED_VALUE"""),11200.0)</f>
        <v>11200</v>
      </c>
      <c r="C1214" s="1">
        <f>IFERROR(__xludf.DUMMYFUNCTION("""COMPUTED_VALUE"""),11450.0)</f>
        <v>11450</v>
      </c>
      <c r="D1214" s="1">
        <f>IFERROR(__xludf.DUMMYFUNCTION("""COMPUTED_VALUE"""),11050.0)</f>
        <v>11050</v>
      </c>
      <c r="E1214" s="1">
        <f>IFERROR(__xludf.DUMMYFUNCTION("""COMPUTED_VALUE"""),11200.0)</f>
        <v>11200</v>
      </c>
      <c r="F1214" s="1">
        <f>IFERROR(__xludf.DUMMYFUNCTION("""COMPUTED_VALUE"""),42961.0)</f>
        <v>42961</v>
      </c>
    </row>
    <row r="1215">
      <c r="A1215" s="2">
        <f>IFERROR(__xludf.DUMMYFUNCTION("""COMPUTED_VALUE"""),42712.64583333333)</f>
        <v>42712.64583</v>
      </c>
      <c r="B1215" s="1">
        <f>IFERROR(__xludf.DUMMYFUNCTION("""COMPUTED_VALUE"""),11400.0)</f>
        <v>11400</v>
      </c>
      <c r="C1215" s="1">
        <f>IFERROR(__xludf.DUMMYFUNCTION("""COMPUTED_VALUE"""),11400.0)</f>
        <v>11400</v>
      </c>
      <c r="D1215" s="1">
        <f>IFERROR(__xludf.DUMMYFUNCTION("""COMPUTED_VALUE"""),11150.0)</f>
        <v>11150</v>
      </c>
      <c r="E1215" s="1">
        <f>IFERROR(__xludf.DUMMYFUNCTION("""COMPUTED_VALUE"""),11200.0)</f>
        <v>11200</v>
      </c>
      <c r="F1215" s="1">
        <f>IFERROR(__xludf.DUMMYFUNCTION("""COMPUTED_VALUE"""),24308.0)</f>
        <v>24308</v>
      </c>
    </row>
    <row r="1216">
      <c r="A1216" s="2">
        <f>IFERROR(__xludf.DUMMYFUNCTION("""COMPUTED_VALUE"""),42713.64583333333)</f>
        <v>42713.64583</v>
      </c>
      <c r="B1216" s="1">
        <f>IFERROR(__xludf.DUMMYFUNCTION("""COMPUTED_VALUE"""),11300.0)</f>
        <v>11300</v>
      </c>
      <c r="C1216" s="1">
        <f>IFERROR(__xludf.DUMMYFUNCTION("""COMPUTED_VALUE"""),11650.0)</f>
        <v>11650</v>
      </c>
      <c r="D1216" s="1">
        <f>IFERROR(__xludf.DUMMYFUNCTION("""COMPUTED_VALUE"""),11200.0)</f>
        <v>11200</v>
      </c>
      <c r="E1216" s="1">
        <f>IFERROR(__xludf.DUMMYFUNCTION("""COMPUTED_VALUE"""),11400.0)</f>
        <v>11400</v>
      </c>
      <c r="F1216" s="1">
        <f>IFERROR(__xludf.DUMMYFUNCTION("""COMPUTED_VALUE"""),64648.0)</f>
        <v>64648</v>
      </c>
    </row>
    <row r="1217">
      <c r="A1217" s="2">
        <f>IFERROR(__xludf.DUMMYFUNCTION("""COMPUTED_VALUE"""),42716.64583333333)</f>
        <v>42716.64583</v>
      </c>
      <c r="B1217" s="1">
        <f>IFERROR(__xludf.DUMMYFUNCTION("""COMPUTED_VALUE"""),11600.0)</f>
        <v>11600</v>
      </c>
      <c r="C1217" s="1">
        <f>IFERROR(__xludf.DUMMYFUNCTION("""COMPUTED_VALUE"""),11650.0)</f>
        <v>11650</v>
      </c>
      <c r="D1217" s="1">
        <f>IFERROR(__xludf.DUMMYFUNCTION("""COMPUTED_VALUE"""),11350.0)</f>
        <v>11350</v>
      </c>
      <c r="E1217" s="1">
        <f>IFERROR(__xludf.DUMMYFUNCTION("""COMPUTED_VALUE"""),11350.0)</f>
        <v>11350</v>
      </c>
      <c r="F1217" s="1">
        <f>IFERROR(__xludf.DUMMYFUNCTION("""COMPUTED_VALUE"""),23900.0)</f>
        <v>23900</v>
      </c>
    </row>
    <row r="1218">
      <c r="A1218" s="2">
        <f>IFERROR(__xludf.DUMMYFUNCTION("""COMPUTED_VALUE"""),42717.64583333333)</f>
        <v>42717.64583</v>
      </c>
      <c r="B1218" s="1">
        <f>IFERROR(__xludf.DUMMYFUNCTION("""COMPUTED_VALUE"""),11500.0)</f>
        <v>11500</v>
      </c>
      <c r="C1218" s="1">
        <f>IFERROR(__xludf.DUMMYFUNCTION("""COMPUTED_VALUE"""),11750.0)</f>
        <v>11750</v>
      </c>
      <c r="D1218" s="1">
        <f>IFERROR(__xludf.DUMMYFUNCTION("""COMPUTED_VALUE"""),11350.0)</f>
        <v>11350</v>
      </c>
      <c r="E1218" s="1">
        <f>IFERROR(__xludf.DUMMYFUNCTION("""COMPUTED_VALUE"""),11700.0)</f>
        <v>11700</v>
      </c>
      <c r="F1218" s="1">
        <f>IFERROR(__xludf.DUMMYFUNCTION("""COMPUTED_VALUE"""),68351.0)</f>
        <v>68351</v>
      </c>
    </row>
    <row r="1219">
      <c r="A1219" s="2">
        <f>IFERROR(__xludf.DUMMYFUNCTION("""COMPUTED_VALUE"""),42718.64583333333)</f>
        <v>42718.64583</v>
      </c>
      <c r="B1219" s="1">
        <f>IFERROR(__xludf.DUMMYFUNCTION("""COMPUTED_VALUE"""),11650.0)</f>
        <v>11650</v>
      </c>
      <c r="C1219" s="1">
        <f>IFERROR(__xludf.DUMMYFUNCTION("""COMPUTED_VALUE"""),11750.0)</f>
        <v>11750</v>
      </c>
      <c r="D1219" s="1">
        <f>IFERROR(__xludf.DUMMYFUNCTION("""COMPUTED_VALUE"""),11500.0)</f>
        <v>11500</v>
      </c>
      <c r="E1219" s="1">
        <f>IFERROR(__xludf.DUMMYFUNCTION("""COMPUTED_VALUE"""),11500.0)</f>
        <v>11500</v>
      </c>
      <c r="F1219" s="1">
        <f>IFERROR(__xludf.DUMMYFUNCTION("""COMPUTED_VALUE"""),45972.0)</f>
        <v>45972</v>
      </c>
    </row>
    <row r="1220">
      <c r="A1220" s="2">
        <f>IFERROR(__xludf.DUMMYFUNCTION("""COMPUTED_VALUE"""),42719.64583333333)</f>
        <v>42719.64583</v>
      </c>
      <c r="B1220" s="1">
        <f>IFERROR(__xludf.DUMMYFUNCTION("""COMPUTED_VALUE"""),11500.0)</f>
        <v>11500</v>
      </c>
      <c r="C1220" s="1">
        <f>IFERROR(__xludf.DUMMYFUNCTION("""COMPUTED_VALUE"""),11700.0)</f>
        <v>11700</v>
      </c>
      <c r="D1220" s="1">
        <f>IFERROR(__xludf.DUMMYFUNCTION("""COMPUTED_VALUE"""),11400.0)</f>
        <v>11400</v>
      </c>
      <c r="E1220" s="1">
        <f>IFERROR(__xludf.DUMMYFUNCTION("""COMPUTED_VALUE"""),11650.0)</f>
        <v>11650</v>
      </c>
      <c r="F1220" s="1">
        <f>IFERROR(__xludf.DUMMYFUNCTION("""COMPUTED_VALUE"""),22762.0)</f>
        <v>22762</v>
      </c>
    </row>
    <row r="1221">
      <c r="A1221" s="2">
        <f>IFERROR(__xludf.DUMMYFUNCTION("""COMPUTED_VALUE"""),42720.64583333333)</f>
        <v>42720.64583</v>
      </c>
      <c r="B1221" s="1">
        <f>IFERROR(__xludf.DUMMYFUNCTION("""COMPUTED_VALUE"""),11750.0)</f>
        <v>11750</v>
      </c>
      <c r="C1221" s="1">
        <f>IFERROR(__xludf.DUMMYFUNCTION("""COMPUTED_VALUE"""),11750.0)</f>
        <v>11750</v>
      </c>
      <c r="D1221" s="1">
        <f>IFERROR(__xludf.DUMMYFUNCTION("""COMPUTED_VALUE"""),11550.0)</f>
        <v>11550</v>
      </c>
      <c r="E1221" s="1">
        <f>IFERROR(__xludf.DUMMYFUNCTION("""COMPUTED_VALUE"""),11650.0)</f>
        <v>11650</v>
      </c>
      <c r="F1221" s="1">
        <f>IFERROR(__xludf.DUMMYFUNCTION("""COMPUTED_VALUE"""),34236.0)</f>
        <v>34236</v>
      </c>
    </row>
    <row r="1222">
      <c r="A1222" s="2">
        <f>IFERROR(__xludf.DUMMYFUNCTION("""COMPUTED_VALUE"""),42723.64583333333)</f>
        <v>42723.64583</v>
      </c>
      <c r="B1222" s="1">
        <f>IFERROR(__xludf.DUMMYFUNCTION("""COMPUTED_VALUE"""),11600.0)</f>
        <v>11600</v>
      </c>
      <c r="C1222" s="1">
        <f>IFERROR(__xludf.DUMMYFUNCTION("""COMPUTED_VALUE"""),11750.0)</f>
        <v>11750</v>
      </c>
      <c r="D1222" s="1">
        <f>IFERROR(__xludf.DUMMYFUNCTION("""COMPUTED_VALUE"""),11500.0)</f>
        <v>11500</v>
      </c>
      <c r="E1222" s="1">
        <f>IFERROR(__xludf.DUMMYFUNCTION("""COMPUTED_VALUE"""),11650.0)</f>
        <v>11650</v>
      </c>
      <c r="F1222" s="1">
        <f>IFERROR(__xludf.DUMMYFUNCTION("""COMPUTED_VALUE"""),35713.0)</f>
        <v>35713</v>
      </c>
    </row>
    <row r="1223">
      <c r="A1223" s="2">
        <f>IFERROR(__xludf.DUMMYFUNCTION("""COMPUTED_VALUE"""),42724.64583333333)</f>
        <v>42724.64583</v>
      </c>
      <c r="B1223" s="1">
        <f>IFERROR(__xludf.DUMMYFUNCTION("""COMPUTED_VALUE"""),11800.0)</f>
        <v>11800</v>
      </c>
      <c r="C1223" s="1">
        <f>IFERROR(__xludf.DUMMYFUNCTION("""COMPUTED_VALUE"""),12250.0)</f>
        <v>12250</v>
      </c>
      <c r="D1223" s="1">
        <f>IFERROR(__xludf.DUMMYFUNCTION("""COMPUTED_VALUE"""),11650.0)</f>
        <v>11650</v>
      </c>
      <c r="E1223" s="1">
        <f>IFERROR(__xludf.DUMMYFUNCTION("""COMPUTED_VALUE"""),11650.0)</f>
        <v>11650</v>
      </c>
      <c r="F1223" s="1">
        <f>IFERROR(__xludf.DUMMYFUNCTION("""COMPUTED_VALUE"""),142469.0)</f>
        <v>142469</v>
      </c>
    </row>
    <row r="1224">
      <c r="A1224" s="2">
        <f>IFERROR(__xludf.DUMMYFUNCTION("""COMPUTED_VALUE"""),42725.64583333333)</f>
        <v>42725.64583</v>
      </c>
      <c r="B1224" s="1">
        <f>IFERROR(__xludf.DUMMYFUNCTION("""COMPUTED_VALUE"""),11650.0)</f>
        <v>11650</v>
      </c>
      <c r="C1224" s="1">
        <f>IFERROR(__xludf.DUMMYFUNCTION("""COMPUTED_VALUE"""),11800.0)</f>
        <v>11800</v>
      </c>
      <c r="D1224" s="1">
        <f>IFERROR(__xludf.DUMMYFUNCTION("""COMPUTED_VALUE"""),11550.0)</f>
        <v>11550</v>
      </c>
      <c r="E1224" s="1">
        <f>IFERROR(__xludf.DUMMYFUNCTION("""COMPUTED_VALUE"""),11600.0)</f>
        <v>11600</v>
      </c>
      <c r="F1224" s="1">
        <f>IFERROR(__xludf.DUMMYFUNCTION("""COMPUTED_VALUE"""),39359.0)</f>
        <v>39359</v>
      </c>
    </row>
    <row r="1225">
      <c r="A1225" s="2">
        <f>IFERROR(__xludf.DUMMYFUNCTION("""COMPUTED_VALUE"""),42726.64583333333)</f>
        <v>42726.64583</v>
      </c>
      <c r="B1225" s="1">
        <f>IFERROR(__xludf.DUMMYFUNCTION("""COMPUTED_VALUE"""),11600.0)</f>
        <v>11600</v>
      </c>
      <c r="C1225" s="1">
        <f>IFERROR(__xludf.DUMMYFUNCTION("""COMPUTED_VALUE"""),11750.0)</f>
        <v>11750</v>
      </c>
      <c r="D1225" s="1">
        <f>IFERROR(__xludf.DUMMYFUNCTION("""COMPUTED_VALUE"""),11350.0)</f>
        <v>11350</v>
      </c>
      <c r="E1225" s="1">
        <f>IFERROR(__xludf.DUMMYFUNCTION("""COMPUTED_VALUE"""),11500.0)</f>
        <v>11500</v>
      </c>
      <c r="F1225" s="1">
        <f>IFERROR(__xludf.DUMMYFUNCTION("""COMPUTED_VALUE"""),61463.0)</f>
        <v>61463</v>
      </c>
    </row>
    <row r="1226">
      <c r="A1226" s="2">
        <f>IFERROR(__xludf.DUMMYFUNCTION("""COMPUTED_VALUE"""),42727.64583333333)</f>
        <v>42727.64583</v>
      </c>
      <c r="B1226" s="1">
        <f>IFERROR(__xludf.DUMMYFUNCTION("""COMPUTED_VALUE"""),11350.0)</f>
        <v>11350</v>
      </c>
      <c r="C1226" s="1">
        <f>IFERROR(__xludf.DUMMYFUNCTION("""COMPUTED_VALUE"""),11600.0)</f>
        <v>11600</v>
      </c>
      <c r="D1226" s="1">
        <f>IFERROR(__xludf.DUMMYFUNCTION("""COMPUTED_VALUE"""),11300.0)</f>
        <v>11300</v>
      </c>
      <c r="E1226" s="1">
        <f>IFERROR(__xludf.DUMMYFUNCTION("""COMPUTED_VALUE"""),11400.0)</f>
        <v>11400</v>
      </c>
      <c r="F1226" s="1">
        <f>IFERROR(__xludf.DUMMYFUNCTION("""COMPUTED_VALUE"""),47050.0)</f>
        <v>47050</v>
      </c>
    </row>
    <row r="1227">
      <c r="A1227" s="2">
        <f>IFERROR(__xludf.DUMMYFUNCTION("""COMPUTED_VALUE"""),42730.64583333333)</f>
        <v>42730.64583</v>
      </c>
      <c r="B1227" s="1">
        <f>IFERROR(__xludf.DUMMYFUNCTION("""COMPUTED_VALUE"""),11400.0)</f>
        <v>11400</v>
      </c>
      <c r="C1227" s="1">
        <f>IFERROR(__xludf.DUMMYFUNCTION("""COMPUTED_VALUE"""),11400.0)</f>
        <v>11400</v>
      </c>
      <c r="D1227" s="1">
        <f>IFERROR(__xludf.DUMMYFUNCTION("""COMPUTED_VALUE"""),11100.0)</f>
        <v>11100</v>
      </c>
      <c r="E1227" s="1">
        <f>IFERROR(__xludf.DUMMYFUNCTION("""COMPUTED_VALUE"""),11250.0)</f>
        <v>11250</v>
      </c>
      <c r="F1227" s="1">
        <f>IFERROR(__xludf.DUMMYFUNCTION("""COMPUTED_VALUE"""),46485.0)</f>
        <v>46485</v>
      </c>
    </row>
    <row r="1228">
      <c r="A1228" s="2">
        <f>IFERROR(__xludf.DUMMYFUNCTION("""COMPUTED_VALUE"""),42731.64583333333)</f>
        <v>42731.64583</v>
      </c>
      <c r="B1228" s="1">
        <f>IFERROR(__xludf.DUMMYFUNCTION("""COMPUTED_VALUE"""),11200.0)</f>
        <v>11200</v>
      </c>
      <c r="C1228" s="1">
        <f>IFERROR(__xludf.DUMMYFUNCTION("""COMPUTED_VALUE"""),11350.0)</f>
        <v>11350</v>
      </c>
      <c r="D1228" s="1">
        <f>IFERROR(__xludf.DUMMYFUNCTION("""COMPUTED_VALUE"""),11150.0)</f>
        <v>11150</v>
      </c>
      <c r="E1228" s="1">
        <f>IFERROR(__xludf.DUMMYFUNCTION("""COMPUTED_VALUE"""),11300.0)</f>
        <v>11300</v>
      </c>
      <c r="F1228" s="1">
        <f>IFERROR(__xludf.DUMMYFUNCTION("""COMPUTED_VALUE"""),27649.0)</f>
        <v>27649</v>
      </c>
    </row>
    <row r="1229">
      <c r="A1229" s="2">
        <f>IFERROR(__xludf.DUMMYFUNCTION("""COMPUTED_VALUE"""),42732.64583333333)</f>
        <v>42732.64583</v>
      </c>
      <c r="B1229" s="1">
        <f>IFERROR(__xludf.DUMMYFUNCTION("""COMPUTED_VALUE"""),11200.0)</f>
        <v>11200</v>
      </c>
      <c r="C1229" s="1">
        <f>IFERROR(__xludf.DUMMYFUNCTION("""COMPUTED_VALUE"""),11300.0)</f>
        <v>11300</v>
      </c>
      <c r="D1229" s="1">
        <f>IFERROR(__xludf.DUMMYFUNCTION("""COMPUTED_VALUE"""),11000.0)</f>
        <v>11000</v>
      </c>
      <c r="E1229" s="1">
        <f>IFERROR(__xludf.DUMMYFUNCTION("""COMPUTED_VALUE"""),11150.0)</f>
        <v>11150</v>
      </c>
      <c r="F1229" s="1">
        <f>IFERROR(__xludf.DUMMYFUNCTION("""COMPUTED_VALUE"""),20995.0)</f>
        <v>20995</v>
      </c>
    </row>
    <row r="1230">
      <c r="A1230" s="2">
        <f>IFERROR(__xludf.DUMMYFUNCTION("""COMPUTED_VALUE"""),42733.64583333333)</f>
        <v>42733.64583</v>
      </c>
      <c r="B1230" s="1">
        <f>IFERROR(__xludf.DUMMYFUNCTION("""COMPUTED_VALUE"""),11200.0)</f>
        <v>11200</v>
      </c>
      <c r="C1230" s="1">
        <f>IFERROR(__xludf.DUMMYFUNCTION("""COMPUTED_VALUE"""),11250.0)</f>
        <v>11250</v>
      </c>
      <c r="D1230" s="1">
        <f>IFERROR(__xludf.DUMMYFUNCTION("""COMPUTED_VALUE"""),11000.0)</f>
        <v>11000</v>
      </c>
      <c r="E1230" s="1">
        <f>IFERROR(__xludf.DUMMYFUNCTION("""COMPUTED_VALUE"""),11150.0)</f>
        <v>11150</v>
      </c>
      <c r="F1230" s="1">
        <f>IFERROR(__xludf.DUMMYFUNCTION("""COMPUTED_VALUE"""),42371.0)</f>
        <v>42371</v>
      </c>
    </row>
    <row r="1231">
      <c r="A1231" s="2">
        <f>IFERROR(__xludf.DUMMYFUNCTION("""COMPUTED_VALUE"""),42737.64583333333)</f>
        <v>42737.64583</v>
      </c>
      <c r="B1231" s="1">
        <f>IFERROR(__xludf.DUMMYFUNCTION("""COMPUTED_VALUE"""),11200.0)</f>
        <v>11200</v>
      </c>
      <c r="C1231" s="1">
        <f>IFERROR(__xludf.DUMMYFUNCTION("""COMPUTED_VALUE"""),11400.0)</f>
        <v>11400</v>
      </c>
      <c r="D1231" s="1">
        <f>IFERROR(__xludf.DUMMYFUNCTION("""COMPUTED_VALUE"""),11150.0)</f>
        <v>11150</v>
      </c>
      <c r="E1231" s="1">
        <f>IFERROR(__xludf.DUMMYFUNCTION("""COMPUTED_VALUE"""),11150.0)</f>
        <v>11150</v>
      </c>
      <c r="F1231" s="1">
        <f>IFERROR(__xludf.DUMMYFUNCTION("""COMPUTED_VALUE"""),44689.0)</f>
        <v>44689</v>
      </c>
    </row>
    <row r="1232">
      <c r="A1232" s="2">
        <f>IFERROR(__xludf.DUMMYFUNCTION("""COMPUTED_VALUE"""),42738.64583333333)</f>
        <v>42738.64583</v>
      </c>
      <c r="B1232" s="1">
        <f>IFERROR(__xludf.DUMMYFUNCTION("""COMPUTED_VALUE"""),11150.0)</f>
        <v>11150</v>
      </c>
      <c r="C1232" s="1">
        <f>IFERROR(__xludf.DUMMYFUNCTION("""COMPUTED_VALUE"""),11500.0)</f>
        <v>11500</v>
      </c>
      <c r="D1232" s="1">
        <f>IFERROR(__xludf.DUMMYFUNCTION("""COMPUTED_VALUE"""),11150.0)</f>
        <v>11150</v>
      </c>
      <c r="E1232" s="1">
        <f>IFERROR(__xludf.DUMMYFUNCTION("""COMPUTED_VALUE"""),11500.0)</f>
        <v>11500</v>
      </c>
      <c r="F1232" s="1">
        <f>IFERROR(__xludf.DUMMYFUNCTION("""COMPUTED_VALUE"""),43531.0)</f>
        <v>43531</v>
      </c>
    </row>
    <row r="1233">
      <c r="A1233" s="2">
        <f>IFERROR(__xludf.DUMMYFUNCTION("""COMPUTED_VALUE"""),42739.64583333333)</f>
        <v>42739.64583</v>
      </c>
      <c r="B1233" s="1">
        <f>IFERROR(__xludf.DUMMYFUNCTION("""COMPUTED_VALUE"""),11600.0)</f>
        <v>11600</v>
      </c>
      <c r="C1233" s="1">
        <f>IFERROR(__xludf.DUMMYFUNCTION("""COMPUTED_VALUE"""),11700.0)</f>
        <v>11700</v>
      </c>
      <c r="D1233" s="1">
        <f>IFERROR(__xludf.DUMMYFUNCTION("""COMPUTED_VALUE"""),11500.0)</f>
        <v>11500</v>
      </c>
      <c r="E1233" s="1">
        <f>IFERROR(__xludf.DUMMYFUNCTION("""COMPUTED_VALUE"""),11600.0)</f>
        <v>11600</v>
      </c>
      <c r="F1233" s="1">
        <f>IFERROR(__xludf.DUMMYFUNCTION("""COMPUTED_VALUE"""),34459.0)</f>
        <v>34459</v>
      </c>
    </row>
    <row r="1234">
      <c r="A1234" s="2">
        <f>IFERROR(__xludf.DUMMYFUNCTION("""COMPUTED_VALUE"""),42740.64583333333)</f>
        <v>42740.64583</v>
      </c>
      <c r="B1234" s="1">
        <f>IFERROR(__xludf.DUMMYFUNCTION("""COMPUTED_VALUE"""),11700.0)</f>
        <v>11700</v>
      </c>
      <c r="C1234" s="1">
        <f>IFERROR(__xludf.DUMMYFUNCTION("""COMPUTED_VALUE"""),11800.0)</f>
        <v>11800</v>
      </c>
      <c r="D1234" s="1">
        <f>IFERROR(__xludf.DUMMYFUNCTION("""COMPUTED_VALUE"""),11500.0)</f>
        <v>11500</v>
      </c>
      <c r="E1234" s="1">
        <f>IFERROR(__xludf.DUMMYFUNCTION("""COMPUTED_VALUE"""),11750.0)</f>
        <v>11750</v>
      </c>
      <c r="F1234" s="1">
        <f>IFERROR(__xludf.DUMMYFUNCTION("""COMPUTED_VALUE"""),44961.0)</f>
        <v>44961</v>
      </c>
    </row>
    <row r="1235">
      <c r="A1235" s="2">
        <f>IFERROR(__xludf.DUMMYFUNCTION("""COMPUTED_VALUE"""),42741.64583333333)</f>
        <v>42741.64583</v>
      </c>
      <c r="B1235" s="1">
        <f>IFERROR(__xludf.DUMMYFUNCTION("""COMPUTED_VALUE"""),11800.0)</f>
        <v>11800</v>
      </c>
      <c r="C1235" s="1">
        <f>IFERROR(__xludf.DUMMYFUNCTION("""COMPUTED_VALUE"""),11850.0)</f>
        <v>11850</v>
      </c>
      <c r="D1235" s="1">
        <f>IFERROR(__xludf.DUMMYFUNCTION("""COMPUTED_VALUE"""),11600.0)</f>
        <v>11600</v>
      </c>
      <c r="E1235" s="1">
        <f>IFERROR(__xludf.DUMMYFUNCTION("""COMPUTED_VALUE"""),11700.0)</f>
        <v>11700</v>
      </c>
      <c r="F1235" s="1">
        <f>IFERROR(__xludf.DUMMYFUNCTION("""COMPUTED_VALUE"""),27586.0)</f>
        <v>27586</v>
      </c>
    </row>
    <row r="1236">
      <c r="A1236" s="2">
        <f>IFERROR(__xludf.DUMMYFUNCTION("""COMPUTED_VALUE"""),42744.64583333333)</f>
        <v>42744.64583</v>
      </c>
      <c r="B1236" s="1">
        <f>IFERROR(__xludf.DUMMYFUNCTION("""COMPUTED_VALUE"""),11700.0)</f>
        <v>11700</v>
      </c>
      <c r="C1236" s="1">
        <f>IFERROR(__xludf.DUMMYFUNCTION("""COMPUTED_VALUE"""),12150.0)</f>
        <v>12150</v>
      </c>
      <c r="D1236" s="1">
        <f>IFERROR(__xludf.DUMMYFUNCTION("""COMPUTED_VALUE"""),11600.0)</f>
        <v>11600</v>
      </c>
      <c r="E1236" s="1">
        <f>IFERROR(__xludf.DUMMYFUNCTION("""COMPUTED_VALUE"""),12100.0)</f>
        <v>12100</v>
      </c>
      <c r="F1236" s="1">
        <f>IFERROR(__xludf.DUMMYFUNCTION("""COMPUTED_VALUE"""),203385.0)</f>
        <v>203385</v>
      </c>
    </row>
    <row r="1237">
      <c r="A1237" s="2">
        <f>IFERROR(__xludf.DUMMYFUNCTION("""COMPUTED_VALUE"""),42745.64583333333)</f>
        <v>42745.64583</v>
      </c>
      <c r="B1237" s="1">
        <f>IFERROR(__xludf.DUMMYFUNCTION("""COMPUTED_VALUE"""),12400.0)</f>
        <v>12400</v>
      </c>
      <c r="C1237" s="1">
        <f>IFERROR(__xludf.DUMMYFUNCTION("""COMPUTED_VALUE"""),13000.0)</f>
        <v>13000</v>
      </c>
      <c r="D1237" s="1">
        <f>IFERROR(__xludf.DUMMYFUNCTION("""COMPUTED_VALUE"""),12250.0)</f>
        <v>12250</v>
      </c>
      <c r="E1237" s="1">
        <f>IFERROR(__xludf.DUMMYFUNCTION("""COMPUTED_VALUE"""),12500.0)</f>
        <v>12500</v>
      </c>
      <c r="F1237" s="1">
        <f>IFERROR(__xludf.DUMMYFUNCTION("""COMPUTED_VALUE"""),423660.0)</f>
        <v>423660</v>
      </c>
    </row>
    <row r="1238">
      <c r="A1238" s="2">
        <f>IFERROR(__xludf.DUMMYFUNCTION("""COMPUTED_VALUE"""),42746.64583333333)</f>
        <v>42746.64583</v>
      </c>
      <c r="B1238" s="1">
        <f>IFERROR(__xludf.DUMMYFUNCTION("""COMPUTED_VALUE"""),12500.0)</f>
        <v>12500</v>
      </c>
      <c r="C1238" s="1">
        <f>IFERROR(__xludf.DUMMYFUNCTION("""COMPUTED_VALUE"""),12800.0)</f>
        <v>12800</v>
      </c>
      <c r="D1238" s="1">
        <f>IFERROR(__xludf.DUMMYFUNCTION("""COMPUTED_VALUE"""),12350.0)</f>
        <v>12350</v>
      </c>
      <c r="E1238" s="1">
        <f>IFERROR(__xludf.DUMMYFUNCTION("""COMPUTED_VALUE"""),12400.0)</f>
        <v>12400</v>
      </c>
      <c r="F1238" s="1">
        <f>IFERROR(__xludf.DUMMYFUNCTION("""COMPUTED_VALUE"""),131328.0)</f>
        <v>131328</v>
      </c>
    </row>
    <row r="1239">
      <c r="A1239" s="2">
        <f>IFERROR(__xludf.DUMMYFUNCTION("""COMPUTED_VALUE"""),42747.64583333333)</f>
        <v>42747.64583</v>
      </c>
      <c r="B1239" s="1">
        <f>IFERROR(__xludf.DUMMYFUNCTION("""COMPUTED_VALUE"""),12450.0)</f>
        <v>12450</v>
      </c>
      <c r="C1239" s="1">
        <f>IFERROR(__xludf.DUMMYFUNCTION("""COMPUTED_VALUE"""),12550.0)</f>
        <v>12550</v>
      </c>
      <c r="D1239" s="1">
        <f>IFERROR(__xludf.DUMMYFUNCTION("""COMPUTED_VALUE"""),12150.0)</f>
        <v>12150</v>
      </c>
      <c r="E1239" s="1">
        <f>IFERROR(__xludf.DUMMYFUNCTION("""COMPUTED_VALUE"""),12400.0)</f>
        <v>12400</v>
      </c>
      <c r="F1239" s="1">
        <f>IFERROR(__xludf.DUMMYFUNCTION("""COMPUTED_VALUE"""),87319.0)</f>
        <v>87319</v>
      </c>
    </row>
    <row r="1240">
      <c r="A1240" s="2">
        <f>IFERROR(__xludf.DUMMYFUNCTION("""COMPUTED_VALUE"""),42748.64583333333)</f>
        <v>42748.64583</v>
      </c>
      <c r="B1240" s="1">
        <f>IFERROR(__xludf.DUMMYFUNCTION("""COMPUTED_VALUE"""),12500.0)</f>
        <v>12500</v>
      </c>
      <c r="C1240" s="1">
        <f>IFERROR(__xludf.DUMMYFUNCTION("""COMPUTED_VALUE"""),12550.0)</f>
        <v>12550</v>
      </c>
      <c r="D1240" s="1">
        <f>IFERROR(__xludf.DUMMYFUNCTION("""COMPUTED_VALUE"""),12150.0)</f>
        <v>12150</v>
      </c>
      <c r="E1240" s="1">
        <f>IFERROR(__xludf.DUMMYFUNCTION("""COMPUTED_VALUE"""),12350.0)</f>
        <v>12350</v>
      </c>
      <c r="F1240" s="1">
        <f>IFERROR(__xludf.DUMMYFUNCTION("""COMPUTED_VALUE"""),53879.0)</f>
        <v>53879</v>
      </c>
    </row>
    <row r="1241">
      <c r="A1241" s="2">
        <f>IFERROR(__xludf.DUMMYFUNCTION("""COMPUTED_VALUE"""),42751.64583333333)</f>
        <v>42751.64583</v>
      </c>
      <c r="B1241" s="1">
        <f>IFERROR(__xludf.DUMMYFUNCTION("""COMPUTED_VALUE"""),12300.0)</f>
        <v>12300</v>
      </c>
      <c r="C1241" s="1">
        <f>IFERROR(__xludf.DUMMYFUNCTION("""COMPUTED_VALUE"""),12600.0)</f>
        <v>12600</v>
      </c>
      <c r="D1241" s="1">
        <f>IFERROR(__xludf.DUMMYFUNCTION("""COMPUTED_VALUE"""),12200.0)</f>
        <v>12200</v>
      </c>
      <c r="E1241" s="1">
        <f>IFERROR(__xludf.DUMMYFUNCTION("""COMPUTED_VALUE"""),12300.0)</f>
        <v>12300</v>
      </c>
      <c r="F1241" s="1">
        <f>IFERROR(__xludf.DUMMYFUNCTION("""COMPUTED_VALUE"""),59857.0)</f>
        <v>59857</v>
      </c>
    </row>
    <row r="1242">
      <c r="A1242" s="2">
        <f>IFERROR(__xludf.DUMMYFUNCTION("""COMPUTED_VALUE"""),42752.64583333333)</f>
        <v>42752.64583</v>
      </c>
      <c r="B1242" s="1">
        <f>IFERROR(__xludf.DUMMYFUNCTION("""COMPUTED_VALUE"""),12200.0)</f>
        <v>12200</v>
      </c>
      <c r="C1242" s="1">
        <f>IFERROR(__xludf.DUMMYFUNCTION("""COMPUTED_VALUE"""),12400.0)</f>
        <v>12400</v>
      </c>
      <c r="D1242" s="1">
        <f>IFERROR(__xludf.DUMMYFUNCTION("""COMPUTED_VALUE"""),12000.0)</f>
        <v>12000</v>
      </c>
      <c r="E1242" s="1">
        <f>IFERROR(__xludf.DUMMYFUNCTION("""COMPUTED_VALUE"""),12150.0)</f>
        <v>12150</v>
      </c>
      <c r="F1242" s="1">
        <f>IFERROR(__xludf.DUMMYFUNCTION("""COMPUTED_VALUE"""),69787.0)</f>
        <v>69787</v>
      </c>
    </row>
    <row r="1243">
      <c r="A1243" s="2">
        <f>IFERROR(__xludf.DUMMYFUNCTION("""COMPUTED_VALUE"""),42753.64583333333)</f>
        <v>42753.64583</v>
      </c>
      <c r="B1243" s="1">
        <f>IFERROR(__xludf.DUMMYFUNCTION("""COMPUTED_VALUE"""),12200.0)</f>
        <v>12200</v>
      </c>
      <c r="C1243" s="1">
        <f>IFERROR(__xludf.DUMMYFUNCTION("""COMPUTED_VALUE"""),12250.0)</f>
        <v>12250</v>
      </c>
      <c r="D1243" s="1">
        <f>IFERROR(__xludf.DUMMYFUNCTION("""COMPUTED_VALUE"""),11850.0)</f>
        <v>11850</v>
      </c>
      <c r="E1243" s="1">
        <f>IFERROR(__xludf.DUMMYFUNCTION("""COMPUTED_VALUE"""),11850.0)</f>
        <v>11850</v>
      </c>
      <c r="F1243" s="1">
        <f>IFERROR(__xludf.DUMMYFUNCTION("""COMPUTED_VALUE"""),48575.0)</f>
        <v>48575</v>
      </c>
    </row>
    <row r="1244">
      <c r="A1244" s="2">
        <f>IFERROR(__xludf.DUMMYFUNCTION("""COMPUTED_VALUE"""),42754.64583333333)</f>
        <v>42754.64583</v>
      </c>
      <c r="B1244" s="1">
        <f>IFERROR(__xludf.DUMMYFUNCTION("""COMPUTED_VALUE"""),12100.0)</f>
        <v>12100</v>
      </c>
      <c r="C1244" s="1">
        <f>IFERROR(__xludf.DUMMYFUNCTION("""COMPUTED_VALUE"""),12200.0)</f>
        <v>12200</v>
      </c>
      <c r="D1244" s="1">
        <f>IFERROR(__xludf.DUMMYFUNCTION("""COMPUTED_VALUE"""),11800.0)</f>
        <v>11800</v>
      </c>
      <c r="E1244" s="1">
        <f>IFERROR(__xludf.DUMMYFUNCTION("""COMPUTED_VALUE"""),12000.0)</f>
        <v>12000</v>
      </c>
      <c r="F1244" s="1">
        <f>IFERROR(__xludf.DUMMYFUNCTION("""COMPUTED_VALUE"""),36363.0)</f>
        <v>36363</v>
      </c>
    </row>
    <row r="1245">
      <c r="A1245" s="2">
        <f>IFERROR(__xludf.DUMMYFUNCTION("""COMPUTED_VALUE"""),42755.64583333333)</f>
        <v>42755.64583</v>
      </c>
      <c r="B1245" s="1">
        <f>IFERROR(__xludf.DUMMYFUNCTION("""COMPUTED_VALUE"""),12050.0)</f>
        <v>12050</v>
      </c>
      <c r="C1245" s="1">
        <f>IFERROR(__xludf.DUMMYFUNCTION("""COMPUTED_VALUE"""),12150.0)</f>
        <v>12150</v>
      </c>
      <c r="D1245" s="1">
        <f>IFERROR(__xludf.DUMMYFUNCTION("""COMPUTED_VALUE"""),11750.0)</f>
        <v>11750</v>
      </c>
      <c r="E1245" s="1">
        <f>IFERROR(__xludf.DUMMYFUNCTION("""COMPUTED_VALUE"""),11900.0)</f>
        <v>11900</v>
      </c>
      <c r="F1245" s="1">
        <f>IFERROR(__xludf.DUMMYFUNCTION("""COMPUTED_VALUE"""),34225.0)</f>
        <v>34225</v>
      </c>
    </row>
    <row r="1246">
      <c r="A1246" s="2">
        <f>IFERROR(__xludf.DUMMYFUNCTION("""COMPUTED_VALUE"""),42758.64583333333)</f>
        <v>42758.64583</v>
      </c>
      <c r="B1246" s="1">
        <f>IFERROR(__xludf.DUMMYFUNCTION("""COMPUTED_VALUE"""),11800.0)</f>
        <v>11800</v>
      </c>
      <c r="C1246" s="1">
        <f>IFERROR(__xludf.DUMMYFUNCTION("""COMPUTED_VALUE"""),11950.0)</f>
        <v>11950</v>
      </c>
      <c r="D1246" s="1">
        <f>IFERROR(__xludf.DUMMYFUNCTION("""COMPUTED_VALUE"""),11400.0)</f>
        <v>11400</v>
      </c>
      <c r="E1246" s="1">
        <f>IFERROR(__xludf.DUMMYFUNCTION("""COMPUTED_VALUE"""),11400.0)</f>
        <v>11400</v>
      </c>
      <c r="F1246" s="1">
        <f>IFERROR(__xludf.DUMMYFUNCTION("""COMPUTED_VALUE"""),93487.0)</f>
        <v>93487</v>
      </c>
    </row>
    <row r="1247">
      <c r="A1247" s="2">
        <f>IFERROR(__xludf.DUMMYFUNCTION("""COMPUTED_VALUE"""),42759.64583333333)</f>
        <v>42759.64583</v>
      </c>
      <c r="B1247" s="1">
        <f>IFERROR(__xludf.DUMMYFUNCTION("""COMPUTED_VALUE"""),11400.0)</f>
        <v>11400</v>
      </c>
      <c r="C1247" s="1">
        <f>IFERROR(__xludf.DUMMYFUNCTION("""COMPUTED_VALUE"""),12300.0)</f>
        <v>12300</v>
      </c>
      <c r="D1247" s="1">
        <f>IFERROR(__xludf.DUMMYFUNCTION("""COMPUTED_VALUE"""),11250.0)</f>
        <v>11250</v>
      </c>
      <c r="E1247" s="1">
        <f>IFERROR(__xludf.DUMMYFUNCTION("""COMPUTED_VALUE"""),11500.0)</f>
        <v>11500</v>
      </c>
      <c r="F1247" s="1">
        <f>IFERROR(__xludf.DUMMYFUNCTION("""COMPUTED_VALUE"""),129528.0)</f>
        <v>129528</v>
      </c>
    </row>
    <row r="1248">
      <c r="A1248" s="2">
        <f>IFERROR(__xludf.DUMMYFUNCTION("""COMPUTED_VALUE"""),42760.64583333333)</f>
        <v>42760.64583</v>
      </c>
      <c r="B1248" s="1">
        <f>IFERROR(__xludf.DUMMYFUNCTION("""COMPUTED_VALUE"""),11550.0)</f>
        <v>11550</v>
      </c>
      <c r="C1248" s="1">
        <f>IFERROR(__xludf.DUMMYFUNCTION("""COMPUTED_VALUE"""),11900.0)</f>
        <v>11900</v>
      </c>
      <c r="D1248" s="1">
        <f>IFERROR(__xludf.DUMMYFUNCTION("""COMPUTED_VALUE"""),11500.0)</f>
        <v>11500</v>
      </c>
      <c r="E1248" s="1">
        <f>IFERROR(__xludf.DUMMYFUNCTION("""COMPUTED_VALUE"""),11650.0)</f>
        <v>11650</v>
      </c>
      <c r="F1248" s="1">
        <f>IFERROR(__xludf.DUMMYFUNCTION("""COMPUTED_VALUE"""),83268.0)</f>
        <v>83268</v>
      </c>
    </row>
    <row r="1249">
      <c r="A1249" s="2">
        <f>IFERROR(__xludf.DUMMYFUNCTION("""COMPUTED_VALUE"""),42761.64583333333)</f>
        <v>42761.64583</v>
      </c>
      <c r="B1249" s="1">
        <f>IFERROR(__xludf.DUMMYFUNCTION("""COMPUTED_VALUE"""),11700.0)</f>
        <v>11700</v>
      </c>
      <c r="C1249" s="1">
        <f>IFERROR(__xludf.DUMMYFUNCTION("""COMPUTED_VALUE"""),12200.0)</f>
        <v>12200</v>
      </c>
      <c r="D1249" s="1">
        <f>IFERROR(__xludf.DUMMYFUNCTION("""COMPUTED_VALUE"""),11700.0)</f>
        <v>11700</v>
      </c>
      <c r="E1249" s="1">
        <f>IFERROR(__xludf.DUMMYFUNCTION("""COMPUTED_VALUE"""),12000.0)</f>
        <v>12000</v>
      </c>
      <c r="F1249" s="1">
        <f>IFERROR(__xludf.DUMMYFUNCTION("""COMPUTED_VALUE"""),130427.0)</f>
        <v>130427</v>
      </c>
    </row>
    <row r="1250">
      <c r="A1250" s="2">
        <f>IFERROR(__xludf.DUMMYFUNCTION("""COMPUTED_VALUE"""),42766.64583333333)</f>
        <v>42766.64583</v>
      </c>
      <c r="B1250" s="1">
        <f>IFERROR(__xludf.DUMMYFUNCTION("""COMPUTED_VALUE"""),12100.0)</f>
        <v>12100</v>
      </c>
      <c r="C1250" s="1">
        <f>IFERROR(__xludf.DUMMYFUNCTION("""COMPUTED_VALUE"""),12300.0)</f>
        <v>12300</v>
      </c>
      <c r="D1250" s="1">
        <f>IFERROR(__xludf.DUMMYFUNCTION("""COMPUTED_VALUE"""),11700.0)</f>
        <v>11700</v>
      </c>
      <c r="E1250" s="1">
        <f>IFERROR(__xludf.DUMMYFUNCTION("""COMPUTED_VALUE"""),11850.0)</f>
        <v>11850</v>
      </c>
      <c r="F1250" s="1">
        <f>IFERROR(__xludf.DUMMYFUNCTION("""COMPUTED_VALUE"""),54058.0)</f>
        <v>54058</v>
      </c>
    </row>
    <row r="1251">
      <c r="A1251" s="2">
        <f>IFERROR(__xludf.DUMMYFUNCTION("""COMPUTED_VALUE"""),42767.64583333333)</f>
        <v>42767.64583</v>
      </c>
      <c r="B1251" s="1">
        <f>IFERROR(__xludf.DUMMYFUNCTION("""COMPUTED_VALUE"""),12000.0)</f>
        <v>12000</v>
      </c>
      <c r="C1251" s="1">
        <f>IFERROR(__xludf.DUMMYFUNCTION("""COMPUTED_VALUE"""),12150.0)</f>
        <v>12150</v>
      </c>
      <c r="D1251" s="1">
        <f>IFERROR(__xludf.DUMMYFUNCTION("""COMPUTED_VALUE"""),11950.0)</f>
        <v>11950</v>
      </c>
      <c r="E1251" s="1">
        <f>IFERROR(__xludf.DUMMYFUNCTION("""COMPUTED_VALUE"""),12050.0)</f>
        <v>12050</v>
      </c>
      <c r="F1251" s="1">
        <f>IFERROR(__xludf.DUMMYFUNCTION("""COMPUTED_VALUE"""),46752.0)</f>
        <v>46752</v>
      </c>
    </row>
    <row r="1252">
      <c r="A1252" s="2">
        <f>IFERROR(__xludf.DUMMYFUNCTION("""COMPUTED_VALUE"""),42768.64583333333)</f>
        <v>42768.64583</v>
      </c>
      <c r="B1252" s="1">
        <f>IFERROR(__xludf.DUMMYFUNCTION("""COMPUTED_VALUE"""),12100.0)</f>
        <v>12100</v>
      </c>
      <c r="C1252" s="1">
        <f>IFERROR(__xludf.DUMMYFUNCTION("""COMPUTED_VALUE"""),12100.0)</f>
        <v>12100</v>
      </c>
      <c r="D1252" s="1">
        <f>IFERROR(__xludf.DUMMYFUNCTION("""COMPUTED_VALUE"""),11650.0)</f>
        <v>11650</v>
      </c>
      <c r="E1252" s="1">
        <f>IFERROR(__xludf.DUMMYFUNCTION("""COMPUTED_VALUE"""),11650.0)</f>
        <v>11650</v>
      </c>
      <c r="F1252" s="1">
        <f>IFERROR(__xludf.DUMMYFUNCTION("""COMPUTED_VALUE"""),81205.0)</f>
        <v>81205</v>
      </c>
    </row>
    <row r="1253">
      <c r="A1253" s="2">
        <f>IFERROR(__xludf.DUMMYFUNCTION("""COMPUTED_VALUE"""),42769.64583333333)</f>
        <v>42769.64583</v>
      </c>
      <c r="B1253" s="1">
        <f>IFERROR(__xludf.DUMMYFUNCTION("""COMPUTED_VALUE"""),11650.0)</f>
        <v>11650</v>
      </c>
      <c r="C1253" s="1">
        <f>IFERROR(__xludf.DUMMYFUNCTION("""COMPUTED_VALUE"""),11800.0)</f>
        <v>11800</v>
      </c>
      <c r="D1253" s="1">
        <f>IFERROR(__xludf.DUMMYFUNCTION("""COMPUTED_VALUE"""),11500.0)</f>
        <v>11500</v>
      </c>
      <c r="E1253" s="1">
        <f>IFERROR(__xludf.DUMMYFUNCTION("""COMPUTED_VALUE"""),11650.0)</f>
        <v>11650</v>
      </c>
      <c r="F1253" s="1">
        <f>IFERROR(__xludf.DUMMYFUNCTION("""COMPUTED_VALUE"""),42644.0)</f>
        <v>42644</v>
      </c>
    </row>
    <row r="1254">
      <c r="A1254" s="2">
        <f>IFERROR(__xludf.DUMMYFUNCTION("""COMPUTED_VALUE"""),42772.64583333333)</f>
        <v>42772.64583</v>
      </c>
      <c r="B1254" s="1">
        <f>IFERROR(__xludf.DUMMYFUNCTION("""COMPUTED_VALUE"""),11800.0)</f>
        <v>11800</v>
      </c>
      <c r="C1254" s="1">
        <f>IFERROR(__xludf.DUMMYFUNCTION("""COMPUTED_VALUE"""),11950.0)</f>
        <v>11950</v>
      </c>
      <c r="D1254" s="1">
        <f>IFERROR(__xludf.DUMMYFUNCTION("""COMPUTED_VALUE"""),11600.0)</f>
        <v>11600</v>
      </c>
      <c r="E1254" s="1">
        <f>IFERROR(__xludf.DUMMYFUNCTION("""COMPUTED_VALUE"""),11900.0)</f>
        <v>11900</v>
      </c>
      <c r="F1254" s="1">
        <f>IFERROR(__xludf.DUMMYFUNCTION("""COMPUTED_VALUE"""),34917.0)</f>
        <v>34917</v>
      </c>
    </row>
    <row r="1255">
      <c r="A1255" s="2">
        <f>IFERROR(__xludf.DUMMYFUNCTION("""COMPUTED_VALUE"""),42773.64583333333)</f>
        <v>42773.64583</v>
      </c>
      <c r="B1255" s="1">
        <f>IFERROR(__xludf.DUMMYFUNCTION("""COMPUTED_VALUE"""),11900.0)</f>
        <v>11900</v>
      </c>
      <c r="C1255" s="1">
        <f>IFERROR(__xludf.DUMMYFUNCTION("""COMPUTED_VALUE"""),12050.0)</f>
        <v>12050</v>
      </c>
      <c r="D1255" s="1">
        <f>IFERROR(__xludf.DUMMYFUNCTION("""COMPUTED_VALUE"""),11700.0)</f>
        <v>11700</v>
      </c>
      <c r="E1255" s="1">
        <f>IFERROR(__xludf.DUMMYFUNCTION("""COMPUTED_VALUE"""),11750.0)</f>
        <v>11750</v>
      </c>
      <c r="F1255" s="1">
        <f>IFERROR(__xludf.DUMMYFUNCTION("""COMPUTED_VALUE"""),24760.0)</f>
        <v>24760</v>
      </c>
    </row>
    <row r="1256">
      <c r="A1256" s="2">
        <f>IFERROR(__xludf.DUMMYFUNCTION("""COMPUTED_VALUE"""),42774.64583333333)</f>
        <v>42774.64583</v>
      </c>
      <c r="B1256" s="1">
        <f>IFERROR(__xludf.DUMMYFUNCTION("""COMPUTED_VALUE"""),11850.0)</f>
        <v>11850</v>
      </c>
      <c r="C1256" s="1">
        <f>IFERROR(__xludf.DUMMYFUNCTION("""COMPUTED_VALUE"""),11950.0)</f>
        <v>11950</v>
      </c>
      <c r="D1256" s="1">
        <f>IFERROR(__xludf.DUMMYFUNCTION("""COMPUTED_VALUE"""),11700.0)</f>
        <v>11700</v>
      </c>
      <c r="E1256" s="1">
        <f>IFERROR(__xludf.DUMMYFUNCTION("""COMPUTED_VALUE"""),11900.0)</f>
        <v>11900</v>
      </c>
      <c r="F1256" s="1">
        <f>IFERROR(__xludf.DUMMYFUNCTION("""COMPUTED_VALUE"""),37839.0)</f>
        <v>37839</v>
      </c>
    </row>
    <row r="1257">
      <c r="A1257" s="2">
        <f>IFERROR(__xludf.DUMMYFUNCTION("""COMPUTED_VALUE"""),42775.64583333333)</f>
        <v>42775.64583</v>
      </c>
      <c r="B1257" s="1">
        <f>IFERROR(__xludf.DUMMYFUNCTION("""COMPUTED_VALUE"""),11900.0)</f>
        <v>11900</v>
      </c>
      <c r="C1257" s="1">
        <f>IFERROR(__xludf.DUMMYFUNCTION("""COMPUTED_VALUE"""),12000.0)</f>
        <v>12000</v>
      </c>
      <c r="D1257" s="1">
        <f>IFERROR(__xludf.DUMMYFUNCTION("""COMPUTED_VALUE"""),11750.0)</f>
        <v>11750</v>
      </c>
      <c r="E1257" s="1">
        <f>IFERROR(__xludf.DUMMYFUNCTION("""COMPUTED_VALUE"""),11900.0)</f>
        <v>11900</v>
      </c>
      <c r="F1257" s="1">
        <f>IFERROR(__xludf.DUMMYFUNCTION("""COMPUTED_VALUE"""),32032.0)</f>
        <v>32032</v>
      </c>
    </row>
    <row r="1258">
      <c r="A1258" s="2">
        <f>IFERROR(__xludf.DUMMYFUNCTION("""COMPUTED_VALUE"""),42776.64583333333)</f>
        <v>42776.64583</v>
      </c>
      <c r="B1258" s="1">
        <f>IFERROR(__xludf.DUMMYFUNCTION("""COMPUTED_VALUE"""),12000.0)</f>
        <v>12000</v>
      </c>
      <c r="C1258" s="1">
        <f>IFERROR(__xludf.DUMMYFUNCTION("""COMPUTED_VALUE"""),12050.0)</f>
        <v>12050</v>
      </c>
      <c r="D1258" s="1">
        <f>IFERROR(__xludf.DUMMYFUNCTION("""COMPUTED_VALUE"""),11650.0)</f>
        <v>11650</v>
      </c>
      <c r="E1258" s="1">
        <f>IFERROR(__xludf.DUMMYFUNCTION("""COMPUTED_VALUE"""),11700.0)</f>
        <v>11700</v>
      </c>
      <c r="F1258" s="1">
        <f>IFERROR(__xludf.DUMMYFUNCTION("""COMPUTED_VALUE"""),56337.0)</f>
        <v>56337</v>
      </c>
    </row>
    <row r="1259">
      <c r="A1259" s="2">
        <f>IFERROR(__xludf.DUMMYFUNCTION("""COMPUTED_VALUE"""),42779.64583333333)</f>
        <v>42779.64583</v>
      </c>
      <c r="B1259" s="1">
        <f>IFERROR(__xludf.DUMMYFUNCTION("""COMPUTED_VALUE"""),11700.0)</f>
        <v>11700</v>
      </c>
      <c r="C1259" s="1">
        <f>IFERROR(__xludf.DUMMYFUNCTION("""COMPUTED_VALUE"""),11800.0)</f>
        <v>11800</v>
      </c>
      <c r="D1259" s="1">
        <f>IFERROR(__xludf.DUMMYFUNCTION("""COMPUTED_VALUE"""),11600.0)</f>
        <v>11600</v>
      </c>
      <c r="E1259" s="1">
        <f>IFERROR(__xludf.DUMMYFUNCTION("""COMPUTED_VALUE"""),11800.0)</f>
        <v>11800</v>
      </c>
      <c r="F1259" s="1">
        <f>IFERROR(__xludf.DUMMYFUNCTION("""COMPUTED_VALUE"""),18025.0)</f>
        <v>18025</v>
      </c>
    </row>
    <row r="1260">
      <c r="A1260" s="2">
        <f>IFERROR(__xludf.DUMMYFUNCTION("""COMPUTED_VALUE"""),42780.64583333333)</f>
        <v>42780.64583</v>
      </c>
      <c r="B1260" s="1">
        <f>IFERROR(__xludf.DUMMYFUNCTION("""COMPUTED_VALUE"""),11750.0)</f>
        <v>11750</v>
      </c>
      <c r="C1260" s="1">
        <f>IFERROR(__xludf.DUMMYFUNCTION("""COMPUTED_VALUE"""),11850.0)</f>
        <v>11850</v>
      </c>
      <c r="D1260" s="1">
        <f>IFERROR(__xludf.DUMMYFUNCTION("""COMPUTED_VALUE"""),11600.0)</f>
        <v>11600</v>
      </c>
      <c r="E1260" s="1">
        <f>IFERROR(__xludf.DUMMYFUNCTION("""COMPUTED_VALUE"""),11650.0)</f>
        <v>11650</v>
      </c>
      <c r="F1260" s="1">
        <f>IFERROR(__xludf.DUMMYFUNCTION("""COMPUTED_VALUE"""),33779.0)</f>
        <v>33779</v>
      </c>
    </row>
    <row r="1261">
      <c r="A1261" s="2">
        <f>IFERROR(__xludf.DUMMYFUNCTION("""COMPUTED_VALUE"""),42781.64583333333)</f>
        <v>42781.64583</v>
      </c>
      <c r="B1261" s="1">
        <f>IFERROR(__xludf.DUMMYFUNCTION("""COMPUTED_VALUE"""),11700.0)</f>
        <v>11700</v>
      </c>
      <c r="C1261" s="1">
        <f>IFERROR(__xludf.DUMMYFUNCTION("""COMPUTED_VALUE"""),11800.0)</f>
        <v>11800</v>
      </c>
      <c r="D1261" s="1">
        <f>IFERROR(__xludf.DUMMYFUNCTION("""COMPUTED_VALUE"""),11550.0)</f>
        <v>11550</v>
      </c>
      <c r="E1261" s="1">
        <f>IFERROR(__xludf.DUMMYFUNCTION("""COMPUTED_VALUE"""),11600.0)</f>
        <v>11600</v>
      </c>
      <c r="F1261" s="1">
        <f>IFERROR(__xludf.DUMMYFUNCTION("""COMPUTED_VALUE"""),52387.0)</f>
        <v>52387</v>
      </c>
    </row>
    <row r="1262">
      <c r="A1262" s="2">
        <f>IFERROR(__xludf.DUMMYFUNCTION("""COMPUTED_VALUE"""),42782.64583333333)</f>
        <v>42782.64583</v>
      </c>
      <c r="B1262" s="1">
        <f>IFERROR(__xludf.DUMMYFUNCTION("""COMPUTED_VALUE"""),11600.0)</f>
        <v>11600</v>
      </c>
      <c r="C1262" s="1">
        <f>IFERROR(__xludf.DUMMYFUNCTION("""COMPUTED_VALUE"""),11700.0)</f>
        <v>11700</v>
      </c>
      <c r="D1262" s="1">
        <f>IFERROR(__xludf.DUMMYFUNCTION("""COMPUTED_VALUE"""),11600.0)</f>
        <v>11600</v>
      </c>
      <c r="E1262" s="1">
        <f>IFERROR(__xludf.DUMMYFUNCTION("""COMPUTED_VALUE"""),11700.0)</f>
        <v>11700</v>
      </c>
      <c r="F1262" s="1">
        <f>IFERROR(__xludf.DUMMYFUNCTION("""COMPUTED_VALUE"""),23249.0)</f>
        <v>23249</v>
      </c>
    </row>
    <row r="1263">
      <c r="A1263" s="2">
        <f>IFERROR(__xludf.DUMMYFUNCTION("""COMPUTED_VALUE"""),42783.64583333333)</f>
        <v>42783.64583</v>
      </c>
      <c r="B1263" s="1">
        <f>IFERROR(__xludf.DUMMYFUNCTION("""COMPUTED_VALUE"""),11650.0)</f>
        <v>11650</v>
      </c>
      <c r="C1263" s="1">
        <f>IFERROR(__xludf.DUMMYFUNCTION("""COMPUTED_VALUE"""),12150.0)</f>
        <v>12150</v>
      </c>
      <c r="D1263" s="1">
        <f>IFERROR(__xludf.DUMMYFUNCTION("""COMPUTED_VALUE"""),11600.0)</f>
        <v>11600</v>
      </c>
      <c r="E1263" s="1">
        <f>IFERROR(__xludf.DUMMYFUNCTION("""COMPUTED_VALUE"""),12150.0)</f>
        <v>12150</v>
      </c>
      <c r="F1263" s="1">
        <f>IFERROR(__xludf.DUMMYFUNCTION("""COMPUTED_VALUE"""),104210.0)</f>
        <v>104210</v>
      </c>
    </row>
    <row r="1264">
      <c r="A1264" s="2">
        <f>IFERROR(__xludf.DUMMYFUNCTION("""COMPUTED_VALUE"""),42786.64583333333)</f>
        <v>42786.64583</v>
      </c>
      <c r="B1264" s="1">
        <f>IFERROR(__xludf.DUMMYFUNCTION("""COMPUTED_VALUE"""),12700.0)</f>
        <v>12700</v>
      </c>
      <c r="C1264" s="1">
        <f>IFERROR(__xludf.DUMMYFUNCTION("""COMPUTED_VALUE"""),12700.0)</f>
        <v>12700</v>
      </c>
      <c r="D1264" s="1">
        <f>IFERROR(__xludf.DUMMYFUNCTION("""COMPUTED_VALUE"""),11850.0)</f>
        <v>11850</v>
      </c>
      <c r="E1264" s="1">
        <f>IFERROR(__xludf.DUMMYFUNCTION("""COMPUTED_VALUE"""),11900.0)</f>
        <v>11900</v>
      </c>
      <c r="F1264" s="1">
        <f>IFERROR(__xludf.DUMMYFUNCTION("""COMPUTED_VALUE"""),145469.0)</f>
        <v>145469</v>
      </c>
    </row>
    <row r="1265">
      <c r="A1265" s="2">
        <f>IFERROR(__xludf.DUMMYFUNCTION("""COMPUTED_VALUE"""),42787.64583333333)</f>
        <v>42787.64583</v>
      </c>
      <c r="B1265" s="1">
        <f>IFERROR(__xludf.DUMMYFUNCTION("""COMPUTED_VALUE"""),11950.0)</f>
        <v>11950</v>
      </c>
      <c r="C1265" s="1">
        <f>IFERROR(__xludf.DUMMYFUNCTION("""COMPUTED_VALUE"""),12200.0)</f>
        <v>12200</v>
      </c>
      <c r="D1265" s="1">
        <f>IFERROR(__xludf.DUMMYFUNCTION("""COMPUTED_VALUE"""),11800.0)</f>
        <v>11800</v>
      </c>
      <c r="E1265" s="1">
        <f>IFERROR(__xludf.DUMMYFUNCTION("""COMPUTED_VALUE"""),12000.0)</f>
        <v>12000</v>
      </c>
      <c r="F1265" s="1">
        <f>IFERROR(__xludf.DUMMYFUNCTION("""COMPUTED_VALUE"""),44121.0)</f>
        <v>44121</v>
      </c>
    </row>
    <row r="1266">
      <c r="A1266" s="2">
        <f>IFERROR(__xludf.DUMMYFUNCTION("""COMPUTED_VALUE"""),42788.64583333333)</f>
        <v>42788.64583</v>
      </c>
      <c r="B1266" s="1">
        <f>IFERROR(__xludf.DUMMYFUNCTION("""COMPUTED_VALUE"""),12000.0)</f>
        <v>12000</v>
      </c>
      <c r="C1266" s="1">
        <f>IFERROR(__xludf.DUMMYFUNCTION("""COMPUTED_VALUE"""),12100.0)</f>
        <v>12100</v>
      </c>
      <c r="D1266" s="1">
        <f>IFERROR(__xludf.DUMMYFUNCTION("""COMPUTED_VALUE"""),11800.0)</f>
        <v>11800</v>
      </c>
      <c r="E1266" s="1">
        <f>IFERROR(__xludf.DUMMYFUNCTION("""COMPUTED_VALUE"""),11900.0)</f>
        <v>11900</v>
      </c>
      <c r="F1266" s="1">
        <f>IFERROR(__xludf.DUMMYFUNCTION("""COMPUTED_VALUE"""),51307.0)</f>
        <v>51307</v>
      </c>
    </row>
    <row r="1267">
      <c r="A1267" s="2">
        <f>IFERROR(__xludf.DUMMYFUNCTION("""COMPUTED_VALUE"""),42789.64583333333)</f>
        <v>42789.64583</v>
      </c>
      <c r="B1267" s="1">
        <f>IFERROR(__xludf.DUMMYFUNCTION("""COMPUTED_VALUE"""),12000.0)</f>
        <v>12000</v>
      </c>
      <c r="C1267" s="1">
        <f>IFERROR(__xludf.DUMMYFUNCTION("""COMPUTED_VALUE"""),12150.0)</f>
        <v>12150</v>
      </c>
      <c r="D1267" s="1">
        <f>IFERROR(__xludf.DUMMYFUNCTION("""COMPUTED_VALUE"""),11850.0)</f>
        <v>11850</v>
      </c>
      <c r="E1267" s="1">
        <f>IFERROR(__xludf.DUMMYFUNCTION("""COMPUTED_VALUE"""),11900.0)</f>
        <v>11900</v>
      </c>
      <c r="F1267" s="1">
        <f>IFERROR(__xludf.DUMMYFUNCTION("""COMPUTED_VALUE"""),61619.0)</f>
        <v>61619</v>
      </c>
    </row>
    <row r="1268">
      <c r="A1268" s="2">
        <f>IFERROR(__xludf.DUMMYFUNCTION("""COMPUTED_VALUE"""),42790.64583333333)</f>
        <v>42790.64583</v>
      </c>
      <c r="B1268" s="1">
        <f>IFERROR(__xludf.DUMMYFUNCTION("""COMPUTED_VALUE"""),12150.0)</f>
        <v>12150</v>
      </c>
      <c r="C1268" s="1">
        <f>IFERROR(__xludf.DUMMYFUNCTION("""COMPUTED_VALUE"""),12250.0)</f>
        <v>12250</v>
      </c>
      <c r="D1268" s="1">
        <f>IFERROR(__xludf.DUMMYFUNCTION("""COMPUTED_VALUE"""),11850.0)</f>
        <v>11850</v>
      </c>
      <c r="E1268" s="1">
        <f>IFERROR(__xludf.DUMMYFUNCTION("""COMPUTED_VALUE"""),11900.0)</f>
        <v>11900</v>
      </c>
      <c r="F1268" s="1">
        <f>IFERROR(__xludf.DUMMYFUNCTION("""COMPUTED_VALUE"""),69678.0)</f>
        <v>69678</v>
      </c>
    </row>
    <row r="1269">
      <c r="A1269" s="2">
        <f>IFERROR(__xludf.DUMMYFUNCTION("""COMPUTED_VALUE"""),42793.64583333333)</f>
        <v>42793.64583</v>
      </c>
      <c r="B1269" s="1">
        <f>IFERROR(__xludf.DUMMYFUNCTION("""COMPUTED_VALUE"""),11950.0)</f>
        <v>11950</v>
      </c>
      <c r="C1269" s="1">
        <f>IFERROR(__xludf.DUMMYFUNCTION("""COMPUTED_VALUE"""),11950.0)</f>
        <v>11950</v>
      </c>
      <c r="D1269" s="1">
        <f>IFERROR(__xludf.DUMMYFUNCTION("""COMPUTED_VALUE"""),11700.0)</f>
        <v>11700</v>
      </c>
      <c r="E1269" s="1">
        <f>IFERROR(__xludf.DUMMYFUNCTION("""COMPUTED_VALUE"""),11700.0)</f>
        <v>11700</v>
      </c>
      <c r="F1269" s="1">
        <f>IFERROR(__xludf.DUMMYFUNCTION("""COMPUTED_VALUE"""),44302.0)</f>
        <v>44302</v>
      </c>
    </row>
    <row r="1270">
      <c r="A1270" s="2">
        <f>IFERROR(__xludf.DUMMYFUNCTION("""COMPUTED_VALUE"""),42794.64583333333)</f>
        <v>42794.64583</v>
      </c>
      <c r="B1270" s="1">
        <f>IFERROR(__xludf.DUMMYFUNCTION("""COMPUTED_VALUE"""),11700.0)</f>
        <v>11700</v>
      </c>
      <c r="C1270" s="1">
        <f>IFERROR(__xludf.DUMMYFUNCTION("""COMPUTED_VALUE"""),11750.0)</f>
        <v>11750</v>
      </c>
      <c r="D1270" s="1">
        <f>IFERROR(__xludf.DUMMYFUNCTION("""COMPUTED_VALUE"""),11500.0)</f>
        <v>11500</v>
      </c>
      <c r="E1270" s="1">
        <f>IFERROR(__xludf.DUMMYFUNCTION("""COMPUTED_VALUE"""),11550.0)</f>
        <v>11550</v>
      </c>
      <c r="F1270" s="1">
        <f>IFERROR(__xludf.DUMMYFUNCTION("""COMPUTED_VALUE"""),85101.0)</f>
        <v>85101</v>
      </c>
    </row>
    <row r="1271">
      <c r="A1271" s="2">
        <f>IFERROR(__xludf.DUMMYFUNCTION("""COMPUTED_VALUE"""),42796.64583333333)</f>
        <v>42796.64583</v>
      </c>
      <c r="B1271" s="1">
        <f>IFERROR(__xludf.DUMMYFUNCTION("""COMPUTED_VALUE"""),11650.0)</f>
        <v>11650</v>
      </c>
      <c r="C1271" s="1">
        <f>IFERROR(__xludf.DUMMYFUNCTION("""COMPUTED_VALUE"""),11650.0)</f>
        <v>11650</v>
      </c>
      <c r="D1271" s="1">
        <f>IFERROR(__xludf.DUMMYFUNCTION("""COMPUTED_VALUE"""),11350.0)</f>
        <v>11350</v>
      </c>
      <c r="E1271" s="1">
        <f>IFERROR(__xludf.DUMMYFUNCTION("""COMPUTED_VALUE"""),11400.0)</f>
        <v>11400</v>
      </c>
      <c r="F1271" s="1">
        <f>IFERROR(__xludf.DUMMYFUNCTION("""COMPUTED_VALUE"""),55682.0)</f>
        <v>55682</v>
      </c>
    </row>
    <row r="1272">
      <c r="A1272" s="2">
        <f>IFERROR(__xludf.DUMMYFUNCTION("""COMPUTED_VALUE"""),42797.64583333333)</f>
        <v>42797.64583</v>
      </c>
      <c r="B1272" s="1">
        <f>IFERROR(__xludf.DUMMYFUNCTION("""COMPUTED_VALUE"""),11350.0)</f>
        <v>11350</v>
      </c>
      <c r="C1272" s="1">
        <f>IFERROR(__xludf.DUMMYFUNCTION("""COMPUTED_VALUE"""),11500.0)</f>
        <v>11500</v>
      </c>
      <c r="D1272" s="1">
        <f>IFERROR(__xludf.DUMMYFUNCTION("""COMPUTED_VALUE"""),11000.0)</f>
        <v>11000</v>
      </c>
      <c r="E1272" s="1">
        <f>IFERROR(__xludf.DUMMYFUNCTION("""COMPUTED_VALUE"""),11150.0)</f>
        <v>11150</v>
      </c>
      <c r="F1272" s="1">
        <f>IFERROR(__xludf.DUMMYFUNCTION("""COMPUTED_VALUE"""),77584.0)</f>
        <v>77584</v>
      </c>
    </row>
    <row r="1273">
      <c r="A1273" s="2">
        <f>IFERROR(__xludf.DUMMYFUNCTION("""COMPUTED_VALUE"""),42800.64583333333)</f>
        <v>42800.64583</v>
      </c>
      <c r="B1273" s="1">
        <f>IFERROR(__xludf.DUMMYFUNCTION("""COMPUTED_VALUE"""),11200.0)</f>
        <v>11200</v>
      </c>
      <c r="C1273" s="1">
        <f>IFERROR(__xludf.DUMMYFUNCTION("""COMPUTED_VALUE"""),11500.0)</f>
        <v>11500</v>
      </c>
      <c r="D1273" s="1">
        <f>IFERROR(__xludf.DUMMYFUNCTION("""COMPUTED_VALUE"""),11100.0)</f>
        <v>11100</v>
      </c>
      <c r="E1273" s="1">
        <f>IFERROR(__xludf.DUMMYFUNCTION("""COMPUTED_VALUE"""),11450.0)</f>
        <v>11450</v>
      </c>
      <c r="F1273" s="1">
        <f>IFERROR(__xludf.DUMMYFUNCTION("""COMPUTED_VALUE"""),36232.0)</f>
        <v>36232</v>
      </c>
    </row>
    <row r="1274">
      <c r="A1274" s="2">
        <f>IFERROR(__xludf.DUMMYFUNCTION("""COMPUTED_VALUE"""),42801.64583333333)</f>
        <v>42801.64583</v>
      </c>
      <c r="B1274" s="1">
        <f>IFERROR(__xludf.DUMMYFUNCTION("""COMPUTED_VALUE"""),11300.0)</f>
        <v>11300</v>
      </c>
      <c r="C1274" s="1">
        <f>IFERROR(__xludf.DUMMYFUNCTION("""COMPUTED_VALUE"""),11500.0)</f>
        <v>11500</v>
      </c>
      <c r="D1274" s="1">
        <f>IFERROR(__xludf.DUMMYFUNCTION("""COMPUTED_VALUE"""),11300.0)</f>
        <v>11300</v>
      </c>
      <c r="E1274" s="1">
        <f>IFERROR(__xludf.DUMMYFUNCTION("""COMPUTED_VALUE"""),11350.0)</f>
        <v>11350</v>
      </c>
      <c r="F1274" s="1">
        <f>IFERROR(__xludf.DUMMYFUNCTION("""COMPUTED_VALUE"""),26830.0)</f>
        <v>26830</v>
      </c>
    </row>
    <row r="1275">
      <c r="A1275" s="2">
        <f>IFERROR(__xludf.DUMMYFUNCTION("""COMPUTED_VALUE"""),42802.64583333333)</f>
        <v>42802.64583</v>
      </c>
      <c r="B1275" s="1">
        <f>IFERROR(__xludf.DUMMYFUNCTION("""COMPUTED_VALUE"""),11350.0)</f>
        <v>11350</v>
      </c>
      <c r="C1275" s="1">
        <f>IFERROR(__xludf.DUMMYFUNCTION("""COMPUTED_VALUE"""),11450.0)</f>
        <v>11450</v>
      </c>
      <c r="D1275" s="1">
        <f>IFERROR(__xludf.DUMMYFUNCTION("""COMPUTED_VALUE"""),11250.0)</f>
        <v>11250</v>
      </c>
      <c r="E1275" s="1">
        <f>IFERROR(__xludf.DUMMYFUNCTION("""COMPUTED_VALUE"""),11250.0)</f>
        <v>11250</v>
      </c>
      <c r="F1275" s="1">
        <f>IFERROR(__xludf.DUMMYFUNCTION("""COMPUTED_VALUE"""),23001.0)</f>
        <v>23001</v>
      </c>
    </row>
    <row r="1276">
      <c r="A1276" s="2">
        <f>IFERROR(__xludf.DUMMYFUNCTION("""COMPUTED_VALUE"""),42803.64583333333)</f>
        <v>42803.64583</v>
      </c>
      <c r="B1276" s="1">
        <f>IFERROR(__xludf.DUMMYFUNCTION("""COMPUTED_VALUE"""),11300.0)</f>
        <v>11300</v>
      </c>
      <c r="C1276" s="1">
        <f>IFERROR(__xludf.DUMMYFUNCTION("""COMPUTED_VALUE"""),11400.0)</f>
        <v>11400</v>
      </c>
      <c r="D1276" s="1">
        <f>IFERROR(__xludf.DUMMYFUNCTION("""COMPUTED_VALUE"""),11150.0)</f>
        <v>11150</v>
      </c>
      <c r="E1276" s="1">
        <f>IFERROR(__xludf.DUMMYFUNCTION("""COMPUTED_VALUE"""),11200.0)</f>
        <v>11200</v>
      </c>
      <c r="F1276" s="1">
        <f>IFERROR(__xludf.DUMMYFUNCTION("""COMPUTED_VALUE"""),40833.0)</f>
        <v>40833</v>
      </c>
    </row>
    <row r="1277">
      <c r="A1277" s="2">
        <f>IFERROR(__xludf.DUMMYFUNCTION("""COMPUTED_VALUE"""),42804.64583333333)</f>
        <v>42804.64583</v>
      </c>
      <c r="B1277" s="1">
        <f>IFERROR(__xludf.DUMMYFUNCTION("""COMPUTED_VALUE"""),11200.0)</f>
        <v>11200</v>
      </c>
      <c r="C1277" s="1">
        <f>IFERROR(__xludf.DUMMYFUNCTION("""COMPUTED_VALUE"""),11500.0)</f>
        <v>11500</v>
      </c>
      <c r="D1277" s="1">
        <f>IFERROR(__xludf.DUMMYFUNCTION("""COMPUTED_VALUE"""),11050.0)</f>
        <v>11050</v>
      </c>
      <c r="E1277" s="1">
        <f>IFERROR(__xludf.DUMMYFUNCTION("""COMPUTED_VALUE"""),11450.0)</f>
        <v>11450</v>
      </c>
      <c r="F1277" s="1">
        <f>IFERROR(__xludf.DUMMYFUNCTION("""COMPUTED_VALUE"""),46080.0)</f>
        <v>46080</v>
      </c>
    </row>
    <row r="1278">
      <c r="A1278" s="2">
        <f>IFERROR(__xludf.DUMMYFUNCTION("""COMPUTED_VALUE"""),42807.64583333333)</f>
        <v>42807.64583</v>
      </c>
      <c r="B1278" s="1">
        <f>IFERROR(__xludf.DUMMYFUNCTION("""COMPUTED_VALUE"""),11400.0)</f>
        <v>11400</v>
      </c>
      <c r="C1278" s="1">
        <f>IFERROR(__xludf.DUMMYFUNCTION("""COMPUTED_VALUE"""),11550.0)</f>
        <v>11550</v>
      </c>
      <c r="D1278" s="1">
        <f>IFERROR(__xludf.DUMMYFUNCTION("""COMPUTED_VALUE"""),11300.0)</f>
        <v>11300</v>
      </c>
      <c r="E1278" s="1">
        <f>IFERROR(__xludf.DUMMYFUNCTION("""COMPUTED_VALUE"""),11400.0)</f>
        <v>11400</v>
      </c>
      <c r="F1278" s="1">
        <f>IFERROR(__xludf.DUMMYFUNCTION("""COMPUTED_VALUE"""),27496.0)</f>
        <v>27496</v>
      </c>
    </row>
    <row r="1279">
      <c r="A1279" s="2">
        <f>IFERROR(__xludf.DUMMYFUNCTION("""COMPUTED_VALUE"""),42808.64583333333)</f>
        <v>42808.64583</v>
      </c>
      <c r="B1279" s="1">
        <f>IFERROR(__xludf.DUMMYFUNCTION("""COMPUTED_VALUE"""),11350.0)</f>
        <v>11350</v>
      </c>
      <c r="C1279" s="1">
        <f>IFERROR(__xludf.DUMMYFUNCTION("""COMPUTED_VALUE"""),11550.0)</f>
        <v>11550</v>
      </c>
      <c r="D1279" s="1">
        <f>IFERROR(__xludf.DUMMYFUNCTION("""COMPUTED_VALUE"""),11300.0)</f>
        <v>11300</v>
      </c>
      <c r="E1279" s="1">
        <f>IFERROR(__xludf.DUMMYFUNCTION("""COMPUTED_VALUE"""),11450.0)</f>
        <v>11450</v>
      </c>
      <c r="F1279" s="1">
        <f>IFERROR(__xludf.DUMMYFUNCTION("""COMPUTED_VALUE"""),42555.0)</f>
        <v>42555</v>
      </c>
    </row>
    <row r="1280">
      <c r="A1280" s="2">
        <f>IFERROR(__xludf.DUMMYFUNCTION("""COMPUTED_VALUE"""),42809.64583333333)</f>
        <v>42809.64583</v>
      </c>
      <c r="B1280" s="1">
        <f>IFERROR(__xludf.DUMMYFUNCTION("""COMPUTED_VALUE"""),11500.0)</f>
        <v>11500</v>
      </c>
      <c r="C1280" s="1">
        <f>IFERROR(__xludf.DUMMYFUNCTION("""COMPUTED_VALUE"""),11500.0)</f>
        <v>11500</v>
      </c>
      <c r="D1280" s="1">
        <f>IFERROR(__xludf.DUMMYFUNCTION("""COMPUTED_VALUE"""),11250.0)</f>
        <v>11250</v>
      </c>
      <c r="E1280" s="1">
        <f>IFERROR(__xludf.DUMMYFUNCTION("""COMPUTED_VALUE"""),11300.0)</f>
        <v>11300</v>
      </c>
      <c r="F1280" s="1">
        <f>IFERROR(__xludf.DUMMYFUNCTION("""COMPUTED_VALUE"""),29556.0)</f>
        <v>29556</v>
      </c>
    </row>
    <row r="1281">
      <c r="A1281" s="2">
        <f>IFERROR(__xludf.DUMMYFUNCTION("""COMPUTED_VALUE"""),42810.64583333333)</f>
        <v>42810.64583</v>
      </c>
      <c r="B1281" s="1">
        <f>IFERROR(__xludf.DUMMYFUNCTION("""COMPUTED_VALUE"""),11300.0)</f>
        <v>11300</v>
      </c>
      <c r="C1281" s="1">
        <f>IFERROR(__xludf.DUMMYFUNCTION("""COMPUTED_VALUE"""),11450.0)</f>
        <v>11450</v>
      </c>
      <c r="D1281" s="1">
        <f>IFERROR(__xludf.DUMMYFUNCTION("""COMPUTED_VALUE"""),11150.0)</f>
        <v>11150</v>
      </c>
      <c r="E1281" s="1">
        <f>IFERROR(__xludf.DUMMYFUNCTION("""COMPUTED_VALUE"""),11150.0)</f>
        <v>11150</v>
      </c>
      <c r="F1281" s="1">
        <f>IFERROR(__xludf.DUMMYFUNCTION("""COMPUTED_VALUE"""),35942.0)</f>
        <v>35942</v>
      </c>
    </row>
    <row r="1282">
      <c r="A1282" s="2">
        <f>IFERROR(__xludf.DUMMYFUNCTION("""COMPUTED_VALUE"""),42811.64583333333)</f>
        <v>42811.64583</v>
      </c>
      <c r="B1282" s="1">
        <f>IFERROR(__xludf.DUMMYFUNCTION("""COMPUTED_VALUE"""),11200.0)</f>
        <v>11200</v>
      </c>
      <c r="C1282" s="1">
        <f>IFERROR(__xludf.DUMMYFUNCTION("""COMPUTED_VALUE"""),11300.0)</f>
        <v>11300</v>
      </c>
      <c r="D1282" s="1">
        <f>IFERROR(__xludf.DUMMYFUNCTION("""COMPUTED_VALUE"""),11100.0)</f>
        <v>11100</v>
      </c>
      <c r="E1282" s="1">
        <f>IFERROR(__xludf.DUMMYFUNCTION("""COMPUTED_VALUE"""),11250.0)</f>
        <v>11250</v>
      </c>
      <c r="F1282" s="1">
        <f>IFERROR(__xludf.DUMMYFUNCTION("""COMPUTED_VALUE"""),40015.0)</f>
        <v>40015</v>
      </c>
    </row>
    <row r="1283">
      <c r="A1283" s="2">
        <f>IFERROR(__xludf.DUMMYFUNCTION("""COMPUTED_VALUE"""),42814.64583333333)</f>
        <v>42814.64583</v>
      </c>
      <c r="B1283" s="1">
        <f>IFERROR(__xludf.DUMMYFUNCTION("""COMPUTED_VALUE"""),11300.0)</f>
        <v>11300</v>
      </c>
      <c r="C1283" s="1">
        <f>IFERROR(__xludf.DUMMYFUNCTION("""COMPUTED_VALUE"""),11300.0)</f>
        <v>11300</v>
      </c>
      <c r="D1283" s="1">
        <f>IFERROR(__xludf.DUMMYFUNCTION("""COMPUTED_VALUE"""),11000.0)</f>
        <v>11000</v>
      </c>
      <c r="E1283" s="1">
        <f>IFERROR(__xludf.DUMMYFUNCTION("""COMPUTED_VALUE"""),11000.0)</f>
        <v>11000</v>
      </c>
      <c r="F1283" s="1">
        <f>IFERROR(__xludf.DUMMYFUNCTION("""COMPUTED_VALUE"""),63065.0)</f>
        <v>63065</v>
      </c>
    </row>
    <row r="1284">
      <c r="A1284" s="2">
        <f>IFERROR(__xludf.DUMMYFUNCTION("""COMPUTED_VALUE"""),42815.64583333333)</f>
        <v>42815.64583</v>
      </c>
      <c r="B1284" s="1">
        <f>IFERROR(__xludf.DUMMYFUNCTION("""COMPUTED_VALUE"""),11100.0)</f>
        <v>11100</v>
      </c>
      <c r="C1284" s="1">
        <f>IFERROR(__xludf.DUMMYFUNCTION("""COMPUTED_VALUE"""),11100.0)</f>
        <v>11100</v>
      </c>
      <c r="D1284" s="1">
        <f>IFERROR(__xludf.DUMMYFUNCTION("""COMPUTED_VALUE"""),10700.0)</f>
        <v>10700</v>
      </c>
      <c r="E1284" s="1">
        <f>IFERROR(__xludf.DUMMYFUNCTION("""COMPUTED_VALUE"""),10800.0)</f>
        <v>10800</v>
      </c>
      <c r="F1284" s="1">
        <f>IFERROR(__xludf.DUMMYFUNCTION("""COMPUTED_VALUE"""),107950.0)</f>
        <v>107950</v>
      </c>
    </row>
    <row r="1285">
      <c r="A1285" s="2">
        <f>IFERROR(__xludf.DUMMYFUNCTION("""COMPUTED_VALUE"""),42816.64583333333)</f>
        <v>42816.64583</v>
      </c>
      <c r="B1285" s="1">
        <f>IFERROR(__xludf.DUMMYFUNCTION("""COMPUTED_VALUE"""),10700.0)</f>
        <v>10700</v>
      </c>
      <c r="C1285" s="1">
        <f>IFERROR(__xludf.DUMMYFUNCTION("""COMPUTED_VALUE"""),10950.0)</f>
        <v>10950</v>
      </c>
      <c r="D1285" s="1">
        <f>IFERROR(__xludf.DUMMYFUNCTION("""COMPUTED_VALUE"""),10650.0)</f>
        <v>10650</v>
      </c>
      <c r="E1285" s="1">
        <f>IFERROR(__xludf.DUMMYFUNCTION("""COMPUTED_VALUE"""),10750.0)</f>
        <v>10750</v>
      </c>
      <c r="F1285" s="1">
        <f>IFERROR(__xludf.DUMMYFUNCTION("""COMPUTED_VALUE"""),27761.0)</f>
        <v>27761</v>
      </c>
    </row>
    <row r="1286">
      <c r="A1286" s="2">
        <f>IFERROR(__xludf.DUMMYFUNCTION("""COMPUTED_VALUE"""),42817.64583333333)</f>
        <v>42817.64583</v>
      </c>
      <c r="B1286" s="1">
        <f>IFERROR(__xludf.DUMMYFUNCTION("""COMPUTED_VALUE"""),10800.0)</f>
        <v>10800</v>
      </c>
      <c r="C1286" s="1">
        <f>IFERROR(__xludf.DUMMYFUNCTION("""COMPUTED_VALUE"""),10900.0)</f>
        <v>10900</v>
      </c>
      <c r="D1286" s="1">
        <f>IFERROR(__xludf.DUMMYFUNCTION("""COMPUTED_VALUE"""),10700.0)</f>
        <v>10700</v>
      </c>
      <c r="E1286" s="1">
        <f>IFERROR(__xludf.DUMMYFUNCTION("""COMPUTED_VALUE"""),10850.0)</f>
        <v>10850</v>
      </c>
      <c r="F1286" s="1">
        <f>IFERROR(__xludf.DUMMYFUNCTION("""COMPUTED_VALUE"""),32998.0)</f>
        <v>32998</v>
      </c>
    </row>
    <row r="1287">
      <c r="A1287" s="2">
        <f>IFERROR(__xludf.DUMMYFUNCTION("""COMPUTED_VALUE"""),42818.64583333333)</f>
        <v>42818.64583</v>
      </c>
      <c r="B1287" s="1">
        <f>IFERROR(__xludf.DUMMYFUNCTION("""COMPUTED_VALUE"""),10950.0)</f>
        <v>10950</v>
      </c>
      <c r="C1287" s="1">
        <f>IFERROR(__xludf.DUMMYFUNCTION("""COMPUTED_VALUE"""),11000.0)</f>
        <v>11000</v>
      </c>
      <c r="D1287" s="1">
        <f>IFERROR(__xludf.DUMMYFUNCTION("""COMPUTED_VALUE"""),10800.0)</f>
        <v>10800</v>
      </c>
      <c r="E1287" s="1">
        <f>IFERROR(__xludf.DUMMYFUNCTION("""COMPUTED_VALUE"""),10850.0)</f>
        <v>10850</v>
      </c>
      <c r="F1287" s="1">
        <f>IFERROR(__xludf.DUMMYFUNCTION("""COMPUTED_VALUE"""),22928.0)</f>
        <v>22928</v>
      </c>
    </row>
    <row r="1288">
      <c r="A1288" s="2">
        <f>IFERROR(__xludf.DUMMYFUNCTION("""COMPUTED_VALUE"""),42821.64583333333)</f>
        <v>42821.64583</v>
      </c>
      <c r="B1288" s="1">
        <f>IFERROR(__xludf.DUMMYFUNCTION("""COMPUTED_VALUE"""),10950.0)</f>
        <v>10950</v>
      </c>
      <c r="C1288" s="1">
        <f>IFERROR(__xludf.DUMMYFUNCTION("""COMPUTED_VALUE"""),11000.0)</f>
        <v>11000</v>
      </c>
      <c r="D1288" s="1">
        <f>IFERROR(__xludf.DUMMYFUNCTION("""COMPUTED_VALUE"""),10750.0)</f>
        <v>10750</v>
      </c>
      <c r="E1288" s="1">
        <f>IFERROR(__xludf.DUMMYFUNCTION("""COMPUTED_VALUE"""),10850.0)</f>
        <v>10850</v>
      </c>
      <c r="F1288" s="1">
        <f>IFERROR(__xludf.DUMMYFUNCTION("""COMPUTED_VALUE"""),17661.0)</f>
        <v>17661</v>
      </c>
    </row>
    <row r="1289">
      <c r="A1289" s="2">
        <f>IFERROR(__xludf.DUMMYFUNCTION("""COMPUTED_VALUE"""),42822.64583333333)</f>
        <v>42822.64583</v>
      </c>
      <c r="B1289" s="1">
        <f>IFERROR(__xludf.DUMMYFUNCTION("""COMPUTED_VALUE"""),10850.0)</f>
        <v>10850</v>
      </c>
      <c r="C1289" s="1">
        <f>IFERROR(__xludf.DUMMYFUNCTION("""COMPUTED_VALUE"""),10900.0)</f>
        <v>10900</v>
      </c>
      <c r="D1289" s="1">
        <f>IFERROR(__xludf.DUMMYFUNCTION("""COMPUTED_VALUE"""),10700.0)</f>
        <v>10700</v>
      </c>
      <c r="E1289" s="1">
        <f>IFERROR(__xludf.DUMMYFUNCTION("""COMPUTED_VALUE"""),10800.0)</f>
        <v>10800</v>
      </c>
      <c r="F1289" s="1">
        <f>IFERROR(__xludf.DUMMYFUNCTION("""COMPUTED_VALUE"""),21284.0)</f>
        <v>21284</v>
      </c>
    </row>
    <row r="1290">
      <c r="A1290" s="2">
        <f>IFERROR(__xludf.DUMMYFUNCTION("""COMPUTED_VALUE"""),42823.64583333333)</f>
        <v>42823.64583</v>
      </c>
      <c r="B1290" s="1">
        <f>IFERROR(__xludf.DUMMYFUNCTION("""COMPUTED_VALUE"""),10850.0)</f>
        <v>10850</v>
      </c>
      <c r="C1290" s="1">
        <f>IFERROR(__xludf.DUMMYFUNCTION("""COMPUTED_VALUE"""),10850.0)</f>
        <v>10850</v>
      </c>
      <c r="D1290" s="1">
        <f>IFERROR(__xludf.DUMMYFUNCTION("""COMPUTED_VALUE"""),10650.0)</f>
        <v>10650</v>
      </c>
      <c r="E1290" s="1">
        <f>IFERROR(__xludf.DUMMYFUNCTION("""COMPUTED_VALUE"""),10650.0)</f>
        <v>10650</v>
      </c>
      <c r="F1290" s="1">
        <f>IFERROR(__xludf.DUMMYFUNCTION("""COMPUTED_VALUE"""),21969.0)</f>
        <v>21969</v>
      </c>
    </row>
    <row r="1291">
      <c r="A1291" s="2">
        <f>IFERROR(__xludf.DUMMYFUNCTION("""COMPUTED_VALUE"""),42824.64583333333)</f>
        <v>42824.64583</v>
      </c>
      <c r="B1291" s="1">
        <f>IFERROR(__xludf.DUMMYFUNCTION("""COMPUTED_VALUE"""),10700.0)</f>
        <v>10700</v>
      </c>
      <c r="C1291" s="1">
        <f>IFERROR(__xludf.DUMMYFUNCTION("""COMPUTED_VALUE"""),10900.0)</f>
        <v>10900</v>
      </c>
      <c r="D1291" s="1">
        <f>IFERROR(__xludf.DUMMYFUNCTION("""COMPUTED_VALUE"""),10600.0)</f>
        <v>10600</v>
      </c>
      <c r="E1291" s="1">
        <f>IFERROR(__xludf.DUMMYFUNCTION("""COMPUTED_VALUE"""),10750.0)</f>
        <v>10750</v>
      </c>
      <c r="F1291" s="1">
        <f>IFERROR(__xludf.DUMMYFUNCTION("""COMPUTED_VALUE"""),36989.0)</f>
        <v>36989</v>
      </c>
    </row>
    <row r="1292">
      <c r="A1292" s="2">
        <f>IFERROR(__xludf.DUMMYFUNCTION("""COMPUTED_VALUE"""),42825.64583333333)</f>
        <v>42825.64583</v>
      </c>
      <c r="B1292" s="1">
        <f>IFERROR(__xludf.DUMMYFUNCTION("""COMPUTED_VALUE"""),10700.0)</f>
        <v>10700</v>
      </c>
      <c r="C1292" s="1">
        <f>IFERROR(__xludf.DUMMYFUNCTION("""COMPUTED_VALUE"""),10800.0)</f>
        <v>10800</v>
      </c>
      <c r="D1292" s="1">
        <f>IFERROR(__xludf.DUMMYFUNCTION("""COMPUTED_VALUE"""),10600.0)</f>
        <v>10600</v>
      </c>
      <c r="E1292" s="1">
        <f>IFERROR(__xludf.DUMMYFUNCTION("""COMPUTED_VALUE"""),10800.0)</f>
        <v>10800</v>
      </c>
      <c r="F1292" s="1">
        <f>IFERROR(__xludf.DUMMYFUNCTION("""COMPUTED_VALUE"""),14478.0)</f>
        <v>14478</v>
      </c>
    </row>
    <row r="1293">
      <c r="A1293" s="2">
        <f>IFERROR(__xludf.DUMMYFUNCTION("""COMPUTED_VALUE"""),42828.64583333333)</f>
        <v>42828.64583</v>
      </c>
      <c r="B1293" s="1">
        <f>IFERROR(__xludf.DUMMYFUNCTION("""COMPUTED_VALUE"""),10800.0)</f>
        <v>10800</v>
      </c>
      <c r="C1293" s="1">
        <f>IFERROR(__xludf.DUMMYFUNCTION("""COMPUTED_VALUE"""),10800.0)</f>
        <v>10800</v>
      </c>
      <c r="D1293" s="1">
        <f>IFERROR(__xludf.DUMMYFUNCTION("""COMPUTED_VALUE"""),10700.0)</f>
        <v>10700</v>
      </c>
      <c r="E1293" s="1">
        <f>IFERROR(__xludf.DUMMYFUNCTION("""COMPUTED_VALUE"""),10800.0)</f>
        <v>10800</v>
      </c>
      <c r="F1293" s="1">
        <f>IFERROR(__xludf.DUMMYFUNCTION("""COMPUTED_VALUE"""),8521.0)</f>
        <v>8521</v>
      </c>
    </row>
    <row r="1294">
      <c r="A1294" s="2">
        <f>IFERROR(__xludf.DUMMYFUNCTION("""COMPUTED_VALUE"""),42829.64583333333)</f>
        <v>42829.64583</v>
      </c>
      <c r="B1294" s="1">
        <f>IFERROR(__xludf.DUMMYFUNCTION("""COMPUTED_VALUE"""),10800.0)</f>
        <v>10800</v>
      </c>
      <c r="C1294" s="1">
        <f>IFERROR(__xludf.DUMMYFUNCTION("""COMPUTED_VALUE"""),11000.0)</f>
        <v>11000</v>
      </c>
      <c r="D1294" s="1">
        <f>IFERROR(__xludf.DUMMYFUNCTION("""COMPUTED_VALUE"""),10800.0)</f>
        <v>10800</v>
      </c>
      <c r="E1294" s="1">
        <f>IFERROR(__xludf.DUMMYFUNCTION("""COMPUTED_VALUE"""),10900.0)</f>
        <v>10900</v>
      </c>
      <c r="F1294" s="1">
        <f>IFERROR(__xludf.DUMMYFUNCTION("""COMPUTED_VALUE"""),25471.0)</f>
        <v>25471</v>
      </c>
    </row>
    <row r="1295">
      <c r="A1295" s="2">
        <f>IFERROR(__xludf.DUMMYFUNCTION("""COMPUTED_VALUE"""),42830.64583333333)</f>
        <v>42830.64583</v>
      </c>
      <c r="B1295" s="1">
        <f>IFERROR(__xludf.DUMMYFUNCTION("""COMPUTED_VALUE"""),10950.0)</f>
        <v>10950</v>
      </c>
      <c r="C1295" s="1">
        <f>IFERROR(__xludf.DUMMYFUNCTION("""COMPUTED_VALUE"""),11150.0)</f>
        <v>11150</v>
      </c>
      <c r="D1295" s="1">
        <f>IFERROR(__xludf.DUMMYFUNCTION("""COMPUTED_VALUE"""),10900.0)</f>
        <v>10900</v>
      </c>
      <c r="E1295" s="1">
        <f>IFERROR(__xludf.DUMMYFUNCTION("""COMPUTED_VALUE"""),11100.0)</f>
        <v>11100</v>
      </c>
      <c r="F1295" s="1">
        <f>IFERROR(__xludf.DUMMYFUNCTION("""COMPUTED_VALUE"""),37421.0)</f>
        <v>37421</v>
      </c>
    </row>
    <row r="1296">
      <c r="A1296" s="2">
        <f>IFERROR(__xludf.DUMMYFUNCTION("""COMPUTED_VALUE"""),42831.64583333333)</f>
        <v>42831.64583</v>
      </c>
      <c r="B1296" s="1">
        <f>IFERROR(__xludf.DUMMYFUNCTION("""COMPUTED_VALUE"""),11100.0)</f>
        <v>11100</v>
      </c>
      <c r="C1296" s="1">
        <f>IFERROR(__xludf.DUMMYFUNCTION("""COMPUTED_VALUE"""),11150.0)</f>
        <v>11150</v>
      </c>
      <c r="D1296" s="1">
        <f>IFERROR(__xludf.DUMMYFUNCTION("""COMPUTED_VALUE"""),10850.0)</f>
        <v>10850</v>
      </c>
      <c r="E1296" s="1">
        <f>IFERROR(__xludf.DUMMYFUNCTION("""COMPUTED_VALUE"""),10950.0)</f>
        <v>10950</v>
      </c>
      <c r="F1296" s="1">
        <f>IFERROR(__xludf.DUMMYFUNCTION("""COMPUTED_VALUE"""),28821.0)</f>
        <v>28821</v>
      </c>
    </row>
    <row r="1297">
      <c r="A1297" s="2">
        <f>IFERROR(__xludf.DUMMYFUNCTION("""COMPUTED_VALUE"""),42832.64583333333)</f>
        <v>42832.64583</v>
      </c>
      <c r="B1297" s="1">
        <f>IFERROR(__xludf.DUMMYFUNCTION("""COMPUTED_VALUE"""),10850.0)</f>
        <v>10850</v>
      </c>
      <c r="C1297" s="1">
        <f>IFERROR(__xludf.DUMMYFUNCTION("""COMPUTED_VALUE"""),11000.0)</f>
        <v>11000</v>
      </c>
      <c r="D1297" s="1">
        <f>IFERROR(__xludf.DUMMYFUNCTION("""COMPUTED_VALUE"""),10850.0)</f>
        <v>10850</v>
      </c>
      <c r="E1297" s="1">
        <f>IFERROR(__xludf.DUMMYFUNCTION("""COMPUTED_VALUE"""),10900.0)</f>
        <v>10900</v>
      </c>
      <c r="F1297" s="1">
        <f>IFERROR(__xludf.DUMMYFUNCTION("""COMPUTED_VALUE"""),12873.0)</f>
        <v>12873</v>
      </c>
    </row>
    <row r="1298">
      <c r="A1298" s="2">
        <f>IFERROR(__xludf.DUMMYFUNCTION("""COMPUTED_VALUE"""),42835.64583333333)</f>
        <v>42835.64583</v>
      </c>
      <c r="B1298" s="1">
        <f>IFERROR(__xludf.DUMMYFUNCTION("""COMPUTED_VALUE"""),10750.0)</f>
        <v>10750</v>
      </c>
      <c r="C1298" s="1">
        <f>IFERROR(__xludf.DUMMYFUNCTION("""COMPUTED_VALUE"""),10900.0)</f>
        <v>10900</v>
      </c>
      <c r="D1298" s="1">
        <f>IFERROR(__xludf.DUMMYFUNCTION("""COMPUTED_VALUE"""),10350.0)</f>
        <v>10350</v>
      </c>
      <c r="E1298" s="1">
        <f>IFERROR(__xludf.DUMMYFUNCTION("""COMPUTED_VALUE"""),10600.0)</f>
        <v>10600</v>
      </c>
      <c r="F1298" s="1">
        <f>IFERROR(__xludf.DUMMYFUNCTION("""COMPUTED_VALUE"""),73663.0)</f>
        <v>73663</v>
      </c>
    </row>
    <row r="1299">
      <c r="A1299" s="2">
        <f>IFERROR(__xludf.DUMMYFUNCTION("""COMPUTED_VALUE"""),42836.64583333333)</f>
        <v>42836.64583</v>
      </c>
      <c r="B1299" s="1">
        <f>IFERROR(__xludf.DUMMYFUNCTION("""COMPUTED_VALUE"""),10550.0)</f>
        <v>10550</v>
      </c>
      <c r="C1299" s="1">
        <f>IFERROR(__xludf.DUMMYFUNCTION("""COMPUTED_VALUE"""),10700.0)</f>
        <v>10700</v>
      </c>
      <c r="D1299" s="1">
        <f>IFERROR(__xludf.DUMMYFUNCTION("""COMPUTED_VALUE"""),10400.0)</f>
        <v>10400</v>
      </c>
      <c r="E1299" s="1">
        <f>IFERROR(__xludf.DUMMYFUNCTION("""COMPUTED_VALUE"""),10550.0)</f>
        <v>10550</v>
      </c>
      <c r="F1299" s="1">
        <f>IFERROR(__xludf.DUMMYFUNCTION("""COMPUTED_VALUE"""),33623.0)</f>
        <v>33623</v>
      </c>
    </row>
    <row r="1300">
      <c r="A1300" s="2">
        <f>IFERROR(__xludf.DUMMYFUNCTION("""COMPUTED_VALUE"""),42837.64583333333)</f>
        <v>42837.64583</v>
      </c>
      <c r="B1300" s="1">
        <f>IFERROR(__xludf.DUMMYFUNCTION("""COMPUTED_VALUE"""),10550.0)</f>
        <v>10550</v>
      </c>
      <c r="C1300" s="1">
        <f>IFERROR(__xludf.DUMMYFUNCTION("""COMPUTED_VALUE"""),10600.0)</f>
        <v>10600</v>
      </c>
      <c r="D1300" s="1">
        <f>IFERROR(__xludf.DUMMYFUNCTION("""COMPUTED_VALUE"""),10400.0)</f>
        <v>10400</v>
      </c>
      <c r="E1300" s="1">
        <f>IFERROR(__xludf.DUMMYFUNCTION("""COMPUTED_VALUE"""),10550.0)</f>
        <v>10550</v>
      </c>
      <c r="F1300" s="1">
        <f>IFERROR(__xludf.DUMMYFUNCTION("""COMPUTED_VALUE"""),30147.0)</f>
        <v>30147</v>
      </c>
    </row>
    <row r="1301">
      <c r="A1301" s="2">
        <f>IFERROR(__xludf.DUMMYFUNCTION("""COMPUTED_VALUE"""),42838.64583333333)</f>
        <v>42838.64583</v>
      </c>
      <c r="B1301" s="1">
        <f>IFERROR(__xludf.DUMMYFUNCTION("""COMPUTED_VALUE"""),10550.0)</f>
        <v>10550</v>
      </c>
      <c r="C1301" s="1">
        <f>IFERROR(__xludf.DUMMYFUNCTION("""COMPUTED_VALUE"""),10700.0)</f>
        <v>10700</v>
      </c>
      <c r="D1301" s="1">
        <f>IFERROR(__xludf.DUMMYFUNCTION("""COMPUTED_VALUE"""),10450.0)</f>
        <v>10450</v>
      </c>
      <c r="E1301" s="1">
        <f>IFERROR(__xludf.DUMMYFUNCTION("""COMPUTED_VALUE"""),10700.0)</f>
        <v>10700</v>
      </c>
      <c r="F1301" s="1">
        <f>IFERROR(__xludf.DUMMYFUNCTION("""COMPUTED_VALUE"""),21520.0)</f>
        <v>21520</v>
      </c>
    </row>
    <row r="1302">
      <c r="A1302" s="2">
        <f>IFERROR(__xludf.DUMMYFUNCTION("""COMPUTED_VALUE"""),42839.64583333333)</f>
        <v>42839.64583</v>
      </c>
      <c r="B1302" s="1">
        <f>IFERROR(__xludf.DUMMYFUNCTION("""COMPUTED_VALUE"""),10700.0)</f>
        <v>10700</v>
      </c>
      <c r="C1302" s="1">
        <f>IFERROR(__xludf.DUMMYFUNCTION("""COMPUTED_VALUE"""),10800.0)</f>
        <v>10800</v>
      </c>
      <c r="D1302" s="1">
        <f>IFERROR(__xludf.DUMMYFUNCTION("""COMPUTED_VALUE"""),10400.0)</f>
        <v>10400</v>
      </c>
      <c r="E1302" s="1">
        <f>IFERROR(__xludf.DUMMYFUNCTION("""COMPUTED_VALUE"""),10500.0)</f>
        <v>10500</v>
      </c>
      <c r="F1302" s="1">
        <f>IFERROR(__xludf.DUMMYFUNCTION("""COMPUTED_VALUE"""),24096.0)</f>
        <v>24096</v>
      </c>
    </row>
    <row r="1303">
      <c r="A1303" s="2">
        <f>IFERROR(__xludf.DUMMYFUNCTION("""COMPUTED_VALUE"""),42842.64583333333)</f>
        <v>42842.64583</v>
      </c>
      <c r="B1303" s="1">
        <f>IFERROR(__xludf.DUMMYFUNCTION("""COMPUTED_VALUE"""),10400.0)</f>
        <v>10400</v>
      </c>
      <c r="C1303" s="1">
        <f>IFERROR(__xludf.DUMMYFUNCTION("""COMPUTED_VALUE"""),10600.0)</f>
        <v>10600</v>
      </c>
      <c r="D1303" s="1">
        <f>IFERROR(__xludf.DUMMYFUNCTION("""COMPUTED_VALUE"""),10400.0)</f>
        <v>10400</v>
      </c>
      <c r="E1303" s="1">
        <f>IFERROR(__xludf.DUMMYFUNCTION("""COMPUTED_VALUE"""),10550.0)</f>
        <v>10550</v>
      </c>
      <c r="F1303" s="1">
        <f>IFERROR(__xludf.DUMMYFUNCTION("""COMPUTED_VALUE"""),32239.0)</f>
        <v>32239</v>
      </c>
    </row>
    <row r="1304">
      <c r="A1304" s="2">
        <f>IFERROR(__xludf.DUMMYFUNCTION("""COMPUTED_VALUE"""),42843.64583333333)</f>
        <v>42843.64583</v>
      </c>
      <c r="B1304" s="1">
        <f>IFERROR(__xludf.DUMMYFUNCTION("""COMPUTED_VALUE"""),10650.0)</f>
        <v>10650</v>
      </c>
      <c r="C1304" s="1">
        <f>IFERROR(__xludf.DUMMYFUNCTION("""COMPUTED_VALUE"""),10650.0)</f>
        <v>10650</v>
      </c>
      <c r="D1304" s="1">
        <f>IFERROR(__xludf.DUMMYFUNCTION("""COMPUTED_VALUE"""),10400.0)</f>
        <v>10400</v>
      </c>
      <c r="E1304" s="1">
        <f>IFERROR(__xludf.DUMMYFUNCTION("""COMPUTED_VALUE"""),10500.0)</f>
        <v>10500</v>
      </c>
      <c r="F1304" s="1">
        <f>IFERROR(__xludf.DUMMYFUNCTION("""COMPUTED_VALUE"""),23873.0)</f>
        <v>23873</v>
      </c>
    </row>
    <row r="1305">
      <c r="A1305" s="2">
        <f>IFERROR(__xludf.DUMMYFUNCTION("""COMPUTED_VALUE"""),42844.64583333333)</f>
        <v>42844.64583</v>
      </c>
      <c r="B1305" s="1">
        <f>IFERROR(__xludf.DUMMYFUNCTION("""COMPUTED_VALUE"""),10500.0)</f>
        <v>10500</v>
      </c>
      <c r="C1305" s="1">
        <f>IFERROR(__xludf.DUMMYFUNCTION("""COMPUTED_VALUE"""),10650.0)</f>
        <v>10650</v>
      </c>
      <c r="D1305" s="1">
        <f>IFERROR(__xludf.DUMMYFUNCTION("""COMPUTED_VALUE"""),10450.0)</f>
        <v>10450</v>
      </c>
      <c r="E1305" s="1">
        <f>IFERROR(__xludf.DUMMYFUNCTION("""COMPUTED_VALUE"""),10600.0)</f>
        <v>10600</v>
      </c>
      <c r="F1305" s="1">
        <f>IFERROR(__xludf.DUMMYFUNCTION("""COMPUTED_VALUE"""),16086.0)</f>
        <v>16086</v>
      </c>
    </row>
    <row r="1306">
      <c r="A1306" s="2">
        <f>IFERROR(__xludf.DUMMYFUNCTION("""COMPUTED_VALUE"""),42845.64583333333)</f>
        <v>42845.64583</v>
      </c>
      <c r="B1306" s="1">
        <f>IFERROR(__xludf.DUMMYFUNCTION("""COMPUTED_VALUE"""),10550.0)</f>
        <v>10550</v>
      </c>
      <c r="C1306" s="1">
        <f>IFERROR(__xludf.DUMMYFUNCTION("""COMPUTED_VALUE"""),10600.0)</f>
        <v>10600</v>
      </c>
      <c r="D1306" s="1">
        <f>IFERROR(__xludf.DUMMYFUNCTION("""COMPUTED_VALUE"""),10500.0)</f>
        <v>10500</v>
      </c>
      <c r="E1306" s="1">
        <f>IFERROR(__xludf.DUMMYFUNCTION("""COMPUTED_VALUE"""),10500.0)</f>
        <v>10500</v>
      </c>
      <c r="F1306" s="1">
        <f>IFERROR(__xludf.DUMMYFUNCTION("""COMPUTED_VALUE"""),17277.0)</f>
        <v>17277</v>
      </c>
    </row>
    <row r="1307">
      <c r="A1307" s="2">
        <f>IFERROR(__xludf.DUMMYFUNCTION("""COMPUTED_VALUE"""),42846.64583333333)</f>
        <v>42846.64583</v>
      </c>
      <c r="B1307" s="1">
        <f>IFERROR(__xludf.DUMMYFUNCTION("""COMPUTED_VALUE"""),10600.0)</f>
        <v>10600</v>
      </c>
      <c r="C1307" s="1">
        <f>IFERROR(__xludf.DUMMYFUNCTION("""COMPUTED_VALUE"""),10850.0)</f>
        <v>10850</v>
      </c>
      <c r="D1307" s="1">
        <f>IFERROR(__xludf.DUMMYFUNCTION("""COMPUTED_VALUE"""),10500.0)</f>
        <v>10500</v>
      </c>
      <c r="E1307" s="1">
        <f>IFERROR(__xludf.DUMMYFUNCTION("""COMPUTED_VALUE"""),10800.0)</f>
        <v>10800</v>
      </c>
      <c r="F1307" s="1">
        <f>IFERROR(__xludf.DUMMYFUNCTION("""COMPUTED_VALUE"""),25633.0)</f>
        <v>25633</v>
      </c>
    </row>
    <row r="1308">
      <c r="A1308" s="2">
        <f>IFERROR(__xludf.DUMMYFUNCTION("""COMPUTED_VALUE"""),42849.64583333333)</f>
        <v>42849.64583</v>
      </c>
      <c r="B1308" s="1">
        <f>IFERROR(__xludf.DUMMYFUNCTION("""COMPUTED_VALUE"""),10800.0)</f>
        <v>10800</v>
      </c>
      <c r="C1308" s="1">
        <f>IFERROR(__xludf.DUMMYFUNCTION("""COMPUTED_VALUE"""),10850.0)</f>
        <v>10850</v>
      </c>
      <c r="D1308" s="1">
        <f>IFERROR(__xludf.DUMMYFUNCTION("""COMPUTED_VALUE"""),10600.0)</f>
        <v>10600</v>
      </c>
      <c r="E1308" s="1">
        <f>IFERROR(__xludf.DUMMYFUNCTION("""COMPUTED_VALUE"""),10650.0)</f>
        <v>10650</v>
      </c>
      <c r="F1308" s="1">
        <f>IFERROR(__xludf.DUMMYFUNCTION("""COMPUTED_VALUE"""),17107.0)</f>
        <v>17107</v>
      </c>
    </row>
    <row r="1309">
      <c r="A1309" s="2">
        <f>IFERROR(__xludf.DUMMYFUNCTION("""COMPUTED_VALUE"""),42850.64583333333)</f>
        <v>42850.64583</v>
      </c>
      <c r="B1309" s="1">
        <f>IFERROR(__xludf.DUMMYFUNCTION("""COMPUTED_VALUE"""),10650.0)</f>
        <v>10650</v>
      </c>
      <c r="C1309" s="1">
        <f>IFERROR(__xludf.DUMMYFUNCTION("""COMPUTED_VALUE"""),10750.0)</f>
        <v>10750</v>
      </c>
      <c r="D1309" s="1">
        <f>IFERROR(__xludf.DUMMYFUNCTION("""COMPUTED_VALUE"""),10550.0)</f>
        <v>10550</v>
      </c>
      <c r="E1309" s="1">
        <f>IFERROR(__xludf.DUMMYFUNCTION("""COMPUTED_VALUE"""),10700.0)</f>
        <v>10700</v>
      </c>
      <c r="F1309" s="1">
        <f>IFERROR(__xludf.DUMMYFUNCTION("""COMPUTED_VALUE"""),19166.0)</f>
        <v>19166</v>
      </c>
    </row>
    <row r="1310">
      <c r="A1310" s="2">
        <f>IFERROR(__xludf.DUMMYFUNCTION("""COMPUTED_VALUE"""),42851.64583333333)</f>
        <v>42851.64583</v>
      </c>
      <c r="B1310" s="1">
        <f>IFERROR(__xludf.DUMMYFUNCTION("""COMPUTED_VALUE"""),10750.0)</f>
        <v>10750</v>
      </c>
      <c r="C1310" s="1">
        <f>IFERROR(__xludf.DUMMYFUNCTION("""COMPUTED_VALUE"""),10850.0)</f>
        <v>10850</v>
      </c>
      <c r="D1310" s="1">
        <f>IFERROR(__xludf.DUMMYFUNCTION("""COMPUTED_VALUE"""),10550.0)</f>
        <v>10550</v>
      </c>
      <c r="E1310" s="1">
        <f>IFERROR(__xludf.DUMMYFUNCTION("""COMPUTED_VALUE"""),10700.0)</f>
        <v>10700</v>
      </c>
      <c r="F1310" s="1">
        <f>IFERROR(__xludf.DUMMYFUNCTION("""COMPUTED_VALUE"""),23320.0)</f>
        <v>23320</v>
      </c>
    </row>
    <row r="1311">
      <c r="A1311" s="2">
        <f>IFERROR(__xludf.DUMMYFUNCTION("""COMPUTED_VALUE"""),42852.64583333333)</f>
        <v>42852.64583</v>
      </c>
      <c r="B1311" s="1">
        <f>IFERROR(__xludf.DUMMYFUNCTION("""COMPUTED_VALUE"""),10700.0)</f>
        <v>10700</v>
      </c>
      <c r="C1311" s="1">
        <f>IFERROR(__xludf.DUMMYFUNCTION("""COMPUTED_VALUE"""),10750.0)</f>
        <v>10750</v>
      </c>
      <c r="D1311" s="1">
        <f>IFERROR(__xludf.DUMMYFUNCTION("""COMPUTED_VALUE"""),10500.0)</f>
        <v>10500</v>
      </c>
      <c r="E1311" s="1">
        <f>IFERROR(__xludf.DUMMYFUNCTION("""COMPUTED_VALUE"""),10600.0)</f>
        <v>10600</v>
      </c>
      <c r="F1311" s="1">
        <f>IFERROR(__xludf.DUMMYFUNCTION("""COMPUTED_VALUE"""),23742.0)</f>
        <v>23742</v>
      </c>
    </row>
    <row r="1312">
      <c r="A1312" s="2">
        <f>IFERROR(__xludf.DUMMYFUNCTION("""COMPUTED_VALUE"""),42853.64583333333)</f>
        <v>42853.64583</v>
      </c>
      <c r="B1312" s="1">
        <f>IFERROR(__xludf.DUMMYFUNCTION("""COMPUTED_VALUE"""),10600.0)</f>
        <v>10600</v>
      </c>
      <c r="C1312" s="1">
        <f>IFERROR(__xludf.DUMMYFUNCTION("""COMPUTED_VALUE"""),10600.0)</f>
        <v>10600</v>
      </c>
      <c r="D1312" s="1">
        <f>IFERROR(__xludf.DUMMYFUNCTION("""COMPUTED_VALUE"""),10350.0)</f>
        <v>10350</v>
      </c>
      <c r="E1312" s="1">
        <f>IFERROR(__xludf.DUMMYFUNCTION("""COMPUTED_VALUE"""),10400.0)</f>
        <v>10400</v>
      </c>
      <c r="F1312" s="1">
        <f>IFERROR(__xludf.DUMMYFUNCTION("""COMPUTED_VALUE"""),32762.0)</f>
        <v>32762</v>
      </c>
    </row>
    <row r="1313">
      <c r="A1313" s="2">
        <f>IFERROR(__xludf.DUMMYFUNCTION("""COMPUTED_VALUE"""),42857.64583333333)</f>
        <v>42857.64583</v>
      </c>
      <c r="B1313" s="1">
        <f>IFERROR(__xludf.DUMMYFUNCTION("""COMPUTED_VALUE"""),10350.0)</f>
        <v>10350</v>
      </c>
      <c r="C1313" s="1">
        <f>IFERROR(__xludf.DUMMYFUNCTION("""COMPUTED_VALUE"""),10500.0)</f>
        <v>10500</v>
      </c>
      <c r="D1313" s="1">
        <f>IFERROR(__xludf.DUMMYFUNCTION("""COMPUTED_VALUE"""),10200.0)</f>
        <v>10200</v>
      </c>
      <c r="E1313" s="1">
        <f>IFERROR(__xludf.DUMMYFUNCTION("""COMPUTED_VALUE"""),10200.0)</f>
        <v>10200</v>
      </c>
      <c r="F1313" s="1">
        <f>IFERROR(__xludf.DUMMYFUNCTION("""COMPUTED_VALUE"""),30625.0)</f>
        <v>30625</v>
      </c>
    </row>
    <row r="1314">
      <c r="A1314" s="2">
        <f>IFERROR(__xludf.DUMMYFUNCTION("""COMPUTED_VALUE"""),42859.64583333333)</f>
        <v>42859.64583</v>
      </c>
      <c r="B1314" s="1">
        <f>IFERROR(__xludf.DUMMYFUNCTION("""COMPUTED_VALUE"""),10300.0)</f>
        <v>10300</v>
      </c>
      <c r="C1314" s="1">
        <f>IFERROR(__xludf.DUMMYFUNCTION("""COMPUTED_VALUE"""),10450.0)</f>
        <v>10450</v>
      </c>
      <c r="D1314" s="1">
        <f>IFERROR(__xludf.DUMMYFUNCTION("""COMPUTED_VALUE"""),10150.0)</f>
        <v>10150</v>
      </c>
      <c r="E1314" s="1">
        <f>IFERROR(__xludf.DUMMYFUNCTION("""COMPUTED_VALUE"""),10450.0)</f>
        <v>10450</v>
      </c>
      <c r="F1314" s="1">
        <f>IFERROR(__xludf.DUMMYFUNCTION("""COMPUTED_VALUE"""),17994.0)</f>
        <v>17994</v>
      </c>
    </row>
    <row r="1315">
      <c r="A1315" s="2">
        <f>IFERROR(__xludf.DUMMYFUNCTION("""COMPUTED_VALUE"""),42863.64583333333)</f>
        <v>42863.64583</v>
      </c>
      <c r="B1315" s="1">
        <f>IFERROR(__xludf.DUMMYFUNCTION("""COMPUTED_VALUE"""),10450.0)</f>
        <v>10450</v>
      </c>
      <c r="C1315" s="1">
        <f>IFERROR(__xludf.DUMMYFUNCTION("""COMPUTED_VALUE"""),10500.0)</f>
        <v>10500</v>
      </c>
      <c r="D1315" s="1">
        <f>IFERROR(__xludf.DUMMYFUNCTION("""COMPUTED_VALUE"""),10350.0)</f>
        <v>10350</v>
      </c>
      <c r="E1315" s="1">
        <f>IFERROR(__xludf.DUMMYFUNCTION("""COMPUTED_VALUE"""),10500.0)</f>
        <v>10500</v>
      </c>
      <c r="F1315" s="1">
        <f>IFERROR(__xludf.DUMMYFUNCTION("""COMPUTED_VALUE"""),19661.0)</f>
        <v>19661</v>
      </c>
    </row>
    <row r="1316">
      <c r="A1316" s="2">
        <f>IFERROR(__xludf.DUMMYFUNCTION("""COMPUTED_VALUE"""),42865.64583333333)</f>
        <v>42865.64583</v>
      </c>
      <c r="B1316" s="1">
        <f>IFERROR(__xludf.DUMMYFUNCTION("""COMPUTED_VALUE"""),10450.0)</f>
        <v>10450</v>
      </c>
      <c r="C1316" s="1">
        <f>IFERROR(__xludf.DUMMYFUNCTION("""COMPUTED_VALUE"""),10900.0)</f>
        <v>10900</v>
      </c>
      <c r="D1316" s="1">
        <f>IFERROR(__xludf.DUMMYFUNCTION("""COMPUTED_VALUE"""),10400.0)</f>
        <v>10400</v>
      </c>
      <c r="E1316" s="1">
        <f>IFERROR(__xludf.DUMMYFUNCTION("""COMPUTED_VALUE"""),10700.0)</f>
        <v>10700</v>
      </c>
      <c r="F1316" s="1">
        <f>IFERROR(__xludf.DUMMYFUNCTION("""COMPUTED_VALUE"""),41255.0)</f>
        <v>41255</v>
      </c>
    </row>
    <row r="1317">
      <c r="A1317" s="2">
        <f>IFERROR(__xludf.DUMMYFUNCTION("""COMPUTED_VALUE"""),42866.64583333333)</f>
        <v>42866.64583</v>
      </c>
      <c r="B1317" s="1">
        <f>IFERROR(__xludf.DUMMYFUNCTION("""COMPUTED_VALUE"""),10800.0)</f>
        <v>10800</v>
      </c>
      <c r="C1317" s="1">
        <f>IFERROR(__xludf.DUMMYFUNCTION("""COMPUTED_VALUE"""),10800.0)</f>
        <v>10800</v>
      </c>
      <c r="D1317" s="1">
        <f>IFERROR(__xludf.DUMMYFUNCTION("""COMPUTED_VALUE"""),10600.0)</f>
        <v>10600</v>
      </c>
      <c r="E1317" s="1">
        <f>IFERROR(__xludf.DUMMYFUNCTION("""COMPUTED_VALUE"""),10700.0)</f>
        <v>10700</v>
      </c>
      <c r="F1317" s="1">
        <f>IFERROR(__xludf.DUMMYFUNCTION("""COMPUTED_VALUE"""),10397.0)</f>
        <v>10397</v>
      </c>
    </row>
    <row r="1318">
      <c r="A1318" s="2">
        <f>IFERROR(__xludf.DUMMYFUNCTION("""COMPUTED_VALUE"""),42867.64583333333)</f>
        <v>42867.64583</v>
      </c>
      <c r="B1318" s="1">
        <f>IFERROR(__xludf.DUMMYFUNCTION("""COMPUTED_VALUE"""),10800.0)</f>
        <v>10800</v>
      </c>
      <c r="C1318" s="1">
        <f>IFERROR(__xludf.DUMMYFUNCTION("""COMPUTED_VALUE"""),10800.0)</f>
        <v>10800</v>
      </c>
      <c r="D1318" s="1">
        <f>IFERROR(__xludf.DUMMYFUNCTION("""COMPUTED_VALUE"""),10550.0)</f>
        <v>10550</v>
      </c>
      <c r="E1318" s="1">
        <f>IFERROR(__xludf.DUMMYFUNCTION("""COMPUTED_VALUE"""),10600.0)</f>
        <v>10600</v>
      </c>
      <c r="F1318" s="1">
        <f>IFERROR(__xludf.DUMMYFUNCTION("""COMPUTED_VALUE"""),12105.0)</f>
        <v>12105</v>
      </c>
    </row>
    <row r="1319">
      <c r="A1319" s="2">
        <f>IFERROR(__xludf.DUMMYFUNCTION("""COMPUTED_VALUE"""),42870.64583333333)</f>
        <v>42870.64583</v>
      </c>
      <c r="B1319" s="1">
        <f>IFERROR(__xludf.DUMMYFUNCTION("""COMPUTED_VALUE"""),10700.0)</f>
        <v>10700</v>
      </c>
      <c r="C1319" s="1">
        <f>IFERROR(__xludf.DUMMYFUNCTION("""COMPUTED_VALUE"""),10700.0)</f>
        <v>10700</v>
      </c>
      <c r="D1319" s="1">
        <f>IFERROR(__xludf.DUMMYFUNCTION("""COMPUTED_VALUE"""),10400.0)</f>
        <v>10400</v>
      </c>
      <c r="E1319" s="1">
        <f>IFERROR(__xludf.DUMMYFUNCTION("""COMPUTED_VALUE"""),10600.0)</f>
        <v>10600</v>
      </c>
      <c r="F1319" s="1">
        <f>IFERROR(__xludf.DUMMYFUNCTION("""COMPUTED_VALUE"""),8594.0)</f>
        <v>8594</v>
      </c>
    </row>
    <row r="1320">
      <c r="A1320" s="2">
        <f>IFERROR(__xludf.DUMMYFUNCTION("""COMPUTED_VALUE"""),42871.64583333333)</f>
        <v>42871.64583</v>
      </c>
      <c r="B1320" s="1">
        <f>IFERROR(__xludf.DUMMYFUNCTION("""COMPUTED_VALUE"""),10600.0)</f>
        <v>10600</v>
      </c>
      <c r="C1320" s="1">
        <f>IFERROR(__xludf.DUMMYFUNCTION("""COMPUTED_VALUE"""),10650.0)</f>
        <v>10650</v>
      </c>
      <c r="D1320" s="1">
        <f>IFERROR(__xludf.DUMMYFUNCTION("""COMPUTED_VALUE"""),10150.0)</f>
        <v>10150</v>
      </c>
      <c r="E1320" s="1">
        <f>IFERROR(__xludf.DUMMYFUNCTION("""COMPUTED_VALUE"""),10300.0)</f>
        <v>10300</v>
      </c>
      <c r="F1320" s="1">
        <f>IFERROR(__xludf.DUMMYFUNCTION("""COMPUTED_VALUE"""),37998.0)</f>
        <v>37998</v>
      </c>
    </row>
    <row r="1321">
      <c r="A1321" s="2">
        <f>IFERROR(__xludf.DUMMYFUNCTION("""COMPUTED_VALUE"""),42872.64583333333)</f>
        <v>42872.64583</v>
      </c>
      <c r="B1321" s="1">
        <f>IFERROR(__xludf.DUMMYFUNCTION("""COMPUTED_VALUE"""),10350.0)</f>
        <v>10350</v>
      </c>
      <c r="C1321" s="1">
        <f>IFERROR(__xludf.DUMMYFUNCTION("""COMPUTED_VALUE"""),10400.0)</f>
        <v>10400</v>
      </c>
      <c r="D1321" s="1">
        <f>IFERROR(__xludf.DUMMYFUNCTION("""COMPUTED_VALUE"""),10100.0)</f>
        <v>10100</v>
      </c>
      <c r="E1321" s="1">
        <f>IFERROR(__xludf.DUMMYFUNCTION("""COMPUTED_VALUE"""),10300.0)</f>
        <v>10300</v>
      </c>
      <c r="F1321" s="1">
        <f>IFERROR(__xludf.DUMMYFUNCTION("""COMPUTED_VALUE"""),37297.0)</f>
        <v>37297</v>
      </c>
    </row>
    <row r="1322">
      <c r="A1322" s="2">
        <f>IFERROR(__xludf.DUMMYFUNCTION("""COMPUTED_VALUE"""),42873.64583333333)</f>
        <v>42873.64583</v>
      </c>
      <c r="B1322" s="1">
        <f>IFERROR(__xludf.DUMMYFUNCTION("""COMPUTED_VALUE"""),10150.0)</f>
        <v>10150</v>
      </c>
      <c r="C1322" s="1">
        <f>IFERROR(__xludf.DUMMYFUNCTION("""COMPUTED_VALUE"""),10350.0)</f>
        <v>10350</v>
      </c>
      <c r="D1322" s="1">
        <f>IFERROR(__xludf.DUMMYFUNCTION("""COMPUTED_VALUE"""),10100.0)</f>
        <v>10100</v>
      </c>
      <c r="E1322" s="1">
        <f>IFERROR(__xludf.DUMMYFUNCTION("""COMPUTED_VALUE"""),10300.0)</f>
        <v>10300</v>
      </c>
      <c r="F1322" s="1">
        <f>IFERROR(__xludf.DUMMYFUNCTION("""COMPUTED_VALUE"""),37230.0)</f>
        <v>37230</v>
      </c>
    </row>
    <row r="1323">
      <c r="A1323" s="2">
        <f>IFERROR(__xludf.DUMMYFUNCTION("""COMPUTED_VALUE"""),42874.64583333333)</f>
        <v>42874.64583</v>
      </c>
      <c r="B1323" s="1">
        <f>IFERROR(__xludf.DUMMYFUNCTION("""COMPUTED_VALUE"""),10350.0)</f>
        <v>10350</v>
      </c>
      <c r="C1323" s="1">
        <f>IFERROR(__xludf.DUMMYFUNCTION("""COMPUTED_VALUE"""),10400.0)</f>
        <v>10400</v>
      </c>
      <c r="D1323" s="1">
        <f>IFERROR(__xludf.DUMMYFUNCTION("""COMPUTED_VALUE"""),10200.0)</f>
        <v>10200</v>
      </c>
      <c r="E1323" s="1">
        <f>IFERROR(__xludf.DUMMYFUNCTION("""COMPUTED_VALUE"""),10400.0)</f>
        <v>10400</v>
      </c>
      <c r="F1323" s="1">
        <f>IFERROR(__xludf.DUMMYFUNCTION("""COMPUTED_VALUE"""),16973.0)</f>
        <v>16973</v>
      </c>
    </row>
    <row r="1324">
      <c r="A1324" s="2">
        <f>IFERROR(__xludf.DUMMYFUNCTION("""COMPUTED_VALUE"""),42877.64583333333)</f>
        <v>42877.64583</v>
      </c>
      <c r="B1324" s="1">
        <f>IFERROR(__xludf.DUMMYFUNCTION("""COMPUTED_VALUE"""),10400.0)</f>
        <v>10400</v>
      </c>
      <c r="C1324" s="1">
        <f>IFERROR(__xludf.DUMMYFUNCTION("""COMPUTED_VALUE"""),10500.0)</f>
        <v>10500</v>
      </c>
      <c r="D1324" s="1">
        <f>IFERROR(__xludf.DUMMYFUNCTION("""COMPUTED_VALUE"""),10300.0)</f>
        <v>10300</v>
      </c>
      <c r="E1324" s="1">
        <f>IFERROR(__xludf.DUMMYFUNCTION("""COMPUTED_VALUE"""),10350.0)</f>
        <v>10350</v>
      </c>
      <c r="F1324" s="1">
        <f>IFERROR(__xludf.DUMMYFUNCTION("""COMPUTED_VALUE"""),12958.0)</f>
        <v>12958</v>
      </c>
    </row>
    <row r="1325">
      <c r="A1325" s="2">
        <f>IFERROR(__xludf.DUMMYFUNCTION("""COMPUTED_VALUE"""),42878.64583333333)</f>
        <v>42878.64583</v>
      </c>
      <c r="B1325" s="1">
        <f>IFERROR(__xludf.DUMMYFUNCTION("""COMPUTED_VALUE"""),10400.0)</f>
        <v>10400</v>
      </c>
      <c r="C1325" s="1">
        <f>IFERROR(__xludf.DUMMYFUNCTION("""COMPUTED_VALUE"""),10500.0)</f>
        <v>10500</v>
      </c>
      <c r="D1325" s="1">
        <f>IFERROR(__xludf.DUMMYFUNCTION("""COMPUTED_VALUE"""),10300.0)</f>
        <v>10300</v>
      </c>
      <c r="E1325" s="1">
        <f>IFERROR(__xludf.DUMMYFUNCTION("""COMPUTED_VALUE"""),10400.0)</f>
        <v>10400</v>
      </c>
      <c r="F1325" s="1">
        <f>IFERROR(__xludf.DUMMYFUNCTION("""COMPUTED_VALUE"""),41305.0)</f>
        <v>41305</v>
      </c>
    </row>
    <row r="1326">
      <c r="A1326" s="2">
        <f>IFERROR(__xludf.DUMMYFUNCTION("""COMPUTED_VALUE"""),42879.64583333333)</f>
        <v>42879.64583</v>
      </c>
      <c r="B1326" s="1">
        <f>IFERROR(__xludf.DUMMYFUNCTION("""COMPUTED_VALUE"""),10550.0)</f>
        <v>10550</v>
      </c>
      <c r="C1326" s="1">
        <f>IFERROR(__xludf.DUMMYFUNCTION("""COMPUTED_VALUE"""),10700.0)</f>
        <v>10700</v>
      </c>
      <c r="D1326" s="1">
        <f>IFERROR(__xludf.DUMMYFUNCTION("""COMPUTED_VALUE"""),10350.0)</f>
        <v>10350</v>
      </c>
      <c r="E1326" s="1">
        <f>IFERROR(__xludf.DUMMYFUNCTION("""COMPUTED_VALUE"""),10550.0)</f>
        <v>10550</v>
      </c>
      <c r="F1326" s="1">
        <f>IFERROR(__xludf.DUMMYFUNCTION("""COMPUTED_VALUE"""),50960.0)</f>
        <v>50960</v>
      </c>
    </row>
    <row r="1327">
      <c r="A1327" s="2">
        <f>IFERROR(__xludf.DUMMYFUNCTION("""COMPUTED_VALUE"""),42880.64583333333)</f>
        <v>42880.64583</v>
      </c>
      <c r="B1327" s="1">
        <f>IFERROR(__xludf.DUMMYFUNCTION("""COMPUTED_VALUE"""),10650.0)</f>
        <v>10650</v>
      </c>
      <c r="C1327" s="1">
        <f>IFERROR(__xludf.DUMMYFUNCTION("""COMPUTED_VALUE"""),10650.0)</f>
        <v>10650</v>
      </c>
      <c r="D1327" s="1">
        <f>IFERROR(__xludf.DUMMYFUNCTION("""COMPUTED_VALUE"""),10500.0)</f>
        <v>10500</v>
      </c>
      <c r="E1327" s="1">
        <f>IFERROR(__xludf.DUMMYFUNCTION("""COMPUTED_VALUE"""),10550.0)</f>
        <v>10550</v>
      </c>
      <c r="F1327" s="1">
        <f>IFERROR(__xludf.DUMMYFUNCTION("""COMPUTED_VALUE"""),15933.0)</f>
        <v>15933</v>
      </c>
    </row>
    <row r="1328">
      <c r="A1328" s="2">
        <f>IFERROR(__xludf.DUMMYFUNCTION("""COMPUTED_VALUE"""),42881.64583333333)</f>
        <v>42881.64583</v>
      </c>
      <c r="B1328" s="1">
        <f>IFERROR(__xludf.DUMMYFUNCTION("""COMPUTED_VALUE"""),10550.0)</f>
        <v>10550</v>
      </c>
      <c r="C1328" s="1">
        <f>IFERROR(__xludf.DUMMYFUNCTION("""COMPUTED_VALUE"""),10650.0)</f>
        <v>10650</v>
      </c>
      <c r="D1328" s="1">
        <f>IFERROR(__xludf.DUMMYFUNCTION("""COMPUTED_VALUE"""),10250.0)</f>
        <v>10250</v>
      </c>
      <c r="E1328" s="1">
        <f>IFERROR(__xludf.DUMMYFUNCTION("""COMPUTED_VALUE"""),10300.0)</f>
        <v>10300</v>
      </c>
      <c r="F1328" s="1">
        <f>IFERROR(__xludf.DUMMYFUNCTION("""COMPUTED_VALUE"""),58285.0)</f>
        <v>58285</v>
      </c>
    </row>
    <row r="1329">
      <c r="A1329" s="2">
        <f>IFERROR(__xludf.DUMMYFUNCTION("""COMPUTED_VALUE"""),42884.64583333333)</f>
        <v>42884.64583</v>
      </c>
      <c r="B1329" s="1">
        <f>IFERROR(__xludf.DUMMYFUNCTION("""COMPUTED_VALUE"""),10350.0)</f>
        <v>10350</v>
      </c>
      <c r="C1329" s="1">
        <f>IFERROR(__xludf.DUMMYFUNCTION("""COMPUTED_VALUE"""),10350.0)</f>
        <v>10350</v>
      </c>
      <c r="D1329" s="1">
        <f>IFERROR(__xludf.DUMMYFUNCTION("""COMPUTED_VALUE"""),10150.0)</f>
        <v>10150</v>
      </c>
      <c r="E1329" s="1">
        <f>IFERROR(__xludf.DUMMYFUNCTION("""COMPUTED_VALUE"""),10350.0)</f>
        <v>10350</v>
      </c>
      <c r="F1329" s="1">
        <f>IFERROR(__xludf.DUMMYFUNCTION("""COMPUTED_VALUE"""),31484.0)</f>
        <v>31484</v>
      </c>
    </row>
    <row r="1330">
      <c r="A1330" s="2">
        <f>IFERROR(__xludf.DUMMYFUNCTION("""COMPUTED_VALUE"""),42885.64583333333)</f>
        <v>42885.64583</v>
      </c>
      <c r="B1330" s="1">
        <f>IFERROR(__xludf.DUMMYFUNCTION("""COMPUTED_VALUE"""),10350.0)</f>
        <v>10350</v>
      </c>
      <c r="C1330" s="1">
        <f>IFERROR(__xludf.DUMMYFUNCTION("""COMPUTED_VALUE"""),10400.0)</f>
        <v>10400</v>
      </c>
      <c r="D1330" s="1">
        <f>IFERROR(__xludf.DUMMYFUNCTION("""COMPUTED_VALUE"""),10200.0)</f>
        <v>10200</v>
      </c>
      <c r="E1330" s="1">
        <f>IFERROR(__xludf.DUMMYFUNCTION("""COMPUTED_VALUE"""),10300.0)</f>
        <v>10300</v>
      </c>
      <c r="F1330" s="1">
        <f>IFERROR(__xludf.DUMMYFUNCTION("""COMPUTED_VALUE"""),11209.0)</f>
        <v>11209</v>
      </c>
    </row>
    <row r="1331">
      <c r="A1331" s="2">
        <f>IFERROR(__xludf.DUMMYFUNCTION("""COMPUTED_VALUE"""),42886.64583333333)</f>
        <v>42886.64583</v>
      </c>
      <c r="B1331" s="1">
        <f>IFERROR(__xludf.DUMMYFUNCTION("""COMPUTED_VALUE"""),10300.0)</f>
        <v>10300</v>
      </c>
      <c r="C1331" s="1">
        <f>IFERROR(__xludf.DUMMYFUNCTION("""COMPUTED_VALUE"""),10450.0)</f>
        <v>10450</v>
      </c>
      <c r="D1331" s="1">
        <f>IFERROR(__xludf.DUMMYFUNCTION("""COMPUTED_VALUE"""),10250.0)</f>
        <v>10250</v>
      </c>
      <c r="E1331" s="1">
        <f>IFERROR(__xludf.DUMMYFUNCTION("""COMPUTED_VALUE"""),10350.0)</f>
        <v>10350</v>
      </c>
      <c r="F1331" s="1">
        <f>IFERROR(__xludf.DUMMYFUNCTION("""COMPUTED_VALUE"""),27120.0)</f>
        <v>27120</v>
      </c>
    </row>
    <row r="1332">
      <c r="A1332" s="2">
        <f>IFERROR(__xludf.DUMMYFUNCTION("""COMPUTED_VALUE"""),42887.64583333333)</f>
        <v>42887.64583</v>
      </c>
      <c r="B1332" s="1">
        <f>IFERROR(__xludf.DUMMYFUNCTION("""COMPUTED_VALUE"""),10350.0)</f>
        <v>10350</v>
      </c>
      <c r="C1332" s="1">
        <f>IFERROR(__xludf.DUMMYFUNCTION("""COMPUTED_VALUE"""),10500.0)</f>
        <v>10500</v>
      </c>
      <c r="D1332" s="1">
        <f>IFERROR(__xludf.DUMMYFUNCTION("""COMPUTED_VALUE"""),10350.0)</f>
        <v>10350</v>
      </c>
      <c r="E1332" s="1">
        <f>IFERROR(__xludf.DUMMYFUNCTION("""COMPUTED_VALUE"""),10400.0)</f>
        <v>10400</v>
      </c>
      <c r="F1332" s="1">
        <f>IFERROR(__xludf.DUMMYFUNCTION("""COMPUTED_VALUE"""),11961.0)</f>
        <v>11961</v>
      </c>
    </row>
    <row r="1333">
      <c r="A1333" s="2">
        <f>IFERROR(__xludf.DUMMYFUNCTION("""COMPUTED_VALUE"""),42888.64583333333)</f>
        <v>42888.64583</v>
      </c>
      <c r="B1333" s="1">
        <f>IFERROR(__xludf.DUMMYFUNCTION("""COMPUTED_VALUE"""),10500.0)</f>
        <v>10500</v>
      </c>
      <c r="C1333" s="1">
        <f>IFERROR(__xludf.DUMMYFUNCTION("""COMPUTED_VALUE"""),10500.0)</f>
        <v>10500</v>
      </c>
      <c r="D1333" s="1">
        <f>IFERROR(__xludf.DUMMYFUNCTION("""COMPUTED_VALUE"""),10200.0)</f>
        <v>10200</v>
      </c>
      <c r="E1333" s="1">
        <f>IFERROR(__xludf.DUMMYFUNCTION("""COMPUTED_VALUE"""),10350.0)</f>
        <v>10350</v>
      </c>
      <c r="F1333" s="1">
        <f>IFERROR(__xludf.DUMMYFUNCTION("""COMPUTED_VALUE"""),71343.0)</f>
        <v>71343</v>
      </c>
    </row>
    <row r="1334">
      <c r="A1334" s="2">
        <f>IFERROR(__xludf.DUMMYFUNCTION("""COMPUTED_VALUE"""),42891.64583333333)</f>
        <v>42891.64583</v>
      </c>
      <c r="B1334" s="1">
        <f>IFERROR(__xludf.DUMMYFUNCTION("""COMPUTED_VALUE"""),10350.0)</f>
        <v>10350</v>
      </c>
      <c r="C1334" s="1">
        <f>IFERROR(__xludf.DUMMYFUNCTION("""COMPUTED_VALUE"""),10400.0)</f>
        <v>10400</v>
      </c>
      <c r="D1334" s="1">
        <f>IFERROR(__xludf.DUMMYFUNCTION("""COMPUTED_VALUE"""),10200.0)</f>
        <v>10200</v>
      </c>
      <c r="E1334" s="1">
        <f>IFERROR(__xludf.DUMMYFUNCTION("""COMPUTED_VALUE"""),10350.0)</f>
        <v>10350</v>
      </c>
      <c r="F1334" s="1">
        <f>IFERROR(__xludf.DUMMYFUNCTION("""COMPUTED_VALUE"""),27097.0)</f>
        <v>27097</v>
      </c>
    </row>
    <row r="1335">
      <c r="A1335" s="2">
        <f>IFERROR(__xludf.DUMMYFUNCTION("""COMPUTED_VALUE"""),42893.64583333333)</f>
        <v>42893.64583</v>
      </c>
      <c r="B1335" s="1">
        <f>IFERROR(__xludf.DUMMYFUNCTION("""COMPUTED_VALUE"""),10350.0)</f>
        <v>10350</v>
      </c>
      <c r="C1335" s="1">
        <f>IFERROR(__xludf.DUMMYFUNCTION("""COMPUTED_VALUE"""),10350.0)</f>
        <v>10350</v>
      </c>
      <c r="D1335" s="1">
        <f>IFERROR(__xludf.DUMMYFUNCTION("""COMPUTED_VALUE"""),10250.0)</f>
        <v>10250</v>
      </c>
      <c r="E1335" s="1">
        <f>IFERROR(__xludf.DUMMYFUNCTION("""COMPUTED_VALUE"""),10300.0)</f>
        <v>10300</v>
      </c>
      <c r="F1335" s="1">
        <f>IFERROR(__xludf.DUMMYFUNCTION("""COMPUTED_VALUE"""),32371.0)</f>
        <v>32371</v>
      </c>
    </row>
    <row r="1336">
      <c r="A1336" s="2">
        <f>IFERROR(__xludf.DUMMYFUNCTION("""COMPUTED_VALUE"""),42894.64583333333)</f>
        <v>42894.64583</v>
      </c>
      <c r="B1336" s="1">
        <f>IFERROR(__xludf.DUMMYFUNCTION("""COMPUTED_VALUE"""),10300.0)</f>
        <v>10300</v>
      </c>
      <c r="C1336" s="1">
        <f>IFERROR(__xludf.DUMMYFUNCTION("""COMPUTED_VALUE"""),10350.0)</f>
        <v>10350</v>
      </c>
      <c r="D1336" s="1">
        <f>IFERROR(__xludf.DUMMYFUNCTION("""COMPUTED_VALUE"""),10200.0)</f>
        <v>10200</v>
      </c>
      <c r="E1336" s="1">
        <f>IFERROR(__xludf.DUMMYFUNCTION("""COMPUTED_VALUE"""),10350.0)</f>
        <v>10350</v>
      </c>
      <c r="F1336" s="1">
        <f>IFERROR(__xludf.DUMMYFUNCTION("""COMPUTED_VALUE"""),30429.0)</f>
        <v>30429</v>
      </c>
    </row>
    <row r="1337">
      <c r="A1337" s="2">
        <f>IFERROR(__xludf.DUMMYFUNCTION("""COMPUTED_VALUE"""),42895.64583333333)</f>
        <v>42895.64583</v>
      </c>
      <c r="B1337" s="1">
        <f>IFERROR(__xludf.DUMMYFUNCTION("""COMPUTED_VALUE"""),10400.0)</f>
        <v>10400</v>
      </c>
      <c r="C1337" s="1">
        <f>IFERROR(__xludf.DUMMYFUNCTION("""COMPUTED_VALUE"""),10400.0)</f>
        <v>10400</v>
      </c>
      <c r="D1337" s="1">
        <f>IFERROR(__xludf.DUMMYFUNCTION("""COMPUTED_VALUE"""),10200.0)</f>
        <v>10200</v>
      </c>
      <c r="E1337" s="1">
        <f>IFERROR(__xludf.DUMMYFUNCTION("""COMPUTED_VALUE"""),10200.0)</f>
        <v>10200</v>
      </c>
      <c r="F1337" s="1">
        <f>IFERROR(__xludf.DUMMYFUNCTION("""COMPUTED_VALUE"""),47863.0)</f>
        <v>47863</v>
      </c>
    </row>
    <row r="1338">
      <c r="A1338" s="2">
        <f>IFERROR(__xludf.DUMMYFUNCTION("""COMPUTED_VALUE"""),42898.64583333333)</f>
        <v>42898.64583</v>
      </c>
      <c r="B1338" s="1">
        <f>IFERROR(__xludf.DUMMYFUNCTION("""COMPUTED_VALUE"""),10250.0)</f>
        <v>10250</v>
      </c>
      <c r="C1338" s="1">
        <f>IFERROR(__xludf.DUMMYFUNCTION("""COMPUTED_VALUE"""),10400.0)</f>
        <v>10400</v>
      </c>
      <c r="D1338" s="1">
        <f>IFERROR(__xludf.DUMMYFUNCTION("""COMPUTED_VALUE"""),10100.0)</f>
        <v>10100</v>
      </c>
      <c r="E1338" s="1">
        <f>IFERROR(__xludf.DUMMYFUNCTION("""COMPUTED_VALUE"""),10350.0)</f>
        <v>10350</v>
      </c>
      <c r="F1338" s="1">
        <f>IFERROR(__xludf.DUMMYFUNCTION("""COMPUTED_VALUE"""),78164.0)</f>
        <v>78164</v>
      </c>
    </row>
    <row r="1339">
      <c r="A1339" s="2">
        <f>IFERROR(__xludf.DUMMYFUNCTION("""COMPUTED_VALUE"""),42899.64583333333)</f>
        <v>42899.64583</v>
      </c>
      <c r="B1339" s="1">
        <f>IFERROR(__xludf.DUMMYFUNCTION("""COMPUTED_VALUE"""),10250.0)</f>
        <v>10250</v>
      </c>
      <c r="C1339" s="1">
        <f>IFERROR(__xludf.DUMMYFUNCTION("""COMPUTED_VALUE"""),11100.0)</f>
        <v>11100</v>
      </c>
      <c r="D1339" s="1">
        <f>IFERROR(__xludf.DUMMYFUNCTION("""COMPUTED_VALUE"""),10250.0)</f>
        <v>10250</v>
      </c>
      <c r="E1339" s="1">
        <f>IFERROR(__xludf.DUMMYFUNCTION("""COMPUTED_VALUE"""),10900.0)</f>
        <v>10900</v>
      </c>
      <c r="F1339" s="1">
        <f>IFERROR(__xludf.DUMMYFUNCTION("""COMPUTED_VALUE"""),157001.0)</f>
        <v>157001</v>
      </c>
    </row>
    <row r="1340">
      <c r="A1340" s="2">
        <f>IFERROR(__xludf.DUMMYFUNCTION("""COMPUTED_VALUE"""),42900.64583333333)</f>
        <v>42900.64583</v>
      </c>
      <c r="B1340" s="1">
        <f>IFERROR(__xludf.DUMMYFUNCTION("""COMPUTED_VALUE"""),10900.0)</f>
        <v>10900</v>
      </c>
      <c r="C1340" s="1">
        <f>IFERROR(__xludf.DUMMYFUNCTION("""COMPUTED_VALUE"""),11150.0)</f>
        <v>11150</v>
      </c>
      <c r="D1340" s="1">
        <f>IFERROR(__xludf.DUMMYFUNCTION("""COMPUTED_VALUE"""),10700.0)</f>
        <v>10700</v>
      </c>
      <c r="E1340" s="1">
        <f>IFERROR(__xludf.DUMMYFUNCTION("""COMPUTED_VALUE"""),10750.0)</f>
        <v>10750</v>
      </c>
      <c r="F1340" s="1">
        <f>IFERROR(__xludf.DUMMYFUNCTION("""COMPUTED_VALUE"""),95918.0)</f>
        <v>95918</v>
      </c>
    </row>
    <row r="1341">
      <c r="A1341" s="2">
        <f>IFERROR(__xludf.DUMMYFUNCTION("""COMPUTED_VALUE"""),42901.64583333333)</f>
        <v>42901.64583</v>
      </c>
      <c r="B1341" s="1">
        <f>IFERROR(__xludf.DUMMYFUNCTION("""COMPUTED_VALUE"""),10700.0)</f>
        <v>10700</v>
      </c>
      <c r="C1341" s="1">
        <f>IFERROR(__xludf.DUMMYFUNCTION("""COMPUTED_VALUE"""),10850.0)</f>
        <v>10850</v>
      </c>
      <c r="D1341" s="1">
        <f>IFERROR(__xludf.DUMMYFUNCTION("""COMPUTED_VALUE"""),10600.0)</f>
        <v>10600</v>
      </c>
      <c r="E1341" s="1">
        <f>IFERROR(__xludf.DUMMYFUNCTION("""COMPUTED_VALUE"""),10600.0)</f>
        <v>10600</v>
      </c>
      <c r="F1341" s="1">
        <f>IFERROR(__xludf.DUMMYFUNCTION("""COMPUTED_VALUE"""),42528.0)</f>
        <v>42528</v>
      </c>
    </row>
    <row r="1342">
      <c r="A1342" s="2">
        <f>IFERROR(__xludf.DUMMYFUNCTION("""COMPUTED_VALUE"""),42902.64583333333)</f>
        <v>42902.64583</v>
      </c>
      <c r="B1342" s="1">
        <f>IFERROR(__xludf.DUMMYFUNCTION("""COMPUTED_VALUE"""),10700.0)</f>
        <v>10700</v>
      </c>
      <c r="C1342" s="1">
        <f>IFERROR(__xludf.DUMMYFUNCTION("""COMPUTED_VALUE"""),10800.0)</f>
        <v>10800</v>
      </c>
      <c r="D1342" s="1">
        <f>IFERROR(__xludf.DUMMYFUNCTION("""COMPUTED_VALUE"""),10550.0)</f>
        <v>10550</v>
      </c>
      <c r="E1342" s="1">
        <f>IFERROR(__xludf.DUMMYFUNCTION("""COMPUTED_VALUE"""),10700.0)</f>
        <v>10700</v>
      </c>
      <c r="F1342" s="1">
        <f>IFERROR(__xludf.DUMMYFUNCTION("""COMPUTED_VALUE"""),36966.0)</f>
        <v>36966</v>
      </c>
    </row>
    <row r="1343">
      <c r="A1343" s="2">
        <f>IFERROR(__xludf.DUMMYFUNCTION("""COMPUTED_VALUE"""),42905.64583333333)</f>
        <v>42905.64583</v>
      </c>
      <c r="B1343" s="1">
        <f>IFERROR(__xludf.DUMMYFUNCTION("""COMPUTED_VALUE"""),10750.0)</f>
        <v>10750</v>
      </c>
      <c r="C1343" s="1">
        <f>IFERROR(__xludf.DUMMYFUNCTION("""COMPUTED_VALUE"""),10750.0)</f>
        <v>10750</v>
      </c>
      <c r="D1343" s="1">
        <f>IFERROR(__xludf.DUMMYFUNCTION("""COMPUTED_VALUE"""),10450.0)</f>
        <v>10450</v>
      </c>
      <c r="E1343" s="1">
        <f>IFERROR(__xludf.DUMMYFUNCTION("""COMPUTED_VALUE"""),10600.0)</f>
        <v>10600</v>
      </c>
      <c r="F1343" s="1">
        <f>IFERROR(__xludf.DUMMYFUNCTION("""COMPUTED_VALUE"""),60837.0)</f>
        <v>60837</v>
      </c>
    </row>
    <row r="1344">
      <c r="A1344" s="2">
        <f>IFERROR(__xludf.DUMMYFUNCTION("""COMPUTED_VALUE"""),42906.64583333333)</f>
        <v>42906.64583</v>
      </c>
      <c r="B1344" s="1">
        <f>IFERROR(__xludf.DUMMYFUNCTION("""COMPUTED_VALUE"""),10600.0)</f>
        <v>10600</v>
      </c>
      <c r="C1344" s="1">
        <f>IFERROR(__xludf.DUMMYFUNCTION("""COMPUTED_VALUE"""),10650.0)</f>
        <v>10650</v>
      </c>
      <c r="D1344" s="1">
        <f>IFERROR(__xludf.DUMMYFUNCTION("""COMPUTED_VALUE"""),10350.0)</f>
        <v>10350</v>
      </c>
      <c r="E1344" s="1">
        <f>IFERROR(__xludf.DUMMYFUNCTION("""COMPUTED_VALUE"""),10400.0)</f>
        <v>10400</v>
      </c>
      <c r="F1344" s="1">
        <f>IFERROR(__xludf.DUMMYFUNCTION("""COMPUTED_VALUE"""),29833.0)</f>
        <v>29833</v>
      </c>
    </row>
    <row r="1345">
      <c r="A1345" s="2">
        <f>IFERROR(__xludf.DUMMYFUNCTION("""COMPUTED_VALUE"""),42907.64583333333)</f>
        <v>42907.64583</v>
      </c>
      <c r="B1345" s="1">
        <f>IFERROR(__xludf.DUMMYFUNCTION("""COMPUTED_VALUE"""),10350.0)</f>
        <v>10350</v>
      </c>
      <c r="C1345" s="1">
        <f>IFERROR(__xludf.DUMMYFUNCTION("""COMPUTED_VALUE"""),10500.0)</f>
        <v>10500</v>
      </c>
      <c r="D1345" s="1">
        <f>IFERROR(__xludf.DUMMYFUNCTION("""COMPUTED_VALUE"""),10250.0)</f>
        <v>10250</v>
      </c>
      <c r="E1345" s="1">
        <f>IFERROR(__xludf.DUMMYFUNCTION("""COMPUTED_VALUE"""),10350.0)</f>
        <v>10350</v>
      </c>
      <c r="F1345" s="1">
        <f>IFERROR(__xludf.DUMMYFUNCTION("""COMPUTED_VALUE"""),38472.0)</f>
        <v>38472</v>
      </c>
    </row>
    <row r="1346">
      <c r="A1346" s="2">
        <f>IFERROR(__xludf.DUMMYFUNCTION("""COMPUTED_VALUE"""),42908.64583333333)</f>
        <v>42908.64583</v>
      </c>
      <c r="B1346" s="1">
        <f>IFERROR(__xludf.DUMMYFUNCTION("""COMPUTED_VALUE"""),10350.0)</f>
        <v>10350</v>
      </c>
      <c r="C1346" s="1">
        <f>IFERROR(__xludf.DUMMYFUNCTION("""COMPUTED_VALUE"""),10500.0)</f>
        <v>10500</v>
      </c>
      <c r="D1346" s="1">
        <f>IFERROR(__xludf.DUMMYFUNCTION("""COMPUTED_VALUE"""),10250.0)</f>
        <v>10250</v>
      </c>
      <c r="E1346" s="1">
        <f>IFERROR(__xludf.DUMMYFUNCTION("""COMPUTED_VALUE"""),10500.0)</f>
        <v>10500</v>
      </c>
      <c r="F1346" s="1">
        <f>IFERROR(__xludf.DUMMYFUNCTION("""COMPUTED_VALUE"""),33340.0)</f>
        <v>33340</v>
      </c>
    </row>
    <row r="1347">
      <c r="A1347" s="2">
        <f>IFERROR(__xludf.DUMMYFUNCTION("""COMPUTED_VALUE"""),42909.64583333333)</f>
        <v>42909.64583</v>
      </c>
      <c r="B1347" s="1">
        <f>IFERROR(__xludf.DUMMYFUNCTION("""COMPUTED_VALUE"""),10500.0)</f>
        <v>10500</v>
      </c>
      <c r="C1347" s="1">
        <f>IFERROR(__xludf.DUMMYFUNCTION("""COMPUTED_VALUE"""),10550.0)</f>
        <v>10550</v>
      </c>
      <c r="D1347" s="1">
        <f>IFERROR(__xludf.DUMMYFUNCTION("""COMPUTED_VALUE"""),10400.0)</f>
        <v>10400</v>
      </c>
      <c r="E1347" s="1">
        <f>IFERROR(__xludf.DUMMYFUNCTION("""COMPUTED_VALUE"""),10450.0)</f>
        <v>10450</v>
      </c>
      <c r="F1347" s="1">
        <f>IFERROR(__xludf.DUMMYFUNCTION("""COMPUTED_VALUE"""),16786.0)</f>
        <v>16786</v>
      </c>
    </row>
    <row r="1348">
      <c r="A1348" s="2">
        <f>IFERROR(__xludf.DUMMYFUNCTION("""COMPUTED_VALUE"""),42912.64583333333)</f>
        <v>42912.64583</v>
      </c>
      <c r="B1348" s="1">
        <f>IFERROR(__xludf.DUMMYFUNCTION("""COMPUTED_VALUE"""),10450.0)</f>
        <v>10450</v>
      </c>
      <c r="C1348" s="1">
        <f>IFERROR(__xludf.DUMMYFUNCTION("""COMPUTED_VALUE"""),10500.0)</f>
        <v>10500</v>
      </c>
      <c r="D1348" s="1">
        <f>IFERROR(__xludf.DUMMYFUNCTION("""COMPUTED_VALUE"""),10250.0)</f>
        <v>10250</v>
      </c>
      <c r="E1348" s="1">
        <f>IFERROR(__xludf.DUMMYFUNCTION("""COMPUTED_VALUE"""),10300.0)</f>
        <v>10300</v>
      </c>
      <c r="F1348" s="1">
        <f>IFERROR(__xludf.DUMMYFUNCTION("""COMPUTED_VALUE"""),24116.0)</f>
        <v>24116</v>
      </c>
    </row>
    <row r="1349">
      <c r="A1349" s="2">
        <f>IFERROR(__xludf.DUMMYFUNCTION("""COMPUTED_VALUE"""),42913.64583333333)</f>
        <v>42913.64583</v>
      </c>
      <c r="B1349" s="1">
        <f>IFERROR(__xludf.DUMMYFUNCTION("""COMPUTED_VALUE"""),10300.0)</f>
        <v>10300</v>
      </c>
      <c r="C1349" s="1">
        <f>IFERROR(__xludf.DUMMYFUNCTION("""COMPUTED_VALUE"""),10400.0)</f>
        <v>10400</v>
      </c>
      <c r="D1349" s="1">
        <f>IFERROR(__xludf.DUMMYFUNCTION("""COMPUTED_VALUE"""),10250.0)</f>
        <v>10250</v>
      </c>
      <c r="E1349" s="1">
        <f>IFERROR(__xludf.DUMMYFUNCTION("""COMPUTED_VALUE"""),10300.0)</f>
        <v>10300</v>
      </c>
      <c r="F1349" s="1">
        <f>IFERROR(__xludf.DUMMYFUNCTION("""COMPUTED_VALUE"""),20116.0)</f>
        <v>20116</v>
      </c>
    </row>
    <row r="1350">
      <c r="A1350" s="2">
        <f>IFERROR(__xludf.DUMMYFUNCTION("""COMPUTED_VALUE"""),42914.64583333333)</f>
        <v>42914.64583</v>
      </c>
      <c r="B1350" s="1">
        <f>IFERROR(__xludf.DUMMYFUNCTION("""COMPUTED_VALUE"""),10300.0)</f>
        <v>10300</v>
      </c>
      <c r="C1350" s="1">
        <f>IFERROR(__xludf.DUMMYFUNCTION("""COMPUTED_VALUE"""),10700.0)</f>
        <v>10700</v>
      </c>
      <c r="D1350" s="1">
        <f>IFERROR(__xludf.DUMMYFUNCTION("""COMPUTED_VALUE"""),10200.0)</f>
        <v>10200</v>
      </c>
      <c r="E1350" s="1">
        <f>IFERROR(__xludf.DUMMYFUNCTION("""COMPUTED_VALUE"""),10350.0)</f>
        <v>10350</v>
      </c>
      <c r="F1350" s="1">
        <f>IFERROR(__xludf.DUMMYFUNCTION("""COMPUTED_VALUE"""),57859.0)</f>
        <v>57859</v>
      </c>
    </row>
    <row r="1351">
      <c r="A1351" s="2">
        <f>IFERROR(__xludf.DUMMYFUNCTION("""COMPUTED_VALUE"""),42915.64583333333)</f>
        <v>42915.64583</v>
      </c>
      <c r="B1351" s="1">
        <f>IFERROR(__xludf.DUMMYFUNCTION("""COMPUTED_VALUE"""),10500.0)</f>
        <v>10500</v>
      </c>
      <c r="C1351" s="1">
        <f>IFERROR(__xludf.DUMMYFUNCTION("""COMPUTED_VALUE"""),10650.0)</f>
        <v>10650</v>
      </c>
      <c r="D1351" s="1">
        <f>IFERROR(__xludf.DUMMYFUNCTION("""COMPUTED_VALUE"""),10400.0)</f>
        <v>10400</v>
      </c>
      <c r="E1351" s="1">
        <f>IFERROR(__xludf.DUMMYFUNCTION("""COMPUTED_VALUE"""),10600.0)</f>
        <v>10600</v>
      </c>
      <c r="F1351" s="1">
        <f>IFERROR(__xludf.DUMMYFUNCTION("""COMPUTED_VALUE"""),33480.0)</f>
        <v>33480</v>
      </c>
    </row>
    <row r="1352">
      <c r="A1352" s="2">
        <f>IFERROR(__xludf.DUMMYFUNCTION("""COMPUTED_VALUE"""),42916.64583333333)</f>
        <v>42916.64583</v>
      </c>
      <c r="B1352" s="1">
        <f>IFERROR(__xludf.DUMMYFUNCTION("""COMPUTED_VALUE"""),10600.0)</f>
        <v>10600</v>
      </c>
      <c r="C1352" s="1">
        <f>IFERROR(__xludf.DUMMYFUNCTION("""COMPUTED_VALUE"""),10650.0)</f>
        <v>10650</v>
      </c>
      <c r="D1352" s="1">
        <f>IFERROR(__xludf.DUMMYFUNCTION("""COMPUTED_VALUE"""),10450.0)</f>
        <v>10450</v>
      </c>
      <c r="E1352" s="1">
        <f>IFERROR(__xludf.DUMMYFUNCTION("""COMPUTED_VALUE"""),10650.0)</f>
        <v>10650</v>
      </c>
      <c r="F1352" s="1">
        <f>IFERROR(__xludf.DUMMYFUNCTION("""COMPUTED_VALUE"""),8806.0)</f>
        <v>8806</v>
      </c>
    </row>
    <row r="1353">
      <c r="A1353" s="2">
        <f>IFERROR(__xludf.DUMMYFUNCTION("""COMPUTED_VALUE"""),42919.64583333333)</f>
        <v>42919.64583</v>
      </c>
      <c r="B1353" s="1">
        <f>IFERROR(__xludf.DUMMYFUNCTION("""COMPUTED_VALUE"""),10700.0)</f>
        <v>10700</v>
      </c>
      <c r="C1353" s="1">
        <f>IFERROR(__xludf.DUMMYFUNCTION("""COMPUTED_VALUE"""),10700.0)</f>
        <v>10700</v>
      </c>
      <c r="D1353" s="1">
        <f>IFERROR(__xludf.DUMMYFUNCTION("""COMPUTED_VALUE"""),10350.0)</f>
        <v>10350</v>
      </c>
      <c r="E1353" s="1">
        <f>IFERROR(__xludf.DUMMYFUNCTION("""COMPUTED_VALUE"""),10550.0)</f>
        <v>10550</v>
      </c>
      <c r="F1353" s="1">
        <f>IFERROR(__xludf.DUMMYFUNCTION("""COMPUTED_VALUE"""),19681.0)</f>
        <v>19681</v>
      </c>
    </row>
    <row r="1354">
      <c r="A1354" s="2">
        <f>IFERROR(__xludf.DUMMYFUNCTION("""COMPUTED_VALUE"""),42920.64583333333)</f>
        <v>42920.64583</v>
      </c>
      <c r="B1354" s="1">
        <f>IFERROR(__xludf.DUMMYFUNCTION("""COMPUTED_VALUE"""),10550.0)</f>
        <v>10550</v>
      </c>
      <c r="C1354" s="1">
        <f>IFERROR(__xludf.DUMMYFUNCTION("""COMPUTED_VALUE"""),10650.0)</f>
        <v>10650</v>
      </c>
      <c r="D1354" s="1">
        <f>IFERROR(__xludf.DUMMYFUNCTION("""COMPUTED_VALUE"""),10450.0)</f>
        <v>10450</v>
      </c>
      <c r="E1354" s="1">
        <f>IFERROR(__xludf.DUMMYFUNCTION("""COMPUTED_VALUE"""),10500.0)</f>
        <v>10500</v>
      </c>
      <c r="F1354" s="1">
        <f>IFERROR(__xludf.DUMMYFUNCTION("""COMPUTED_VALUE"""),16866.0)</f>
        <v>16866</v>
      </c>
    </row>
    <row r="1355">
      <c r="A1355" s="2">
        <f>IFERROR(__xludf.DUMMYFUNCTION("""COMPUTED_VALUE"""),42921.64583333333)</f>
        <v>42921.64583</v>
      </c>
      <c r="B1355" s="1">
        <f>IFERROR(__xludf.DUMMYFUNCTION("""COMPUTED_VALUE"""),10500.0)</f>
        <v>10500</v>
      </c>
      <c r="C1355" s="1">
        <f>IFERROR(__xludf.DUMMYFUNCTION("""COMPUTED_VALUE"""),10650.0)</f>
        <v>10650</v>
      </c>
      <c r="D1355" s="1">
        <f>IFERROR(__xludf.DUMMYFUNCTION("""COMPUTED_VALUE"""),10400.0)</f>
        <v>10400</v>
      </c>
      <c r="E1355" s="1">
        <f>IFERROR(__xludf.DUMMYFUNCTION("""COMPUTED_VALUE"""),10550.0)</f>
        <v>10550</v>
      </c>
      <c r="F1355" s="1">
        <f>IFERROR(__xludf.DUMMYFUNCTION("""COMPUTED_VALUE"""),14701.0)</f>
        <v>14701</v>
      </c>
    </row>
    <row r="1356">
      <c r="A1356" s="2">
        <f>IFERROR(__xludf.DUMMYFUNCTION("""COMPUTED_VALUE"""),42922.64583333333)</f>
        <v>42922.64583</v>
      </c>
      <c r="B1356" s="1">
        <f>IFERROR(__xludf.DUMMYFUNCTION("""COMPUTED_VALUE"""),10500.0)</f>
        <v>10500</v>
      </c>
      <c r="C1356" s="1">
        <f>IFERROR(__xludf.DUMMYFUNCTION("""COMPUTED_VALUE"""),10650.0)</f>
        <v>10650</v>
      </c>
      <c r="D1356" s="1">
        <f>IFERROR(__xludf.DUMMYFUNCTION("""COMPUTED_VALUE"""),10450.0)</f>
        <v>10450</v>
      </c>
      <c r="E1356" s="1">
        <f>IFERROR(__xludf.DUMMYFUNCTION("""COMPUTED_VALUE"""),10600.0)</f>
        <v>10600</v>
      </c>
      <c r="F1356" s="1">
        <f>IFERROR(__xludf.DUMMYFUNCTION("""COMPUTED_VALUE"""),12498.0)</f>
        <v>12498</v>
      </c>
    </row>
    <row r="1357">
      <c r="A1357" s="2">
        <f>IFERROR(__xludf.DUMMYFUNCTION("""COMPUTED_VALUE"""),42923.64583333333)</f>
        <v>42923.64583</v>
      </c>
      <c r="B1357" s="1">
        <f>IFERROR(__xludf.DUMMYFUNCTION("""COMPUTED_VALUE"""),10500.0)</f>
        <v>10500</v>
      </c>
      <c r="C1357" s="1">
        <f>IFERROR(__xludf.DUMMYFUNCTION("""COMPUTED_VALUE"""),10650.0)</f>
        <v>10650</v>
      </c>
      <c r="D1357" s="1">
        <f>IFERROR(__xludf.DUMMYFUNCTION("""COMPUTED_VALUE"""),10450.0)</f>
        <v>10450</v>
      </c>
      <c r="E1357" s="1">
        <f>IFERROR(__xludf.DUMMYFUNCTION("""COMPUTED_VALUE"""),10650.0)</f>
        <v>10650</v>
      </c>
      <c r="F1357" s="1">
        <f>IFERROR(__xludf.DUMMYFUNCTION("""COMPUTED_VALUE"""),22377.0)</f>
        <v>22377</v>
      </c>
    </row>
    <row r="1358">
      <c r="A1358" s="2">
        <f>IFERROR(__xludf.DUMMYFUNCTION("""COMPUTED_VALUE"""),42926.64583333333)</f>
        <v>42926.64583</v>
      </c>
      <c r="B1358" s="1">
        <f>IFERROR(__xludf.DUMMYFUNCTION("""COMPUTED_VALUE"""),10650.0)</f>
        <v>10650</v>
      </c>
      <c r="C1358" s="1">
        <f>IFERROR(__xludf.DUMMYFUNCTION("""COMPUTED_VALUE"""),10650.0)</f>
        <v>10650</v>
      </c>
      <c r="D1358" s="1">
        <f>IFERROR(__xludf.DUMMYFUNCTION("""COMPUTED_VALUE"""),10350.0)</f>
        <v>10350</v>
      </c>
      <c r="E1358" s="1">
        <f>IFERROR(__xludf.DUMMYFUNCTION("""COMPUTED_VALUE"""),10450.0)</f>
        <v>10450</v>
      </c>
      <c r="F1358" s="1">
        <f>IFERROR(__xludf.DUMMYFUNCTION("""COMPUTED_VALUE"""),22566.0)</f>
        <v>22566</v>
      </c>
    </row>
    <row r="1359">
      <c r="A1359" s="2">
        <f>IFERROR(__xludf.DUMMYFUNCTION("""COMPUTED_VALUE"""),42927.64583333333)</f>
        <v>42927.64583</v>
      </c>
      <c r="B1359" s="1">
        <f>IFERROR(__xludf.DUMMYFUNCTION("""COMPUTED_VALUE"""),10450.0)</f>
        <v>10450</v>
      </c>
      <c r="C1359" s="1">
        <f>IFERROR(__xludf.DUMMYFUNCTION("""COMPUTED_VALUE"""),10500.0)</f>
        <v>10500</v>
      </c>
      <c r="D1359" s="1">
        <f>IFERROR(__xludf.DUMMYFUNCTION("""COMPUTED_VALUE"""),10250.0)</f>
        <v>10250</v>
      </c>
      <c r="E1359" s="1">
        <f>IFERROR(__xludf.DUMMYFUNCTION("""COMPUTED_VALUE"""),10300.0)</f>
        <v>10300</v>
      </c>
      <c r="F1359" s="1">
        <f>IFERROR(__xludf.DUMMYFUNCTION("""COMPUTED_VALUE"""),24699.0)</f>
        <v>24699</v>
      </c>
    </row>
    <row r="1360">
      <c r="A1360" s="2">
        <f>IFERROR(__xludf.DUMMYFUNCTION("""COMPUTED_VALUE"""),42928.64583333333)</f>
        <v>42928.64583</v>
      </c>
      <c r="B1360" s="1">
        <f>IFERROR(__xludf.DUMMYFUNCTION("""COMPUTED_VALUE"""),10250.0)</f>
        <v>10250</v>
      </c>
      <c r="C1360" s="1">
        <f>IFERROR(__xludf.DUMMYFUNCTION("""COMPUTED_VALUE"""),10450.0)</f>
        <v>10450</v>
      </c>
      <c r="D1360" s="1">
        <f>IFERROR(__xludf.DUMMYFUNCTION("""COMPUTED_VALUE"""),10200.0)</f>
        <v>10200</v>
      </c>
      <c r="E1360" s="1">
        <f>IFERROR(__xludf.DUMMYFUNCTION("""COMPUTED_VALUE"""),10350.0)</f>
        <v>10350</v>
      </c>
      <c r="F1360" s="1">
        <f>IFERROR(__xludf.DUMMYFUNCTION("""COMPUTED_VALUE"""),20727.0)</f>
        <v>20727</v>
      </c>
    </row>
    <row r="1361">
      <c r="A1361" s="2">
        <f>IFERROR(__xludf.DUMMYFUNCTION("""COMPUTED_VALUE"""),42929.64583333333)</f>
        <v>42929.64583</v>
      </c>
      <c r="B1361" s="1">
        <f>IFERROR(__xludf.DUMMYFUNCTION("""COMPUTED_VALUE"""),10450.0)</f>
        <v>10450</v>
      </c>
      <c r="C1361" s="1">
        <f>IFERROR(__xludf.DUMMYFUNCTION("""COMPUTED_VALUE"""),11050.0)</f>
        <v>11050</v>
      </c>
      <c r="D1361" s="1">
        <f>IFERROR(__xludf.DUMMYFUNCTION("""COMPUTED_VALUE"""),10400.0)</f>
        <v>10400</v>
      </c>
      <c r="E1361" s="1">
        <f>IFERROR(__xludf.DUMMYFUNCTION("""COMPUTED_VALUE"""),10750.0)</f>
        <v>10750</v>
      </c>
      <c r="F1361" s="1">
        <f>IFERROR(__xludf.DUMMYFUNCTION("""COMPUTED_VALUE"""),111767.0)</f>
        <v>111767</v>
      </c>
    </row>
    <row r="1362">
      <c r="A1362" s="2">
        <f>IFERROR(__xludf.DUMMYFUNCTION("""COMPUTED_VALUE"""),42930.64583333333)</f>
        <v>42930.64583</v>
      </c>
      <c r="B1362" s="1">
        <f>IFERROR(__xludf.DUMMYFUNCTION("""COMPUTED_VALUE"""),10650.0)</f>
        <v>10650</v>
      </c>
      <c r="C1362" s="1">
        <f>IFERROR(__xludf.DUMMYFUNCTION("""COMPUTED_VALUE"""),10700.0)</f>
        <v>10700</v>
      </c>
      <c r="D1362" s="1">
        <f>IFERROR(__xludf.DUMMYFUNCTION("""COMPUTED_VALUE"""),10450.0)</f>
        <v>10450</v>
      </c>
      <c r="E1362" s="1">
        <f>IFERROR(__xludf.DUMMYFUNCTION("""COMPUTED_VALUE"""),10600.0)</f>
        <v>10600</v>
      </c>
      <c r="F1362" s="1">
        <f>IFERROR(__xludf.DUMMYFUNCTION("""COMPUTED_VALUE"""),28633.0)</f>
        <v>28633</v>
      </c>
    </row>
    <row r="1363">
      <c r="A1363" s="2">
        <f>IFERROR(__xludf.DUMMYFUNCTION("""COMPUTED_VALUE"""),42933.64583333333)</f>
        <v>42933.64583</v>
      </c>
      <c r="B1363" s="1">
        <f>IFERROR(__xludf.DUMMYFUNCTION("""COMPUTED_VALUE"""),10650.0)</f>
        <v>10650</v>
      </c>
      <c r="C1363" s="1">
        <f>IFERROR(__xludf.DUMMYFUNCTION("""COMPUTED_VALUE"""),11100.0)</f>
        <v>11100</v>
      </c>
      <c r="D1363" s="1">
        <f>IFERROR(__xludf.DUMMYFUNCTION("""COMPUTED_VALUE"""),10550.0)</f>
        <v>10550</v>
      </c>
      <c r="E1363" s="1">
        <f>IFERROR(__xludf.DUMMYFUNCTION("""COMPUTED_VALUE"""),11050.0)</f>
        <v>11050</v>
      </c>
      <c r="F1363" s="1">
        <f>IFERROR(__xludf.DUMMYFUNCTION("""COMPUTED_VALUE"""),105917.0)</f>
        <v>105917</v>
      </c>
    </row>
    <row r="1364">
      <c r="A1364" s="2">
        <f>IFERROR(__xludf.DUMMYFUNCTION("""COMPUTED_VALUE"""),42934.64583333333)</f>
        <v>42934.64583</v>
      </c>
      <c r="B1364" s="1">
        <f>IFERROR(__xludf.DUMMYFUNCTION("""COMPUTED_VALUE"""),11200.0)</f>
        <v>11200</v>
      </c>
      <c r="C1364" s="1">
        <f>IFERROR(__xludf.DUMMYFUNCTION("""COMPUTED_VALUE"""),12150.0)</f>
        <v>12150</v>
      </c>
      <c r="D1364" s="1">
        <f>IFERROR(__xludf.DUMMYFUNCTION("""COMPUTED_VALUE"""),11200.0)</f>
        <v>11200</v>
      </c>
      <c r="E1364" s="1">
        <f>IFERROR(__xludf.DUMMYFUNCTION("""COMPUTED_VALUE"""),11500.0)</f>
        <v>11500</v>
      </c>
      <c r="F1364" s="1">
        <f>IFERROR(__xludf.DUMMYFUNCTION("""COMPUTED_VALUE"""),333504.0)</f>
        <v>333504</v>
      </c>
    </row>
    <row r="1365">
      <c r="A1365" s="2">
        <f>IFERROR(__xludf.DUMMYFUNCTION("""COMPUTED_VALUE"""),42935.64583333333)</f>
        <v>42935.64583</v>
      </c>
      <c r="B1365" s="1">
        <f>IFERROR(__xludf.DUMMYFUNCTION("""COMPUTED_VALUE"""),11300.0)</f>
        <v>11300</v>
      </c>
      <c r="C1365" s="1">
        <f>IFERROR(__xludf.DUMMYFUNCTION("""COMPUTED_VALUE"""),11750.0)</f>
        <v>11750</v>
      </c>
      <c r="D1365" s="1">
        <f>IFERROR(__xludf.DUMMYFUNCTION("""COMPUTED_VALUE"""),11300.0)</f>
        <v>11300</v>
      </c>
      <c r="E1365" s="1">
        <f>IFERROR(__xludf.DUMMYFUNCTION("""COMPUTED_VALUE"""),11700.0)</f>
        <v>11700</v>
      </c>
      <c r="F1365" s="1">
        <f>IFERROR(__xludf.DUMMYFUNCTION("""COMPUTED_VALUE"""),88100.0)</f>
        <v>88100</v>
      </c>
    </row>
    <row r="1366">
      <c r="A1366" s="2">
        <f>IFERROR(__xludf.DUMMYFUNCTION("""COMPUTED_VALUE"""),42936.64583333333)</f>
        <v>42936.64583</v>
      </c>
      <c r="B1366" s="1">
        <f>IFERROR(__xludf.DUMMYFUNCTION("""COMPUTED_VALUE"""),11850.0)</f>
        <v>11850</v>
      </c>
      <c r="C1366" s="1">
        <f>IFERROR(__xludf.DUMMYFUNCTION("""COMPUTED_VALUE"""),12000.0)</f>
        <v>12000</v>
      </c>
      <c r="D1366" s="1">
        <f>IFERROR(__xludf.DUMMYFUNCTION("""COMPUTED_VALUE"""),11500.0)</f>
        <v>11500</v>
      </c>
      <c r="E1366" s="1">
        <f>IFERROR(__xludf.DUMMYFUNCTION("""COMPUTED_VALUE"""),11700.0)</f>
        <v>11700</v>
      </c>
      <c r="F1366" s="1">
        <f>IFERROR(__xludf.DUMMYFUNCTION("""COMPUTED_VALUE"""),77277.0)</f>
        <v>77277</v>
      </c>
    </row>
    <row r="1367">
      <c r="A1367" s="2">
        <f>IFERROR(__xludf.DUMMYFUNCTION("""COMPUTED_VALUE"""),42937.64583333333)</f>
        <v>42937.64583</v>
      </c>
      <c r="B1367" s="1">
        <f>IFERROR(__xludf.DUMMYFUNCTION("""COMPUTED_VALUE"""),11700.0)</f>
        <v>11700</v>
      </c>
      <c r="C1367" s="1">
        <f>IFERROR(__xludf.DUMMYFUNCTION("""COMPUTED_VALUE"""),11750.0)</f>
        <v>11750</v>
      </c>
      <c r="D1367" s="1">
        <f>IFERROR(__xludf.DUMMYFUNCTION("""COMPUTED_VALUE"""),11500.0)</f>
        <v>11500</v>
      </c>
      <c r="E1367" s="1">
        <f>IFERROR(__xludf.DUMMYFUNCTION("""COMPUTED_VALUE"""),11550.0)</f>
        <v>11550</v>
      </c>
      <c r="F1367" s="1">
        <f>IFERROR(__xludf.DUMMYFUNCTION("""COMPUTED_VALUE"""),41420.0)</f>
        <v>41420</v>
      </c>
    </row>
    <row r="1368">
      <c r="A1368" s="2">
        <f>IFERROR(__xludf.DUMMYFUNCTION("""COMPUTED_VALUE"""),42940.64583333333)</f>
        <v>42940.64583</v>
      </c>
      <c r="B1368" s="1">
        <f>IFERROR(__xludf.DUMMYFUNCTION("""COMPUTED_VALUE"""),11600.0)</f>
        <v>11600</v>
      </c>
      <c r="C1368" s="1">
        <f>IFERROR(__xludf.DUMMYFUNCTION("""COMPUTED_VALUE"""),11600.0)</f>
        <v>11600</v>
      </c>
      <c r="D1368" s="1">
        <f>IFERROR(__xludf.DUMMYFUNCTION("""COMPUTED_VALUE"""),11050.0)</f>
        <v>11050</v>
      </c>
      <c r="E1368" s="1">
        <f>IFERROR(__xludf.DUMMYFUNCTION("""COMPUTED_VALUE"""),11100.0)</f>
        <v>11100</v>
      </c>
      <c r="F1368" s="1">
        <f>IFERROR(__xludf.DUMMYFUNCTION("""COMPUTED_VALUE"""),39967.0)</f>
        <v>39967</v>
      </c>
    </row>
    <row r="1369">
      <c r="A1369" s="2">
        <f>IFERROR(__xludf.DUMMYFUNCTION("""COMPUTED_VALUE"""),42941.64583333333)</f>
        <v>42941.64583</v>
      </c>
      <c r="B1369" s="1">
        <f>IFERROR(__xludf.DUMMYFUNCTION("""COMPUTED_VALUE"""),11250.0)</f>
        <v>11250</v>
      </c>
      <c r="C1369" s="1">
        <f>IFERROR(__xludf.DUMMYFUNCTION("""COMPUTED_VALUE"""),11450.0)</f>
        <v>11450</v>
      </c>
      <c r="D1369" s="1">
        <f>IFERROR(__xludf.DUMMYFUNCTION("""COMPUTED_VALUE"""),11150.0)</f>
        <v>11150</v>
      </c>
      <c r="E1369" s="1">
        <f>IFERROR(__xludf.DUMMYFUNCTION("""COMPUTED_VALUE"""),11250.0)</f>
        <v>11250</v>
      </c>
      <c r="F1369" s="1">
        <f>IFERROR(__xludf.DUMMYFUNCTION("""COMPUTED_VALUE"""),47992.0)</f>
        <v>47992</v>
      </c>
    </row>
    <row r="1370">
      <c r="A1370" s="2">
        <f>IFERROR(__xludf.DUMMYFUNCTION("""COMPUTED_VALUE"""),42942.64583333333)</f>
        <v>42942.64583</v>
      </c>
      <c r="B1370" s="1">
        <f>IFERROR(__xludf.DUMMYFUNCTION("""COMPUTED_VALUE"""),11150.0)</f>
        <v>11150</v>
      </c>
      <c r="C1370" s="1">
        <f>IFERROR(__xludf.DUMMYFUNCTION("""COMPUTED_VALUE"""),11400.0)</f>
        <v>11400</v>
      </c>
      <c r="D1370" s="1">
        <f>IFERROR(__xludf.DUMMYFUNCTION("""COMPUTED_VALUE"""),11100.0)</f>
        <v>11100</v>
      </c>
      <c r="E1370" s="1">
        <f>IFERROR(__xludf.DUMMYFUNCTION("""COMPUTED_VALUE"""),11250.0)</f>
        <v>11250</v>
      </c>
      <c r="F1370" s="1">
        <f>IFERROR(__xludf.DUMMYFUNCTION("""COMPUTED_VALUE"""),28195.0)</f>
        <v>28195</v>
      </c>
    </row>
    <row r="1371">
      <c r="A1371" s="2">
        <f>IFERROR(__xludf.DUMMYFUNCTION("""COMPUTED_VALUE"""),42943.64583333333)</f>
        <v>42943.64583</v>
      </c>
      <c r="B1371" s="1">
        <f>IFERROR(__xludf.DUMMYFUNCTION("""COMPUTED_VALUE"""),11250.0)</f>
        <v>11250</v>
      </c>
      <c r="C1371" s="1">
        <f>IFERROR(__xludf.DUMMYFUNCTION("""COMPUTED_VALUE"""),11350.0)</f>
        <v>11350</v>
      </c>
      <c r="D1371" s="1">
        <f>IFERROR(__xludf.DUMMYFUNCTION("""COMPUTED_VALUE"""),10950.0)</f>
        <v>10950</v>
      </c>
      <c r="E1371" s="1">
        <f>IFERROR(__xludf.DUMMYFUNCTION("""COMPUTED_VALUE"""),11000.0)</f>
        <v>11000</v>
      </c>
      <c r="F1371" s="1">
        <f>IFERROR(__xludf.DUMMYFUNCTION("""COMPUTED_VALUE"""),50089.0)</f>
        <v>50089</v>
      </c>
    </row>
    <row r="1372">
      <c r="A1372" s="2">
        <f>IFERROR(__xludf.DUMMYFUNCTION("""COMPUTED_VALUE"""),42944.64583333333)</f>
        <v>42944.64583</v>
      </c>
      <c r="B1372" s="1">
        <f>IFERROR(__xludf.DUMMYFUNCTION("""COMPUTED_VALUE"""),11050.0)</f>
        <v>11050</v>
      </c>
      <c r="C1372" s="1">
        <f>IFERROR(__xludf.DUMMYFUNCTION("""COMPUTED_VALUE"""),11050.0)</f>
        <v>11050</v>
      </c>
      <c r="D1372" s="1">
        <f>IFERROR(__xludf.DUMMYFUNCTION("""COMPUTED_VALUE"""),10750.0)</f>
        <v>10750</v>
      </c>
      <c r="E1372" s="1">
        <f>IFERROR(__xludf.DUMMYFUNCTION("""COMPUTED_VALUE"""),10950.0)</f>
        <v>10950</v>
      </c>
      <c r="F1372" s="1">
        <f>IFERROR(__xludf.DUMMYFUNCTION("""COMPUTED_VALUE"""),30815.0)</f>
        <v>30815</v>
      </c>
    </row>
    <row r="1373">
      <c r="A1373" s="2">
        <f>IFERROR(__xludf.DUMMYFUNCTION("""COMPUTED_VALUE"""),42947.64583333333)</f>
        <v>42947.64583</v>
      </c>
      <c r="B1373" s="1">
        <f>IFERROR(__xludf.DUMMYFUNCTION("""COMPUTED_VALUE"""),10950.0)</f>
        <v>10950</v>
      </c>
      <c r="C1373" s="1">
        <f>IFERROR(__xludf.DUMMYFUNCTION("""COMPUTED_VALUE"""),11150.0)</f>
        <v>11150</v>
      </c>
      <c r="D1373" s="1">
        <f>IFERROR(__xludf.DUMMYFUNCTION("""COMPUTED_VALUE"""),10800.0)</f>
        <v>10800</v>
      </c>
      <c r="E1373" s="1">
        <f>IFERROR(__xludf.DUMMYFUNCTION("""COMPUTED_VALUE"""),11050.0)</f>
        <v>11050</v>
      </c>
      <c r="F1373" s="1">
        <f>IFERROR(__xludf.DUMMYFUNCTION("""COMPUTED_VALUE"""),28326.0)</f>
        <v>28326</v>
      </c>
    </row>
    <row r="1374">
      <c r="A1374" s="2">
        <f>IFERROR(__xludf.DUMMYFUNCTION("""COMPUTED_VALUE"""),42948.64583333333)</f>
        <v>42948.64583</v>
      </c>
      <c r="B1374" s="1">
        <f>IFERROR(__xludf.DUMMYFUNCTION("""COMPUTED_VALUE"""),11050.0)</f>
        <v>11050</v>
      </c>
      <c r="C1374" s="1">
        <f>IFERROR(__xludf.DUMMYFUNCTION("""COMPUTED_VALUE"""),11350.0)</f>
        <v>11350</v>
      </c>
      <c r="D1374" s="1">
        <f>IFERROR(__xludf.DUMMYFUNCTION("""COMPUTED_VALUE"""),11050.0)</f>
        <v>11050</v>
      </c>
      <c r="E1374" s="1">
        <f>IFERROR(__xludf.DUMMYFUNCTION("""COMPUTED_VALUE"""),11300.0)</f>
        <v>11300</v>
      </c>
      <c r="F1374" s="1">
        <f>IFERROR(__xludf.DUMMYFUNCTION("""COMPUTED_VALUE"""),20896.0)</f>
        <v>20896</v>
      </c>
    </row>
    <row r="1375">
      <c r="A1375" s="2">
        <f>IFERROR(__xludf.DUMMYFUNCTION("""COMPUTED_VALUE"""),42949.64583333333)</f>
        <v>42949.64583</v>
      </c>
      <c r="B1375" s="1">
        <f>IFERROR(__xludf.DUMMYFUNCTION("""COMPUTED_VALUE"""),11300.0)</f>
        <v>11300</v>
      </c>
      <c r="C1375" s="1">
        <f>IFERROR(__xludf.DUMMYFUNCTION("""COMPUTED_VALUE"""),11300.0)</f>
        <v>11300</v>
      </c>
      <c r="D1375" s="1">
        <f>IFERROR(__xludf.DUMMYFUNCTION("""COMPUTED_VALUE"""),11100.0)</f>
        <v>11100</v>
      </c>
      <c r="E1375" s="1">
        <f>IFERROR(__xludf.DUMMYFUNCTION("""COMPUTED_VALUE"""),11200.0)</f>
        <v>11200</v>
      </c>
      <c r="F1375" s="1">
        <f>IFERROR(__xludf.DUMMYFUNCTION("""COMPUTED_VALUE"""),11661.0)</f>
        <v>11661</v>
      </c>
    </row>
    <row r="1376">
      <c r="A1376" s="2">
        <f>IFERROR(__xludf.DUMMYFUNCTION("""COMPUTED_VALUE"""),42950.64583333333)</f>
        <v>42950.64583</v>
      </c>
      <c r="B1376" s="1">
        <f>IFERROR(__xludf.DUMMYFUNCTION("""COMPUTED_VALUE"""),11200.0)</f>
        <v>11200</v>
      </c>
      <c r="C1376" s="1">
        <f>IFERROR(__xludf.DUMMYFUNCTION("""COMPUTED_VALUE"""),11300.0)</f>
        <v>11300</v>
      </c>
      <c r="D1376" s="1">
        <f>IFERROR(__xludf.DUMMYFUNCTION("""COMPUTED_VALUE"""),10800.0)</f>
        <v>10800</v>
      </c>
      <c r="E1376" s="1">
        <f>IFERROR(__xludf.DUMMYFUNCTION("""COMPUTED_VALUE"""),10850.0)</f>
        <v>10850</v>
      </c>
      <c r="F1376" s="1">
        <f>IFERROR(__xludf.DUMMYFUNCTION("""COMPUTED_VALUE"""),35043.0)</f>
        <v>35043</v>
      </c>
    </row>
    <row r="1377">
      <c r="A1377" s="2">
        <f>IFERROR(__xludf.DUMMYFUNCTION("""COMPUTED_VALUE"""),42951.64583333333)</f>
        <v>42951.64583</v>
      </c>
      <c r="B1377" s="1">
        <f>IFERROR(__xludf.DUMMYFUNCTION("""COMPUTED_VALUE"""),10950.0)</f>
        <v>10950</v>
      </c>
      <c r="C1377" s="1">
        <f>IFERROR(__xludf.DUMMYFUNCTION("""COMPUTED_VALUE"""),11000.0)</f>
        <v>11000</v>
      </c>
      <c r="D1377" s="1">
        <f>IFERROR(__xludf.DUMMYFUNCTION("""COMPUTED_VALUE"""),10750.0)</f>
        <v>10750</v>
      </c>
      <c r="E1377" s="1">
        <f>IFERROR(__xludf.DUMMYFUNCTION("""COMPUTED_VALUE"""),10900.0)</f>
        <v>10900</v>
      </c>
      <c r="F1377" s="1">
        <f>IFERROR(__xludf.DUMMYFUNCTION("""COMPUTED_VALUE"""),35168.0)</f>
        <v>35168</v>
      </c>
    </row>
    <row r="1378">
      <c r="A1378" s="2">
        <f>IFERROR(__xludf.DUMMYFUNCTION("""COMPUTED_VALUE"""),42954.64583333333)</f>
        <v>42954.64583</v>
      </c>
      <c r="B1378" s="1">
        <f>IFERROR(__xludf.DUMMYFUNCTION("""COMPUTED_VALUE"""),10950.0)</f>
        <v>10950</v>
      </c>
      <c r="C1378" s="1">
        <f>IFERROR(__xludf.DUMMYFUNCTION("""COMPUTED_VALUE"""),11050.0)</f>
        <v>11050</v>
      </c>
      <c r="D1378" s="1">
        <f>IFERROR(__xludf.DUMMYFUNCTION("""COMPUTED_VALUE"""),10850.0)</f>
        <v>10850</v>
      </c>
      <c r="E1378" s="1">
        <f>IFERROR(__xludf.DUMMYFUNCTION("""COMPUTED_VALUE"""),10950.0)</f>
        <v>10950</v>
      </c>
      <c r="F1378" s="1">
        <f>IFERROR(__xludf.DUMMYFUNCTION("""COMPUTED_VALUE"""),7290.0)</f>
        <v>7290</v>
      </c>
    </row>
    <row r="1379">
      <c r="A1379" s="2">
        <f>IFERROR(__xludf.DUMMYFUNCTION("""COMPUTED_VALUE"""),42955.64583333333)</f>
        <v>42955.64583</v>
      </c>
      <c r="B1379" s="1">
        <f>IFERROR(__xludf.DUMMYFUNCTION("""COMPUTED_VALUE"""),10950.0)</f>
        <v>10950</v>
      </c>
      <c r="C1379" s="1">
        <f>IFERROR(__xludf.DUMMYFUNCTION("""COMPUTED_VALUE"""),11000.0)</f>
        <v>11000</v>
      </c>
      <c r="D1379" s="1">
        <f>IFERROR(__xludf.DUMMYFUNCTION("""COMPUTED_VALUE"""),10850.0)</f>
        <v>10850</v>
      </c>
      <c r="E1379" s="1">
        <f>IFERROR(__xludf.DUMMYFUNCTION("""COMPUTED_VALUE"""),10950.0)</f>
        <v>10950</v>
      </c>
      <c r="F1379" s="1">
        <f>IFERROR(__xludf.DUMMYFUNCTION("""COMPUTED_VALUE"""),7366.0)</f>
        <v>7366</v>
      </c>
    </row>
    <row r="1380">
      <c r="A1380" s="2">
        <f>IFERROR(__xludf.DUMMYFUNCTION("""COMPUTED_VALUE"""),42956.64583333333)</f>
        <v>42956.64583</v>
      </c>
      <c r="B1380" s="1">
        <f>IFERROR(__xludf.DUMMYFUNCTION("""COMPUTED_VALUE"""),10950.0)</f>
        <v>10950</v>
      </c>
      <c r="C1380" s="1">
        <f>IFERROR(__xludf.DUMMYFUNCTION("""COMPUTED_VALUE"""),11050.0)</f>
        <v>11050</v>
      </c>
      <c r="D1380" s="1">
        <f>IFERROR(__xludf.DUMMYFUNCTION("""COMPUTED_VALUE"""),10800.0)</f>
        <v>10800</v>
      </c>
      <c r="E1380" s="1">
        <f>IFERROR(__xludf.DUMMYFUNCTION("""COMPUTED_VALUE"""),10800.0)</f>
        <v>10800</v>
      </c>
      <c r="F1380" s="1">
        <f>IFERROR(__xludf.DUMMYFUNCTION("""COMPUTED_VALUE"""),20053.0)</f>
        <v>20053</v>
      </c>
    </row>
    <row r="1381">
      <c r="A1381" s="2">
        <f>IFERROR(__xludf.DUMMYFUNCTION("""COMPUTED_VALUE"""),42957.64583333333)</f>
        <v>42957.64583</v>
      </c>
      <c r="B1381" s="1">
        <f>IFERROR(__xludf.DUMMYFUNCTION("""COMPUTED_VALUE"""),10750.0)</f>
        <v>10750</v>
      </c>
      <c r="C1381" s="1">
        <f>IFERROR(__xludf.DUMMYFUNCTION("""COMPUTED_VALUE"""),10900.0)</f>
        <v>10900</v>
      </c>
      <c r="D1381" s="1">
        <f>IFERROR(__xludf.DUMMYFUNCTION("""COMPUTED_VALUE"""),10550.0)</f>
        <v>10550</v>
      </c>
      <c r="E1381" s="1">
        <f>IFERROR(__xludf.DUMMYFUNCTION("""COMPUTED_VALUE"""),10550.0)</f>
        <v>10550</v>
      </c>
      <c r="F1381" s="1">
        <f>IFERROR(__xludf.DUMMYFUNCTION("""COMPUTED_VALUE"""),29305.0)</f>
        <v>29305</v>
      </c>
    </row>
    <row r="1382">
      <c r="A1382" s="2">
        <f>IFERROR(__xludf.DUMMYFUNCTION("""COMPUTED_VALUE"""),42958.64583333333)</f>
        <v>42958.64583</v>
      </c>
      <c r="B1382" s="1">
        <f>IFERROR(__xludf.DUMMYFUNCTION("""COMPUTED_VALUE"""),10550.0)</f>
        <v>10550</v>
      </c>
      <c r="C1382" s="1">
        <f>IFERROR(__xludf.DUMMYFUNCTION("""COMPUTED_VALUE"""),10650.0)</f>
        <v>10650</v>
      </c>
      <c r="D1382" s="1">
        <f>IFERROR(__xludf.DUMMYFUNCTION("""COMPUTED_VALUE"""),10450.0)</f>
        <v>10450</v>
      </c>
      <c r="E1382" s="1">
        <f>IFERROR(__xludf.DUMMYFUNCTION("""COMPUTED_VALUE"""),10500.0)</f>
        <v>10500</v>
      </c>
      <c r="F1382" s="1">
        <f>IFERROR(__xludf.DUMMYFUNCTION("""COMPUTED_VALUE"""),22927.0)</f>
        <v>22927</v>
      </c>
    </row>
    <row r="1383">
      <c r="A1383" s="2">
        <f>IFERROR(__xludf.DUMMYFUNCTION("""COMPUTED_VALUE"""),42961.64583333333)</f>
        <v>42961.64583</v>
      </c>
      <c r="B1383" s="1">
        <f>IFERROR(__xludf.DUMMYFUNCTION("""COMPUTED_VALUE"""),10550.0)</f>
        <v>10550</v>
      </c>
      <c r="C1383" s="1">
        <f>IFERROR(__xludf.DUMMYFUNCTION("""COMPUTED_VALUE"""),10800.0)</f>
        <v>10800</v>
      </c>
      <c r="D1383" s="1">
        <f>IFERROR(__xludf.DUMMYFUNCTION("""COMPUTED_VALUE"""),10500.0)</f>
        <v>10500</v>
      </c>
      <c r="E1383" s="1">
        <f>IFERROR(__xludf.DUMMYFUNCTION("""COMPUTED_VALUE"""),10650.0)</f>
        <v>10650</v>
      </c>
      <c r="F1383" s="1">
        <f>IFERROR(__xludf.DUMMYFUNCTION("""COMPUTED_VALUE"""),11164.0)</f>
        <v>11164</v>
      </c>
    </row>
    <row r="1384">
      <c r="A1384" s="2">
        <f>IFERROR(__xludf.DUMMYFUNCTION("""COMPUTED_VALUE"""),42963.64583333333)</f>
        <v>42963.64583</v>
      </c>
      <c r="B1384" s="1">
        <f>IFERROR(__xludf.DUMMYFUNCTION("""COMPUTED_VALUE"""),10500.0)</f>
        <v>10500</v>
      </c>
      <c r="C1384" s="1">
        <f>IFERROR(__xludf.DUMMYFUNCTION("""COMPUTED_VALUE"""),10600.0)</f>
        <v>10600</v>
      </c>
      <c r="D1384" s="1">
        <f>IFERROR(__xludf.DUMMYFUNCTION("""COMPUTED_VALUE"""),10350.0)</f>
        <v>10350</v>
      </c>
      <c r="E1384" s="1">
        <f>IFERROR(__xludf.DUMMYFUNCTION("""COMPUTED_VALUE"""),10400.0)</f>
        <v>10400</v>
      </c>
      <c r="F1384" s="1">
        <f>IFERROR(__xludf.DUMMYFUNCTION("""COMPUTED_VALUE"""),41564.0)</f>
        <v>41564</v>
      </c>
    </row>
    <row r="1385">
      <c r="A1385" s="2">
        <f>IFERROR(__xludf.DUMMYFUNCTION("""COMPUTED_VALUE"""),42964.64583333333)</f>
        <v>42964.64583</v>
      </c>
      <c r="B1385" s="1">
        <f>IFERROR(__xludf.DUMMYFUNCTION("""COMPUTED_VALUE"""),10400.0)</f>
        <v>10400</v>
      </c>
      <c r="C1385" s="1">
        <f>IFERROR(__xludf.DUMMYFUNCTION("""COMPUTED_VALUE"""),10500.0)</f>
        <v>10500</v>
      </c>
      <c r="D1385" s="1">
        <f>IFERROR(__xludf.DUMMYFUNCTION("""COMPUTED_VALUE"""),10100.0)</f>
        <v>10100</v>
      </c>
      <c r="E1385" s="1">
        <f>IFERROR(__xludf.DUMMYFUNCTION("""COMPUTED_VALUE"""),10200.0)</f>
        <v>10200</v>
      </c>
      <c r="F1385" s="1">
        <f>IFERROR(__xludf.DUMMYFUNCTION("""COMPUTED_VALUE"""),84699.0)</f>
        <v>84699</v>
      </c>
    </row>
    <row r="1386">
      <c r="A1386" s="2">
        <f>IFERROR(__xludf.DUMMYFUNCTION("""COMPUTED_VALUE"""),42965.64583333333)</f>
        <v>42965.64583</v>
      </c>
      <c r="B1386" s="1">
        <f>IFERROR(__xludf.DUMMYFUNCTION("""COMPUTED_VALUE"""),10200.0)</f>
        <v>10200</v>
      </c>
      <c r="C1386" s="1">
        <f>IFERROR(__xludf.DUMMYFUNCTION("""COMPUTED_VALUE"""),10500.0)</f>
        <v>10500</v>
      </c>
      <c r="D1386" s="1">
        <f>IFERROR(__xludf.DUMMYFUNCTION("""COMPUTED_VALUE"""),10100.0)</f>
        <v>10100</v>
      </c>
      <c r="E1386" s="1">
        <f>IFERROR(__xludf.DUMMYFUNCTION("""COMPUTED_VALUE"""),10450.0)</f>
        <v>10450</v>
      </c>
      <c r="F1386" s="1">
        <f>IFERROR(__xludf.DUMMYFUNCTION("""COMPUTED_VALUE"""),22527.0)</f>
        <v>22527</v>
      </c>
    </row>
    <row r="1387">
      <c r="A1387" s="2">
        <f>IFERROR(__xludf.DUMMYFUNCTION("""COMPUTED_VALUE"""),42968.64583333333)</f>
        <v>42968.64583</v>
      </c>
      <c r="B1387" s="1">
        <f>IFERROR(__xludf.DUMMYFUNCTION("""COMPUTED_VALUE"""),10550.0)</f>
        <v>10550</v>
      </c>
      <c r="C1387" s="1">
        <f>IFERROR(__xludf.DUMMYFUNCTION("""COMPUTED_VALUE"""),10550.0)</f>
        <v>10550</v>
      </c>
      <c r="D1387" s="1">
        <f>IFERROR(__xludf.DUMMYFUNCTION("""COMPUTED_VALUE"""),10300.0)</f>
        <v>10300</v>
      </c>
      <c r="E1387" s="1">
        <f>IFERROR(__xludf.DUMMYFUNCTION("""COMPUTED_VALUE"""),10350.0)</f>
        <v>10350</v>
      </c>
      <c r="F1387" s="1">
        <f>IFERROR(__xludf.DUMMYFUNCTION("""COMPUTED_VALUE"""),12188.0)</f>
        <v>12188</v>
      </c>
    </row>
    <row r="1388">
      <c r="A1388" s="2">
        <f>IFERROR(__xludf.DUMMYFUNCTION("""COMPUTED_VALUE"""),42969.64583333333)</f>
        <v>42969.64583</v>
      </c>
      <c r="B1388" s="1">
        <f>IFERROR(__xludf.DUMMYFUNCTION("""COMPUTED_VALUE"""),10300.0)</f>
        <v>10300</v>
      </c>
      <c r="C1388" s="1">
        <f>IFERROR(__xludf.DUMMYFUNCTION("""COMPUTED_VALUE"""),10450.0)</f>
        <v>10450</v>
      </c>
      <c r="D1388" s="1">
        <f>IFERROR(__xludf.DUMMYFUNCTION("""COMPUTED_VALUE"""),10250.0)</f>
        <v>10250</v>
      </c>
      <c r="E1388" s="1">
        <f>IFERROR(__xludf.DUMMYFUNCTION("""COMPUTED_VALUE"""),10350.0)</f>
        <v>10350</v>
      </c>
      <c r="F1388" s="1">
        <f>IFERROR(__xludf.DUMMYFUNCTION("""COMPUTED_VALUE"""),8694.0)</f>
        <v>8694</v>
      </c>
    </row>
    <row r="1389">
      <c r="A1389" s="2">
        <f>IFERROR(__xludf.DUMMYFUNCTION("""COMPUTED_VALUE"""),42970.64583333333)</f>
        <v>42970.64583</v>
      </c>
      <c r="B1389" s="1">
        <f>IFERROR(__xludf.DUMMYFUNCTION("""COMPUTED_VALUE"""),10350.0)</f>
        <v>10350</v>
      </c>
      <c r="C1389" s="1">
        <f>IFERROR(__xludf.DUMMYFUNCTION("""COMPUTED_VALUE"""),12400.0)</f>
        <v>12400</v>
      </c>
      <c r="D1389" s="1">
        <f>IFERROR(__xludf.DUMMYFUNCTION("""COMPUTED_VALUE"""),10150.0)</f>
        <v>10150</v>
      </c>
      <c r="E1389" s="1">
        <f>IFERROR(__xludf.DUMMYFUNCTION("""COMPUTED_VALUE"""),10650.0)</f>
        <v>10650</v>
      </c>
      <c r="F1389" s="1">
        <f>IFERROR(__xludf.DUMMYFUNCTION("""COMPUTED_VALUE"""),725699.0)</f>
        <v>725699</v>
      </c>
    </row>
    <row r="1390">
      <c r="A1390" s="2">
        <f>IFERROR(__xludf.DUMMYFUNCTION("""COMPUTED_VALUE"""),42971.64583333333)</f>
        <v>42971.64583</v>
      </c>
      <c r="B1390" s="1">
        <f>IFERROR(__xludf.DUMMYFUNCTION("""COMPUTED_VALUE"""),10750.0)</f>
        <v>10750</v>
      </c>
      <c r="C1390" s="1">
        <f>IFERROR(__xludf.DUMMYFUNCTION("""COMPUTED_VALUE"""),10850.0)</f>
        <v>10850</v>
      </c>
      <c r="D1390" s="1">
        <f>IFERROR(__xludf.DUMMYFUNCTION("""COMPUTED_VALUE"""),10550.0)</f>
        <v>10550</v>
      </c>
      <c r="E1390" s="1">
        <f>IFERROR(__xludf.DUMMYFUNCTION("""COMPUTED_VALUE"""),10650.0)</f>
        <v>10650</v>
      </c>
      <c r="F1390" s="1">
        <f>IFERROR(__xludf.DUMMYFUNCTION("""COMPUTED_VALUE"""),91479.0)</f>
        <v>91479</v>
      </c>
    </row>
    <row r="1391">
      <c r="A1391" s="2">
        <f>IFERROR(__xludf.DUMMYFUNCTION("""COMPUTED_VALUE"""),42972.64583333333)</f>
        <v>42972.64583</v>
      </c>
      <c r="B1391" s="1">
        <f>IFERROR(__xludf.DUMMYFUNCTION("""COMPUTED_VALUE"""),10750.0)</f>
        <v>10750</v>
      </c>
      <c r="C1391" s="1">
        <f>IFERROR(__xludf.DUMMYFUNCTION("""COMPUTED_VALUE"""),10900.0)</f>
        <v>10900</v>
      </c>
      <c r="D1391" s="1">
        <f>IFERROR(__xludf.DUMMYFUNCTION("""COMPUTED_VALUE"""),10600.0)</f>
        <v>10600</v>
      </c>
      <c r="E1391" s="1">
        <f>IFERROR(__xludf.DUMMYFUNCTION("""COMPUTED_VALUE"""),10750.0)</f>
        <v>10750</v>
      </c>
      <c r="F1391" s="1">
        <f>IFERROR(__xludf.DUMMYFUNCTION("""COMPUTED_VALUE"""),57313.0)</f>
        <v>57313</v>
      </c>
    </row>
    <row r="1392">
      <c r="A1392" s="2">
        <f>IFERROR(__xludf.DUMMYFUNCTION("""COMPUTED_VALUE"""),42975.64583333333)</f>
        <v>42975.64583</v>
      </c>
      <c r="B1392" s="1">
        <f>IFERROR(__xludf.DUMMYFUNCTION("""COMPUTED_VALUE"""),10850.0)</f>
        <v>10850</v>
      </c>
      <c r="C1392" s="1">
        <f>IFERROR(__xludf.DUMMYFUNCTION("""COMPUTED_VALUE"""),10950.0)</f>
        <v>10950</v>
      </c>
      <c r="D1392" s="1">
        <f>IFERROR(__xludf.DUMMYFUNCTION("""COMPUTED_VALUE"""),10550.0)</f>
        <v>10550</v>
      </c>
      <c r="E1392" s="1">
        <f>IFERROR(__xludf.DUMMYFUNCTION("""COMPUTED_VALUE"""),10600.0)</f>
        <v>10600</v>
      </c>
      <c r="F1392" s="1">
        <f>IFERROR(__xludf.DUMMYFUNCTION("""COMPUTED_VALUE"""),49360.0)</f>
        <v>49360</v>
      </c>
    </row>
    <row r="1393">
      <c r="A1393" s="2">
        <f>IFERROR(__xludf.DUMMYFUNCTION("""COMPUTED_VALUE"""),42976.64583333333)</f>
        <v>42976.64583</v>
      </c>
      <c r="B1393" s="1">
        <f>IFERROR(__xludf.DUMMYFUNCTION("""COMPUTED_VALUE"""),10550.0)</f>
        <v>10550</v>
      </c>
      <c r="C1393" s="1">
        <f>IFERROR(__xludf.DUMMYFUNCTION("""COMPUTED_VALUE"""),10650.0)</f>
        <v>10650</v>
      </c>
      <c r="D1393" s="1">
        <f>IFERROR(__xludf.DUMMYFUNCTION("""COMPUTED_VALUE"""),10350.0)</f>
        <v>10350</v>
      </c>
      <c r="E1393" s="1">
        <f>IFERROR(__xludf.DUMMYFUNCTION("""COMPUTED_VALUE"""),10500.0)</f>
        <v>10500</v>
      </c>
      <c r="F1393" s="1">
        <f>IFERROR(__xludf.DUMMYFUNCTION("""COMPUTED_VALUE"""),44623.0)</f>
        <v>44623</v>
      </c>
    </row>
    <row r="1394">
      <c r="A1394" s="2">
        <f>IFERROR(__xludf.DUMMYFUNCTION("""COMPUTED_VALUE"""),42977.64583333333)</f>
        <v>42977.64583</v>
      </c>
      <c r="B1394" s="1">
        <f>IFERROR(__xludf.DUMMYFUNCTION("""COMPUTED_VALUE"""),10550.0)</f>
        <v>10550</v>
      </c>
      <c r="C1394" s="1">
        <f>IFERROR(__xludf.DUMMYFUNCTION("""COMPUTED_VALUE"""),10550.0)</f>
        <v>10550</v>
      </c>
      <c r="D1394" s="1">
        <f>IFERROR(__xludf.DUMMYFUNCTION("""COMPUTED_VALUE"""),10350.0)</f>
        <v>10350</v>
      </c>
      <c r="E1394" s="1">
        <f>IFERROR(__xludf.DUMMYFUNCTION("""COMPUTED_VALUE"""),10550.0)</f>
        <v>10550</v>
      </c>
      <c r="F1394" s="1">
        <f>IFERROR(__xludf.DUMMYFUNCTION("""COMPUTED_VALUE"""),18590.0)</f>
        <v>18590</v>
      </c>
    </row>
    <row r="1395">
      <c r="A1395" s="2">
        <f>IFERROR(__xludf.DUMMYFUNCTION("""COMPUTED_VALUE"""),42978.64583333333)</f>
        <v>42978.64583</v>
      </c>
      <c r="B1395" s="1">
        <f>IFERROR(__xludf.DUMMYFUNCTION("""COMPUTED_VALUE"""),10500.0)</f>
        <v>10500</v>
      </c>
      <c r="C1395" s="1">
        <f>IFERROR(__xludf.DUMMYFUNCTION("""COMPUTED_VALUE"""),10600.0)</f>
        <v>10600</v>
      </c>
      <c r="D1395" s="1">
        <f>IFERROR(__xludf.DUMMYFUNCTION("""COMPUTED_VALUE"""),10400.0)</f>
        <v>10400</v>
      </c>
      <c r="E1395" s="1">
        <f>IFERROR(__xludf.DUMMYFUNCTION("""COMPUTED_VALUE"""),10500.0)</f>
        <v>10500</v>
      </c>
      <c r="F1395" s="1">
        <f>IFERROR(__xludf.DUMMYFUNCTION("""COMPUTED_VALUE"""),26311.0)</f>
        <v>26311</v>
      </c>
    </row>
    <row r="1396">
      <c r="A1396" s="2">
        <f>IFERROR(__xludf.DUMMYFUNCTION("""COMPUTED_VALUE"""),42979.64583333333)</f>
        <v>42979.64583</v>
      </c>
      <c r="B1396" s="1">
        <f>IFERROR(__xludf.DUMMYFUNCTION("""COMPUTED_VALUE"""),10450.0)</f>
        <v>10450</v>
      </c>
      <c r="C1396" s="1">
        <f>IFERROR(__xludf.DUMMYFUNCTION("""COMPUTED_VALUE"""),10650.0)</f>
        <v>10650</v>
      </c>
      <c r="D1396" s="1">
        <f>IFERROR(__xludf.DUMMYFUNCTION("""COMPUTED_VALUE"""),10200.0)</f>
        <v>10200</v>
      </c>
      <c r="E1396" s="1">
        <f>IFERROR(__xludf.DUMMYFUNCTION("""COMPUTED_VALUE"""),10350.0)</f>
        <v>10350</v>
      </c>
      <c r="F1396" s="1">
        <f>IFERROR(__xludf.DUMMYFUNCTION("""COMPUTED_VALUE"""),72379.0)</f>
        <v>72379</v>
      </c>
    </row>
    <row r="1397">
      <c r="A1397" s="2">
        <f>IFERROR(__xludf.DUMMYFUNCTION("""COMPUTED_VALUE"""),42982.64583333333)</f>
        <v>42982.64583</v>
      </c>
      <c r="B1397" s="1">
        <f>IFERROR(__xludf.DUMMYFUNCTION("""COMPUTED_VALUE"""),10050.0)</f>
        <v>10050</v>
      </c>
      <c r="C1397" s="1">
        <f>IFERROR(__xludf.DUMMYFUNCTION("""COMPUTED_VALUE"""),10650.0)</f>
        <v>10650</v>
      </c>
      <c r="D1397" s="1">
        <f>IFERROR(__xludf.DUMMYFUNCTION("""COMPUTED_VALUE"""),10050.0)</f>
        <v>10050</v>
      </c>
      <c r="E1397" s="1">
        <f>IFERROR(__xludf.DUMMYFUNCTION("""COMPUTED_VALUE"""),10400.0)</f>
        <v>10400</v>
      </c>
      <c r="F1397" s="1">
        <f>IFERROR(__xludf.DUMMYFUNCTION("""COMPUTED_VALUE"""),68612.0)</f>
        <v>68612</v>
      </c>
    </row>
    <row r="1398">
      <c r="A1398" s="2">
        <f>IFERROR(__xludf.DUMMYFUNCTION("""COMPUTED_VALUE"""),42983.64583333333)</f>
        <v>42983.64583</v>
      </c>
      <c r="B1398" s="1">
        <f>IFERROR(__xludf.DUMMYFUNCTION("""COMPUTED_VALUE"""),10400.0)</f>
        <v>10400</v>
      </c>
      <c r="C1398" s="1">
        <f>IFERROR(__xludf.DUMMYFUNCTION("""COMPUTED_VALUE"""),10750.0)</f>
        <v>10750</v>
      </c>
      <c r="D1398" s="1">
        <f>IFERROR(__xludf.DUMMYFUNCTION("""COMPUTED_VALUE"""),10350.0)</f>
        <v>10350</v>
      </c>
      <c r="E1398" s="1">
        <f>IFERROR(__xludf.DUMMYFUNCTION("""COMPUTED_VALUE"""),10600.0)</f>
        <v>10600</v>
      </c>
      <c r="F1398" s="1">
        <f>IFERROR(__xludf.DUMMYFUNCTION("""COMPUTED_VALUE"""),42720.0)</f>
        <v>42720</v>
      </c>
    </row>
    <row r="1399">
      <c r="A1399" s="2">
        <f>IFERROR(__xludf.DUMMYFUNCTION("""COMPUTED_VALUE"""),42984.64583333333)</f>
        <v>42984.64583</v>
      </c>
      <c r="B1399" s="1">
        <f>IFERROR(__xludf.DUMMYFUNCTION("""COMPUTED_VALUE"""),10600.0)</f>
        <v>10600</v>
      </c>
      <c r="C1399" s="1">
        <f>IFERROR(__xludf.DUMMYFUNCTION("""COMPUTED_VALUE"""),10700.0)</f>
        <v>10700</v>
      </c>
      <c r="D1399" s="1">
        <f>IFERROR(__xludf.DUMMYFUNCTION("""COMPUTED_VALUE"""),10450.0)</f>
        <v>10450</v>
      </c>
      <c r="E1399" s="1">
        <f>IFERROR(__xludf.DUMMYFUNCTION("""COMPUTED_VALUE"""),10650.0)</f>
        <v>10650</v>
      </c>
      <c r="F1399" s="1">
        <f>IFERROR(__xludf.DUMMYFUNCTION("""COMPUTED_VALUE"""),14654.0)</f>
        <v>14654</v>
      </c>
    </row>
    <row r="1400">
      <c r="A1400" s="2">
        <f>IFERROR(__xludf.DUMMYFUNCTION("""COMPUTED_VALUE"""),42985.64583333333)</f>
        <v>42985.64583</v>
      </c>
      <c r="B1400" s="1">
        <f>IFERROR(__xludf.DUMMYFUNCTION("""COMPUTED_VALUE"""),10550.0)</f>
        <v>10550</v>
      </c>
      <c r="C1400" s="1">
        <f>IFERROR(__xludf.DUMMYFUNCTION("""COMPUTED_VALUE"""),10650.0)</f>
        <v>10650</v>
      </c>
      <c r="D1400" s="1">
        <f>IFERROR(__xludf.DUMMYFUNCTION("""COMPUTED_VALUE"""),10350.0)</f>
        <v>10350</v>
      </c>
      <c r="E1400" s="1">
        <f>IFERROR(__xludf.DUMMYFUNCTION("""COMPUTED_VALUE"""),10400.0)</f>
        <v>10400</v>
      </c>
      <c r="F1400" s="1">
        <f>IFERROR(__xludf.DUMMYFUNCTION("""COMPUTED_VALUE"""),47330.0)</f>
        <v>47330</v>
      </c>
    </row>
    <row r="1401">
      <c r="A1401" s="2">
        <f>IFERROR(__xludf.DUMMYFUNCTION("""COMPUTED_VALUE"""),42986.64583333333)</f>
        <v>42986.64583</v>
      </c>
      <c r="B1401" s="1">
        <f>IFERROR(__xludf.DUMMYFUNCTION("""COMPUTED_VALUE"""),10400.0)</f>
        <v>10400</v>
      </c>
      <c r="C1401" s="1">
        <f>IFERROR(__xludf.DUMMYFUNCTION("""COMPUTED_VALUE"""),10500.0)</f>
        <v>10500</v>
      </c>
      <c r="D1401" s="1">
        <f>IFERROR(__xludf.DUMMYFUNCTION("""COMPUTED_VALUE"""),10250.0)</f>
        <v>10250</v>
      </c>
      <c r="E1401" s="1">
        <f>IFERROR(__xludf.DUMMYFUNCTION("""COMPUTED_VALUE"""),10250.0)</f>
        <v>10250</v>
      </c>
      <c r="F1401" s="1">
        <f>IFERROR(__xludf.DUMMYFUNCTION("""COMPUTED_VALUE"""),32445.0)</f>
        <v>32445</v>
      </c>
    </row>
    <row r="1402">
      <c r="A1402" s="2">
        <f>IFERROR(__xludf.DUMMYFUNCTION("""COMPUTED_VALUE"""),42989.64583333333)</f>
        <v>42989.64583</v>
      </c>
      <c r="B1402" s="1">
        <f>IFERROR(__xludf.DUMMYFUNCTION("""COMPUTED_VALUE"""),10300.0)</f>
        <v>10300</v>
      </c>
      <c r="C1402" s="1">
        <f>IFERROR(__xludf.DUMMYFUNCTION("""COMPUTED_VALUE"""),10350.0)</f>
        <v>10350</v>
      </c>
      <c r="D1402" s="1">
        <f>IFERROR(__xludf.DUMMYFUNCTION("""COMPUTED_VALUE"""),10200.0)</f>
        <v>10200</v>
      </c>
      <c r="E1402" s="1">
        <f>IFERROR(__xludf.DUMMYFUNCTION("""COMPUTED_VALUE"""),10200.0)</f>
        <v>10200</v>
      </c>
      <c r="F1402" s="1">
        <f>IFERROR(__xludf.DUMMYFUNCTION("""COMPUTED_VALUE"""),19413.0)</f>
        <v>19413</v>
      </c>
    </row>
    <row r="1403">
      <c r="A1403" s="2">
        <f>IFERROR(__xludf.DUMMYFUNCTION("""COMPUTED_VALUE"""),42990.64583333333)</f>
        <v>42990.64583</v>
      </c>
      <c r="B1403" s="1">
        <f>IFERROR(__xludf.DUMMYFUNCTION("""COMPUTED_VALUE"""),10250.0)</f>
        <v>10250</v>
      </c>
      <c r="C1403" s="1">
        <f>IFERROR(__xludf.DUMMYFUNCTION("""COMPUTED_VALUE"""),10300.0)</f>
        <v>10300</v>
      </c>
      <c r="D1403" s="1">
        <f>IFERROR(__xludf.DUMMYFUNCTION("""COMPUTED_VALUE"""),10150.0)</f>
        <v>10150</v>
      </c>
      <c r="E1403" s="1">
        <f>IFERROR(__xludf.DUMMYFUNCTION("""COMPUTED_VALUE"""),10300.0)</f>
        <v>10300</v>
      </c>
      <c r="F1403" s="1">
        <f>IFERROR(__xludf.DUMMYFUNCTION("""COMPUTED_VALUE"""),28485.0)</f>
        <v>28485</v>
      </c>
    </row>
    <row r="1404">
      <c r="A1404" s="2">
        <f>IFERROR(__xludf.DUMMYFUNCTION("""COMPUTED_VALUE"""),42991.64583333333)</f>
        <v>42991.64583</v>
      </c>
      <c r="B1404" s="1">
        <f>IFERROR(__xludf.DUMMYFUNCTION("""COMPUTED_VALUE"""),10250.0)</f>
        <v>10250</v>
      </c>
      <c r="C1404" s="1">
        <f>IFERROR(__xludf.DUMMYFUNCTION("""COMPUTED_VALUE"""),10350.0)</f>
        <v>10350</v>
      </c>
      <c r="D1404" s="1">
        <f>IFERROR(__xludf.DUMMYFUNCTION("""COMPUTED_VALUE"""),10100.0)</f>
        <v>10100</v>
      </c>
      <c r="E1404" s="1">
        <f>IFERROR(__xludf.DUMMYFUNCTION("""COMPUTED_VALUE"""),10100.0)</f>
        <v>10100</v>
      </c>
      <c r="F1404" s="1">
        <f>IFERROR(__xludf.DUMMYFUNCTION("""COMPUTED_VALUE"""),39448.0)</f>
        <v>39448</v>
      </c>
    </row>
    <row r="1405">
      <c r="A1405" s="2">
        <f>IFERROR(__xludf.DUMMYFUNCTION("""COMPUTED_VALUE"""),42992.64583333333)</f>
        <v>42992.64583</v>
      </c>
      <c r="B1405" s="1">
        <f>IFERROR(__xludf.DUMMYFUNCTION("""COMPUTED_VALUE"""),10100.0)</f>
        <v>10100</v>
      </c>
      <c r="C1405" s="1">
        <f>IFERROR(__xludf.DUMMYFUNCTION("""COMPUTED_VALUE"""),10200.0)</f>
        <v>10200</v>
      </c>
      <c r="D1405" s="1">
        <f>IFERROR(__xludf.DUMMYFUNCTION("""COMPUTED_VALUE"""),9970.0)</f>
        <v>9970</v>
      </c>
      <c r="E1405" s="1">
        <f>IFERROR(__xludf.DUMMYFUNCTION("""COMPUTED_VALUE"""),10000.0)</f>
        <v>10000</v>
      </c>
      <c r="F1405" s="1">
        <f>IFERROR(__xludf.DUMMYFUNCTION("""COMPUTED_VALUE"""),50985.0)</f>
        <v>50985</v>
      </c>
    </row>
    <row r="1406">
      <c r="A1406" s="2">
        <f>IFERROR(__xludf.DUMMYFUNCTION("""COMPUTED_VALUE"""),42993.64583333333)</f>
        <v>42993.64583</v>
      </c>
      <c r="B1406" s="1">
        <f>IFERROR(__xludf.DUMMYFUNCTION("""COMPUTED_VALUE"""),10000.0)</f>
        <v>10000</v>
      </c>
      <c r="C1406" s="1">
        <f>IFERROR(__xludf.DUMMYFUNCTION("""COMPUTED_VALUE"""),10100.0)</f>
        <v>10100</v>
      </c>
      <c r="D1406" s="1">
        <f>IFERROR(__xludf.DUMMYFUNCTION("""COMPUTED_VALUE"""),9950.0)</f>
        <v>9950</v>
      </c>
      <c r="E1406" s="1">
        <f>IFERROR(__xludf.DUMMYFUNCTION("""COMPUTED_VALUE"""),10100.0)</f>
        <v>10100</v>
      </c>
      <c r="F1406" s="1">
        <f>IFERROR(__xludf.DUMMYFUNCTION("""COMPUTED_VALUE"""),26325.0)</f>
        <v>26325</v>
      </c>
    </row>
    <row r="1407">
      <c r="A1407" s="2">
        <f>IFERROR(__xludf.DUMMYFUNCTION("""COMPUTED_VALUE"""),42996.64583333333)</f>
        <v>42996.64583</v>
      </c>
      <c r="B1407" s="1">
        <f>IFERROR(__xludf.DUMMYFUNCTION("""COMPUTED_VALUE"""),10150.0)</f>
        <v>10150</v>
      </c>
      <c r="C1407" s="1">
        <f>IFERROR(__xludf.DUMMYFUNCTION("""COMPUTED_VALUE"""),10150.0)</f>
        <v>10150</v>
      </c>
      <c r="D1407" s="1">
        <f>IFERROR(__xludf.DUMMYFUNCTION("""COMPUTED_VALUE"""),9930.0)</f>
        <v>9930</v>
      </c>
      <c r="E1407" s="1">
        <f>IFERROR(__xludf.DUMMYFUNCTION("""COMPUTED_VALUE"""),9940.0)</f>
        <v>9940</v>
      </c>
      <c r="F1407" s="1">
        <f>IFERROR(__xludf.DUMMYFUNCTION("""COMPUTED_VALUE"""),35460.0)</f>
        <v>35460</v>
      </c>
    </row>
    <row r="1408">
      <c r="A1408" s="2">
        <f>IFERROR(__xludf.DUMMYFUNCTION("""COMPUTED_VALUE"""),42997.64583333333)</f>
        <v>42997.64583</v>
      </c>
      <c r="B1408" s="1">
        <f>IFERROR(__xludf.DUMMYFUNCTION("""COMPUTED_VALUE"""),9930.0)</f>
        <v>9930</v>
      </c>
      <c r="C1408" s="1">
        <f>IFERROR(__xludf.DUMMYFUNCTION("""COMPUTED_VALUE"""),10450.0)</f>
        <v>10450</v>
      </c>
      <c r="D1408" s="1">
        <f>IFERROR(__xludf.DUMMYFUNCTION("""COMPUTED_VALUE"""),9930.0)</f>
        <v>9930</v>
      </c>
      <c r="E1408" s="1">
        <f>IFERROR(__xludf.DUMMYFUNCTION("""COMPUTED_VALUE"""),10000.0)</f>
        <v>10000</v>
      </c>
      <c r="F1408" s="1">
        <f>IFERROR(__xludf.DUMMYFUNCTION("""COMPUTED_VALUE"""),76584.0)</f>
        <v>76584</v>
      </c>
    </row>
    <row r="1409">
      <c r="A1409" s="2">
        <f>IFERROR(__xludf.DUMMYFUNCTION("""COMPUTED_VALUE"""),42998.64583333333)</f>
        <v>42998.64583</v>
      </c>
      <c r="B1409" s="1">
        <f>IFERROR(__xludf.DUMMYFUNCTION("""COMPUTED_VALUE"""),10000.0)</f>
        <v>10000</v>
      </c>
      <c r="C1409" s="1">
        <f>IFERROR(__xludf.DUMMYFUNCTION("""COMPUTED_VALUE"""),10100.0)</f>
        <v>10100</v>
      </c>
      <c r="D1409" s="1">
        <f>IFERROR(__xludf.DUMMYFUNCTION("""COMPUTED_VALUE"""),9680.0)</f>
        <v>9680</v>
      </c>
      <c r="E1409" s="1">
        <f>IFERROR(__xludf.DUMMYFUNCTION("""COMPUTED_VALUE"""),9720.0)</f>
        <v>9720</v>
      </c>
      <c r="F1409" s="1">
        <f>IFERROR(__xludf.DUMMYFUNCTION("""COMPUTED_VALUE"""),86436.0)</f>
        <v>86436</v>
      </c>
    </row>
    <row r="1410">
      <c r="A1410" s="2">
        <f>IFERROR(__xludf.DUMMYFUNCTION("""COMPUTED_VALUE"""),42999.64583333333)</f>
        <v>42999.64583</v>
      </c>
      <c r="B1410" s="1">
        <f>IFERROR(__xludf.DUMMYFUNCTION("""COMPUTED_VALUE"""),9730.0)</f>
        <v>9730</v>
      </c>
      <c r="C1410" s="1">
        <f>IFERROR(__xludf.DUMMYFUNCTION("""COMPUTED_VALUE"""),9760.0)</f>
        <v>9760</v>
      </c>
      <c r="D1410" s="1">
        <f>IFERROR(__xludf.DUMMYFUNCTION("""COMPUTED_VALUE"""),9300.0)</f>
        <v>9300</v>
      </c>
      <c r="E1410" s="1">
        <f>IFERROR(__xludf.DUMMYFUNCTION("""COMPUTED_VALUE"""),9310.0)</f>
        <v>9310</v>
      </c>
      <c r="F1410" s="1">
        <f>IFERROR(__xludf.DUMMYFUNCTION("""COMPUTED_VALUE"""),82509.0)</f>
        <v>82509</v>
      </c>
    </row>
    <row r="1411">
      <c r="A1411" s="2">
        <f>IFERROR(__xludf.DUMMYFUNCTION("""COMPUTED_VALUE"""),43000.64583333333)</f>
        <v>43000.64583</v>
      </c>
      <c r="B1411" s="1">
        <f>IFERROR(__xludf.DUMMYFUNCTION("""COMPUTED_VALUE"""),9170.0)</f>
        <v>9170</v>
      </c>
      <c r="C1411" s="1">
        <f>IFERROR(__xludf.DUMMYFUNCTION("""COMPUTED_VALUE"""),9620.0)</f>
        <v>9620</v>
      </c>
      <c r="D1411" s="1">
        <f>IFERROR(__xludf.DUMMYFUNCTION("""COMPUTED_VALUE"""),9170.0)</f>
        <v>9170</v>
      </c>
      <c r="E1411" s="1">
        <f>IFERROR(__xludf.DUMMYFUNCTION("""COMPUTED_VALUE"""),9440.0)</f>
        <v>9440</v>
      </c>
      <c r="F1411" s="1">
        <f>IFERROR(__xludf.DUMMYFUNCTION("""COMPUTED_VALUE"""),43553.0)</f>
        <v>43553</v>
      </c>
    </row>
    <row r="1412">
      <c r="A1412" s="2">
        <f>IFERROR(__xludf.DUMMYFUNCTION("""COMPUTED_VALUE"""),43003.64583333333)</f>
        <v>43003.64583</v>
      </c>
      <c r="B1412" s="1">
        <f>IFERROR(__xludf.DUMMYFUNCTION("""COMPUTED_VALUE"""),9440.0)</f>
        <v>9440</v>
      </c>
      <c r="C1412" s="1">
        <f>IFERROR(__xludf.DUMMYFUNCTION("""COMPUTED_VALUE"""),9530.0)</f>
        <v>9530</v>
      </c>
      <c r="D1412" s="1">
        <f>IFERROR(__xludf.DUMMYFUNCTION("""COMPUTED_VALUE"""),9050.0)</f>
        <v>9050</v>
      </c>
      <c r="E1412" s="1">
        <f>IFERROR(__xludf.DUMMYFUNCTION("""COMPUTED_VALUE"""),9170.0)</f>
        <v>9170</v>
      </c>
      <c r="F1412" s="1">
        <f>IFERROR(__xludf.DUMMYFUNCTION("""COMPUTED_VALUE"""),38328.0)</f>
        <v>38328</v>
      </c>
    </row>
    <row r="1413">
      <c r="A1413" s="2">
        <f>IFERROR(__xludf.DUMMYFUNCTION("""COMPUTED_VALUE"""),43004.64583333333)</f>
        <v>43004.64583</v>
      </c>
      <c r="B1413" s="1">
        <f>IFERROR(__xludf.DUMMYFUNCTION("""COMPUTED_VALUE"""),9150.0)</f>
        <v>9150</v>
      </c>
      <c r="C1413" s="1">
        <f>IFERROR(__xludf.DUMMYFUNCTION("""COMPUTED_VALUE"""),9170.0)</f>
        <v>9170</v>
      </c>
      <c r="D1413" s="1">
        <f>IFERROR(__xludf.DUMMYFUNCTION("""COMPUTED_VALUE"""),8930.0)</f>
        <v>8930</v>
      </c>
      <c r="E1413" s="1">
        <f>IFERROR(__xludf.DUMMYFUNCTION("""COMPUTED_VALUE"""),8950.0)</f>
        <v>8950</v>
      </c>
      <c r="F1413" s="1">
        <f>IFERROR(__xludf.DUMMYFUNCTION("""COMPUTED_VALUE"""),53508.0)</f>
        <v>53508</v>
      </c>
    </row>
    <row r="1414">
      <c r="A1414" s="2">
        <f>IFERROR(__xludf.DUMMYFUNCTION("""COMPUTED_VALUE"""),43005.64583333333)</f>
        <v>43005.64583</v>
      </c>
      <c r="B1414" s="1">
        <f>IFERROR(__xludf.DUMMYFUNCTION("""COMPUTED_VALUE"""),8960.0)</f>
        <v>8960</v>
      </c>
      <c r="C1414" s="1">
        <f>IFERROR(__xludf.DUMMYFUNCTION("""COMPUTED_VALUE"""),9110.0)</f>
        <v>9110</v>
      </c>
      <c r="D1414" s="1">
        <f>IFERROR(__xludf.DUMMYFUNCTION("""COMPUTED_VALUE"""),8960.0)</f>
        <v>8960</v>
      </c>
      <c r="E1414" s="1">
        <f>IFERROR(__xludf.DUMMYFUNCTION("""COMPUTED_VALUE"""),9050.0)</f>
        <v>9050</v>
      </c>
      <c r="F1414" s="1">
        <f>IFERROR(__xludf.DUMMYFUNCTION("""COMPUTED_VALUE"""),11750.0)</f>
        <v>11750</v>
      </c>
    </row>
    <row r="1415">
      <c r="A1415" s="2">
        <f>IFERROR(__xludf.DUMMYFUNCTION("""COMPUTED_VALUE"""),43006.64583333333)</f>
        <v>43006.64583</v>
      </c>
      <c r="B1415" s="1">
        <f>IFERROR(__xludf.DUMMYFUNCTION("""COMPUTED_VALUE"""),9050.0)</f>
        <v>9050</v>
      </c>
      <c r="C1415" s="1">
        <f>IFERROR(__xludf.DUMMYFUNCTION("""COMPUTED_VALUE"""),9120.0)</f>
        <v>9120</v>
      </c>
      <c r="D1415" s="1">
        <f>IFERROR(__xludf.DUMMYFUNCTION("""COMPUTED_VALUE"""),8950.0)</f>
        <v>8950</v>
      </c>
      <c r="E1415" s="1">
        <f>IFERROR(__xludf.DUMMYFUNCTION("""COMPUTED_VALUE"""),9050.0)</f>
        <v>9050</v>
      </c>
      <c r="F1415" s="1">
        <f>IFERROR(__xludf.DUMMYFUNCTION("""COMPUTED_VALUE"""),19279.0)</f>
        <v>19279</v>
      </c>
    </row>
    <row r="1416">
      <c r="A1416" s="2">
        <f>IFERROR(__xludf.DUMMYFUNCTION("""COMPUTED_VALUE"""),43007.64583333333)</f>
        <v>43007.64583</v>
      </c>
      <c r="B1416" s="1">
        <f>IFERROR(__xludf.DUMMYFUNCTION("""COMPUTED_VALUE"""),9050.0)</f>
        <v>9050</v>
      </c>
      <c r="C1416" s="1">
        <f>IFERROR(__xludf.DUMMYFUNCTION("""COMPUTED_VALUE"""),9420.0)</f>
        <v>9420</v>
      </c>
      <c r="D1416" s="1">
        <f>IFERROR(__xludf.DUMMYFUNCTION("""COMPUTED_VALUE"""),8960.0)</f>
        <v>8960</v>
      </c>
      <c r="E1416" s="1">
        <f>IFERROR(__xludf.DUMMYFUNCTION("""COMPUTED_VALUE"""),9180.0)</f>
        <v>9180</v>
      </c>
      <c r="F1416" s="1">
        <f>IFERROR(__xludf.DUMMYFUNCTION("""COMPUTED_VALUE"""),15469.0)</f>
        <v>15469</v>
      </c>
    </row>
    <row r="1417">
      <c r="A1417" s="2">
        <f>IFERROR(__xludf.DUMMYFUNCTION("""COMPUTED_VALUE"""),43018.64583333333)</f>
        <v>43018.64583</v>
      </c>
      <c r="B1417" s="1">
        <f>IFERROR(__xludf.DUMMYFUNCTION("""COMPUTED_VALUE"""),9210.0)</f>
        <v>9210</v>
      </c>
      <c r="C1417" s="1">
        <f>IFERROR(__xludf.DUMMYFUNCTION("""COMPUTED_VALUE"""),9280.0)</f>
        <v>9280</v>
      </c>
      <c r="D1417" s="1">
        <f>IFERROR(__xludf.DUMMYFUNCTION("""COMPUTED_VALUE"""),9090.0)</f>
        <v>9090</v>
      </c>
      <c r="E1417" s="1">
        <f>IFERROR(__xludf.DUMMYFUNCTION("""COMPUTED_VALUE"""),9200.0)</f>
        <v>9200</v>
      </c>
      <c r="F1417" s="1">
        <f>IFERROR(__xludf.DUMMYFUNCTION("""COMPUTED_VALUE"""),11471.0)</f>
        <v>11471</v>
      </c>
    </row>
    <row r="1418">
      <c r="A1418" s="2">
        <f>IFERROR(__xludf.DUMMYFUNCTION("""COMPUTED_VALUE"""),43019.64583333333)</f>
        <v>43019.64583</v>
      </c>
      <c r="B1418" s="1">
        <f>IFERROR(__xludf.DUMMYFUNCTION("""COMPUTED_VALUE"""),9200.0)</f>
        <v>9200</v>
      </c>
      <c r="C1418" s="1">
        <f>IFERROR(__xludf.DUMMYFUNCTION("""COMPUTED_VALUE"""),9300.0)</f>
        <v>9300</v>
      </c>
      <c r="D1418" s="1">
        <f>IFERROR(__xludf.DUMMYFUNCTION("""COMPUTED_VALUE"""),9080.0)</f>
        <v>9080</v>
      </c>
      <c r="E1418" s="1">
        <f>IFERROR(__xludf.DUMMYFUNCTION("""COMPUTED_VALUE"""),9270.0)</f>
        <v>9270</v>
      </c>
      <c r="F1418" s="1">
        <f>IFERROR(__xludf.DUMMYFUNCTION("""COMPUTED_VALUE"""),10333.0)</f>
        <v>10333</v>
      </c>
    </row>
    <row r="1419">
      <c r="A1419" s="2">
        <f>IFERROR(__xludf.DUMMYFUNCTION("""COMPUTED_VALUE"""),43020.64583333333)</f>
        <v>43020.64583</v>
      </c>
      <c r="B1419" s="1">
        <f>IFERROR(__xludf.DUMMYFUNCTION("""COMPUTED_VALUE"""),9270.0)</f>
        <v>9270</v>
      </c>
      <c r="C1419" s="1">
        <f>IFERROR(__xludf.DUMMYFUNCTION("""COMPUTED_VALUE"""),9470.0)</f>
        <v>9470</v>
      </c>
      <c r="D1419" s="1">
        <f>IFERROR(__xludf.DUMMYFUNCTION("""COMPUTED_VALUE"""),9230.0)</f>
        <v>9230</v>
      </c>
      <c r="E1419" s="1">
        <f>IFERROR(__xludf.DUMMYFUNCTION("""COMPUTED_VALUE"""),9440.0)</f>
        <v>9440</v>
      </c>
      <c r="F1419" s="1">
        <f>IFERROR(__xludf.DUMMYFUNCTION("""COMPUTED_VALUE"""),17093.0)</f>
        <v>17093</v>
      </c>
    </row>
    <row r="1420">
      <c r="A1420" s="2">
        <f>IFERROR(__xludf.DUMMYFUNCTION("""COMPUTED_VALUE"""),43021.64583333333)</f>
        <v>43021.64583</v>
      </c>
      <c r="B1420" s="1">
        <f>IFERROR(__xludf.DUMMYFUNCTION("""COMPUTED_VALUE"""),9440.0)</f>
        <v>9440</v>
      </c>
      <c r="C1420" s="1">
        <f>IFERROR(__xludf.DUMMYFUNCTION("""COMPUTED_VALUE"""),9460.0)</f>
        <v>9460</v>
      </c>
      <c r="D1420" s="1">
        <f>IFERROR(__xludf.DUMMYFUNCTION("""COMPUTED_VALUE"""),9250.0)</f>
        <v>9250</v>
      </c>
      <c r="E1420" s="1">
        <f>IFERROR(__xludf.DUMMYFUNCTION("""COMPUTED_VALUE"""),9360.0)</f>
        <v>9360</v>
      </c>
      <c r="F1420" s="1">
        <f>IFERROR(__xludf.DUMMYFUNCTION("""COMPUTED_VALUE"""),16418.0)</f>
        <v>16418</v>
      </c>
    </row>
    <row r="1421">
      <c r="A1421" s="2">
        <f>IFERROR(__xludf.DUMMYFUNCTION("""COMPUTED_VALUE"""),43024.64583333333)</f>
        <v>43024.64583</v>
      </c>
      <c r="B1421" s="1">
        <f>IFERROR(__xludf.DUMMYFUNCTION("""COMPUTED_VALUE"""),9390.0)</f>
        <v>9390</v>
      </c>
      <c r="C1421" s="1">
        <f>IFERROR(__xludf.DUMMYFUNCTION("""COMPUTED_VALUE"""),9400.0)</f>
        <v>9400</v>
      </c>
      <c r="D1421" s="1">
        <f>IFERROR(__xludf.DUMMYFUNCTION("""COMPUTED_VALUE"""),8920.0)</f>
        <v>8920</v>
      </c>
      <c r="E1421" s="1">
        <f>IFERROR(__xludf.DUMMYFUNCTION("""COMPUTED_VALUE"""),9020.0)</f>
        <v>9020</v>
      </c>
      <c r="F1421" s="1">
        <f>IFERROR(__xludf.DUMMYFUNCTION("""COMPUTED_VALUE"""),22927.0)</f>
        <v>22927</v>
      </c>
    </row>
    <row r="1422">
      <c r="A1422" s="2">
        <f>IFERROR(__xludf.DUMMYFUNCTION("""COMPUTED_VALUE"""),43025.64583333333)</f>
        <v>43025.64583</v>
      </c>
      <c r="B1422" s="1">
        <f>IFERROR(__xludf.DUMMYFUNCTION("""COMPUTED_VALUE"""),9100.0)</f>
        <v>9100</v>
      </c>
      <c r="C1422" s="1">
        <f>IFERROR(__xludf.DUMMYFUNCTION("""COMPUTED_VALUE"""),9150.0)</f>
        <v>9150</v>
      </c>
      <c r="D1422" s="1">
        <f>IFERROR(__xludf.DUMMYFUNCTION("""COMPUTED_VALUE"""),8950.0)</f>
        <v>8950</v>
      </c>
      <c r="E1422" s="1">
        <f>IFERROR(__xludf.DUMMYFUNCTION("""COMPUTED_VALUE"""),9050.0)</f>
        <v>9050</v>
      </c>
      <c r="F1422" s="1">
        <f>IFERROR(__xludf.DUMMYFUNCTION("""COMPUTED_VALUE"""),13582.0)</f>
        <v>13582</v>
      </c>
    </row>
    <row r="1423">
      <c r="A1423" s="2">
        <f>IFERROR(__xludf.DUMMYFUNCTION("""COMPUTED_VALUE"""),43026.64583333333)</f>
        <v>43026.64583</v>
      </c>
      <c r="B1423" s="1">
        <f>IFERROR(__xludf.DUMMYFUNCTION("""COMPUTED_VALUE"""),9050.0)</f>
        <v>9050</v>
      </c>
      <c r="C1423" s="1">
        <f>IFERROR(__xludf.DUMMYFUNCTION("""COMPUTED_VALUE"""),9130.0)</f>
        <v>9130</v>
      </c>
      <c r="D1423" s="1">
        <f>IFERROR(__xludf.DUMMYFUNCTION("""COMPUTED_VALUE"""),8900.0)</f>
        <v>8900</v>
      </c>
      <c r="E1423" s="1">
        <f>IFERROR(__xludf.DUMMYFUNCTION("""COMPUTED_VALUE"""),8970.0)</f>
        <v>8970</v>
      </c>
      <c r="F1423" s="1">
        <f>IFERROR(__xludf.DUMMYFUNCTION("""COMPUTED_VALUE"""),24811.0)</f>
        <v>24811</v>
      </c>
    </row>
    <row r="1424">
      <c r="A1424" s="2">
        <f>IFERROR(__xludf.DUMMYFUNCTION("""COMPUTED_VALUE"""),43027.64583333333)</f>
        <v>43027.64583</v>
      </c>
      <c r="B1424" s="1">
        <f>IFERROR(__xludf.DUMMYFUNCTION("""COMPUTED_VALUE"""),8970.0)</f>
        <v>8970</v>
      </c>
      <c r="C1424" s="1">
        <f>IFERROR(__xludf.DUMMYFUNCTION("""COMPUTED_VALUE"""),9100.0)</f>
        <v>9100</v>
      </c>
      <c r="D1424" s="1">
        <f>IFERROR(__xludf.DUMMYFUNCTION("""COMPUTED_VALUE"""),8790.0)</f>
        <v>8790</v>
      </c>
      <c r="E1424" s="1">
        <f>IFERROR(__xludf.DUMMYFUNCTION("""COMPUTED_VALUE"""),9070.0)</f>
        <v>9070</v>
      </c>
      <c r="F1424" s="1">
        <f>IFERROR(__xludf.DUMMYFUNCTION("""COMPUTED_VALUE"""),31406.0)</f>
        <v>31406</v>
      </c>
    </row>
    <row r="1425">
      <c r="A1425" s="2">
        <f>IFERROR(__xludf.DUMMYFUNCTION("""COMPUTED_VALUE"""),43028.64583333333)</f>
        <v>43028.64583</v>
      </c>
      <c r="B1425" s="1">
        <f>IFERROR(__xludf.DUMMYFUNCTION("""COMPUTED_VALUE"""),9070.0)</f>
        <v>9070</v>
      </c>
      <c r="C1425" s="1">
        <f>IFERROR(__xludf.DUMMYFUNCTION("""COMPUTED_VALUE"""),9130.0)</f>
        <v>9130</v>
      </c>
      <c r="D1425" s="1">
        <f>IFERROR(__xludf.DUMMYFUNCTION("""COMPUTED_VALUE"""),9000.0)</f>
        <v>9000</v>
      </c>
      <c r="E1425" s="1">
        <f>IFERROR(__xludf.DUMMYFUNCTION("""COMPUTED_VALUE"""),9110.0)</f>
        <v>9110</v>
      </c>
      <c r="F1425" s="1">
        <f>IFERROR(__xludf.DUMMYFUNCTION("""COMPUTED_VALUE"""),9919.0)</f>
        <v>9919</v>
      </c>
    </row>
    <row r="1426">
      <c r="A1426" s="2">
        <f>IFERROR(__xludf.DUMMYFUNCTION("""COMPUTED_VALUE"""),43031.64583333333)</f>
        <v>43031.64583</v>
      </c>
      <c r="B1426" s="1">
        <f>IFERROR(__xludf.DUMMYFUNCTION("""COMPUTED_VALUE"""),9110.0)</f>
        <v>9110</v>
      </c>
      <c r="C1426" s="1">
        <f>IFERROR(__xludf.DUMMYFUNCTION("""COMPUTED_VALUE"""),9410.0)</f>
        <v>9410</v>
      </c>
      <c r="D1426" s="1">
        <f>IFERROR(__xludf.DUMMYFUNCTION("""COMPUTED_VALUE"""),9080.0)</f>
        <v>9080</v>
      </c>
      <c r="E1426" s="1">
        <f>IFERROR(__xludf.DUMMYFUNCTION("""COMPUTED_VALUE"""),9390.0)</f>
        <v>9390</v>
      </c>
      <c r="F1426" s="1">
        <f>IFERROR(__xludf.DUMMYFUNCTION("""COMPUTED_VALUE"""),30595.0)</f>
        <v>30595</v>
      </c>
    </row>
    <row r="1427">
      <c r="A1427" s="2">
        <f>IFERROR(__xludf.DUMMYFUNCTION("""COMPUTED_VALUE"""),43032.64583333333)</f>
        <v>43032.64583</v>
      </c>
      <c r="B1427" s="1">
        <f>IFERROR(__xludf.DUMMYFUNCTION("""COMPUTED_VALUE"""),9400.0)</f>
        <v>9400</v>
      </c>
      <c r="C1427" s="1">
        <f>IFERROR(__xludf.DUMMYFUNCTION("""COMPUTED_VALUE"""),9490.0)</f>
        <v>9490</v>
      </c>
      <c r="D1427" s="1">
        <f>IFERROR(__xludf.DUMMYFUNCTION("""COMPUTED_VALUE"""),9350.0)</f>
        <v>9350</v>
      </c>
      <c r="E1427" s="1">
        <f>IFERROR(__xludf.DUMMYFUNCTION("""COMPUTED_VALUE"""),9410.0)</f>
        <v>9410</v>
      </c>
      <c r="F1427" s="1">
        <f>IFERROR(__xludf.DUMMYFUNCTION("""COMPUTED_VALUE"""),17777.0)</f>
        <v>17777</v>
      </c>
    </row>
    <row r="1428">
      <c r="A1428" s="2">
        <f>IFERROR(__xludf.DUMMYFUNCTION("""COMPUTED_VALUE"""),43033.64583333333)</f>
        <v>43033.64583</v>
      </c>
      <c r="B1428" s="1">
        <f>IFERROR(__xludf.DUMMYFUNCTION("""COMPUTED_VALUE"""),9420.0)</f>
        <v>9420</v>
      </c>
      <c r="C1428" s="1">
        <f>IFERROR(__xludf.DUMMYFUNCTION("""COMPUTED_VALUE"""),9490.0)</f>
        <v>9490</v>
      </c>
      <c r="D1428" s="1">
        <f>IFERROR(__xludf.DUMMYFUNCTION("""COMPUTED_VALUE"""),9280.0)</f>
        <v>9280</v>
      </c>
      <c r="E1428" s="1">
        <f>IFERROR(__xludf.DUMMYFUNCTION("""COMPUTED_VALUE"""),9460.0)</f>
        <v>9460</v>
      </c>
      <c r="F1428" s="1">
        <f>IFERROR(__xludf.DUMMYFUNCTION("""COMPUTED_VALUE"""),23415.0)</f>
        <v>23415</v>
      </c>
    </row>
    <row r="1429">
      <c r="A1429" s="2">
        <f>IFERROR(__xludf.DUMMYFUNCTION("""COMPUTED_VALUE"""),43034.64583333333)</f>
        <v>43034.64583</v>
      </c>
      <c r="B1429" s="1">
        <f>IFERROR(__xludf.DUMMYFUNCTION("""COMPUTED_VALUE"""),9460.0)</f>
        <v>9460</v>
      </c>
      <c r="C1429" s="1">
        <f>IFERROR(__xludf.DUMMYFUNCTION("""COMPUTED_VALUE"""),9490.0)</f>
        <v>9490</v>
      </c>
      <c r="D1429" s="1">
        <f>IFERROR(__xludf.DUMMYFUNCTION("""COMPUTED_VALUE"""),9380.0)</f>
        <v>9380</v>
      </c>
      <c r="E1429" s="1">
        <f>IFERROR(__xludf.DUMMYFUNCTION("""COMPUTED_VALUE"""),9400.0)</f>
        <v>9400</v>
      </c>
      <c r="F1429" s="1">
        <f>IFERROR(__xludf.DUMMYFUNCTION("""COMPUTED_VALUE"""),7786.0)</f>
        <v>7786</v>
      </c>
    </row>
    <row r="1430">
      <c r="A1430" s="2">
        <f>IFERROR(__xludf.DUMMYFUNCTION("""COMPUTED_VALUE"""),43035.64583333333)</f>
        <v>43035.64583</v>
      </c>
      <c r="B1430" s="1">
        <f>IFERROR(__xludf.DUMMYFUNCTION("""COMPUTED_VALUE"""),9480.0)</f>
        <v>9480</v>
      </c>
      <c r="C1430" s="1">
        <f>IFERROR(__xludf.DUMMYFUNCTION("""COMPUTED_VALUE"""),9480.0)</f>
        <v>9480</v>
      </c>
      <c r="D1430" s="1">
        <f>IFERROR(__xludf.DUMMYFUNCTION("""COMPUTED_VALUE"""),9330.0)</f>
        <v>9330</v>
      </c>
      <c r="E1430" s="1">
        <f>IFERROR(__xludf.DUMMYFUNCTION("""COMPUTED_VALUE"""),9410.0)</f>
        <v>9410</v>
      </c>
      <c r="F1430" s="1">
        <f>IFERROR(__xludf.DUMMYFUNCTION("""COMPUTED_VALUE"""),10971.0)</f>
        <v>10971</v>
      </c>
    </row>
    <row r="1431">
      <c r="A1431" s="2">
        <f>IFERROR(__xludf.DUMMYFUNCTION("""COMPUTED_VALUE"""),43038.64583333333)</f>
        <v>43038.64583</v>
      </c>
      <c r="B1431" s="1">
        <f>IFERROR(__xludf.DUMMYFUNCTION("""COMPUTED_VALUE"""),9410.0)</f>
        <v>9410</v>
      </c>
      <c r="C1431" s="1">
        <f>IFERROR(__xludf.DUMMYFUNCTION("""COMPUTED_VALUE"""),9500.0)</f>
        <v>9500</v>
      </c>
      <c r="D1431" s="1">
        <f>IFERROR(__xludf.DUMMYFUNCTION("""COMPUTED_VALUE"""),9240.0)</f>
        <v>9240</v>
      </c>
      <c r="E1431" s="1">
        <f>IFERROR(__xludf.DUMMYFUNCTION("""COMPUTED_VALUE"""),9470.0)</f>
        <v>9470</v>
      </c>
      <c r="F1431" s="1">
        <f>IFERROR(__xludf.DUMMYFUNCTION("""COMPUTED_VALUE"""),40081.0)</f>
        <v>40081</v>
      </c>
    </row>
    <row r="1432">
      <c r="A1432" s="2">
        <f>IFERROR(__xludf.DUMMYFUNCTION("""COMPUTED_VALUE"""),43039.64583333333)</f>
        <v>43039.64583</v>
      </c>
      <c r="B1432" s="1">
        <f>IFERROR(__xludf.DUMMYFUNCTION("""COMPUTED_VALUE"""),9400.0)</f>
        <v>9400</v>
      </c>
      <c r="C1432" s="1">
        <f>IFERROR(__xludf.DUMMYFUNCTION("""COMPUTED_VALUE"""),9660.0)</f>
        <v>9660</v>
      </c>
      <c r="D1432" s="1">
        <f>IFERROR(__xludf.DUMMYFUNCTION("""COMPUTED_VALUE"""),9400.0)</f>
        <v>9400</v>
      </c>
      <c r="E1432" s="1">
        <f>IFERROR(__xludf.DUMMYFUNCTION("""COMPUTED_VALUE"""),9540.0)</f>
        <v>9540</v>
      </c>
      <c r="F1432" s="1">
        <f>IFERROR(__xludf.DUMMYFUNCTION("""COMPUTED_VALUE"""),14618.0)</f>
        <v>14618</v>
      </c>
    </row>
    <row r="1433">
      <c r="A1433" s="2">
        <f>IFERROR(__xludf.DUMMYFUNCTION("""COMPUTED_VALUE"""),43040.64583333333)</f>
        <v>43040.64583</v>
      </c>
      <c r="B1433" s="1">
        <f>IFERROR(__xludf.DUMMYFUNCTION("""COMPUTED_VALUE"""),9600.0)</f>
        <v>9600</v>
      </c>
      <c r="C1433" s="1">
        <f>IFERROR(__xludf.DUMMYFUNCTION("""COMPUTED_VALUE"""),9640.0)</f>
        <v>9640</v>
      </c>
      <c r="D1433" s="1">
        <f>IFERROR(__xludf.DUMMYFUNCTION("""COMPUTED_VALUE"""),9430.0)</f>
        <v>9430</v>
      </c>
      <c r="E1433" s="1">
        <f>IFERROR(__xludf.DUMMYFUNCTION("""COMPUTED_VALUE"""),9500.0)</f>
        <v>9500</v>
      </c>
      <c r="F1433" s="1">
        <f>IFERROR(__xludf.DUMMYFUNCTION("""COMPUTED_VALUE"""),14767.0)</f>
        <v>14767</v>
      </c>
    </row>
    <row r="1434">
      <c r="A1434" s="2">
        <f>IFERROR(__xludf.DUMMYFUNCTION("""COMPUTED_VALUE"""),43041.64583333333)</f>
        <v>43041.64583</v>
      </c>
      <c r="B1434" s="1">
        <f>IFERROR(__xludf.DUMMYFUNCTION("""COMPUTED_VALUE"""),9500.0)</f>
        <v>9500</v>
      </c>
      <c r="C1434" s="1">
        <f>IFERROR(__xludf.DUMMYFUNCTION("""COMPUTED_VALUE"""),9500.0)</f>
        <v>9500</v>
      </c>
      <c r="D1434" s="1">
        <f>IFERROR(__xludf.DUMMYFUNCTION("""COMPUTED_VALUE"""),9380.0)</f>
        <v>9380</v>
      </c>
      <c r="E1434" s="1">
        <f>IFERROR(__xludf.DUMMYFUNCTION("""COMPUTED_VALUE"""),9390.0)</f>
        <v>9390</v>
      </c>
      <c r="F1434" s="1">
        <f>IFERROR(__xludf.DUMMYFUNCTION("""COMPUTED_VALUE"""),6981.0)</f>
        <v>6981</v>
      </c>
    </row>
    <row r="1435">
      <c r="A1435" s="2">
        <f>IFERROR(__xludf.DUMMYFUNCTION("""COMPUTED_VALUE"""),43042.64583333333)</f>
        <v>43042.64583</v>
      </c>
      <c r="B1435" s="1">
        <f>IFERROR(__xludf.DUMMYFUNCTION("""COMPUTED_VALUE"""),9390.0)</f>
        <v>9390</v>
      </c>
      <c r="C1435" s="1">
        <f>IFERROR(__xludf.DUMMYFUNCTION("""COMPUTED_VALUE"""),9500.0)</f>
        <v>9500</v>
      </c>
      <c r="D1435" s="1">
        <f>IFERROR(__xludf.DUMMYFUNCTION("""COMPUTED_VALUE"""),9300.0)</f>
        <v>9300</v>
      </c>
      <c r="E1435" s="1">
        <f>IFERROR(__xludf.DUMMYFUNCTION("""COMPUTED_VALUE"""),9390.0)</f>
        <v>9390</v>
      </c>
      <c r="F1435" s="1">
        <f>IFERROR(__xludf.DUMMYFUNCTION("""COMPUTED_VALUE"""),6678.0)</f>
        <v>6678</v>
      </c>
    </row>
    <row r="1436">
      <c r="A1436" s="2">
        <f>IFERROR(__xludf.DUMMYFUNCTION("""COMPUTED_VALUE"""),43045.64583333333)</f>
        <v>43045.64583</v>
      </c>
      <c r="B1436" s="1">
        <f>IFERROR(__xludf.DUMMYFUNCTION("""COMPUTED_VALUE"""),9300.0)</f>
        <v>9300</v>
      </c>
      <c r="C1436" s="1">
        <f>IFERROR(__xludf.DUMMYFUNCTION("""COMPUTED_VALUE"""),9390.0)</f>
        <v>9390</v>
      </c>
      <c r="D1436" s="1">
        <f>IFERROR(__xludf.DUMMYFUNCTION("""COMPUTED_VALUE"""),9300.0)</f>
        <v>9300</v>
      </c>
      <c r="E1436" s="1">
        <f>IFERROR(__xludf.DUMMYFUNCTION("""COMPUTED_VALUE"""),9310.0)</f>
        <v>9310</v>
      </c>
      <c r="F1436" s="1">
        <f>IFERROR(__xludf.DUMMYFUNCTION("""COMPUTED_VALUE"""),8607.0)</f>
        <v>8607</v>
      </c>
    </row>
    <row r="1437">
      <c r="A1437" s="2">
        <f>IFERROR(__xludf.DUMMYFUNCTION("""COMPUTED_VALUE"""),43046.64583333333)</f>
        <v>43046.64583</v>
      </c>
      <c r="B1437" s="1">
        <f>IFERROR(__xludf.DUMMYFUNCTION("""COMPUTED_VALUE"""),9330.0)</f>
        <v>9330</v>
      </c>
      <c r="C1437" s="1">
        <f>IFERROR(__xludf.DUMMYFUNCTION("""COMPUTED_VALUE"""),9450.0)</f>
        <v>9450</v>
      </c>
      <c r="D1437" s="1">
        <f>IFERROR(__xludf.DUMMYFUNCTION("""COMPUTED_VALUE"""),9320.0)</f>
        <v>9320</v>
      </c>
      <c r="E1437" s="1">
        <f>IFERROR(__xludf.DUMMYFUNCTION("""COMPUTED_VALUE"""),9430.0)</f>
        <v>9430</v>
      </c>
      <c r="F1437" s="1">
        <f>IFERROR(__xludf.DUMMYFUNCTION("""COMPUTED_VALUE"""),24572.0)</f>
        <v>24572</v>
      </c>
    </row>
    <row r="1438">
      <c r="A1438" s="2">
        <f>IFERROR(__xludf.DUMMYFUNCTION("""COMPUTED_VALUE"""),43047.64583333333)</f>
        <v>43047.64583</v>
      </c>
      <c r="B1438" s="1">
        <f>IFERROR(__xludf.DUMMYFUNCTION("""COMPUTED_VALUE"""),9500.0)</f>
        <v>9500</v>
      </c>
      <c r="C1438" s="1">
        <f>IFERROR(__xludf.DUMMYFUNCTION("""COMPUTED_VALUE"""),9500.0)</f>
        <v>9500</v>
      </c>
      <c r="D1438" s="1">
        <f>IFERROR(__xludf.DUMMYFUNCTION("""COMPUTED_VALUE"""),9400.0)</f>
        <v>9400</v>
      </c>
      <c r="E1438" s="1">
        <f>IFERROR(__xludf.DUMMYFUNCTION("""COMPUTED_VALUE"""),9440.0)</f>
        <v>9440</v>
      </c>
      <c r="F1438" s="1">
        <f>IFERROR(__xludf.DUMMYFUNCTION("""COMPUTED_VALUE"""),6139.0)</f>
        <v>6139</v>
      </c>
    </row>
    <row r="1439">
      <c r="A1439" s="2">
        <f>IFERROR(__xludf.DUMMYFUNCTION("""COMPUTED_VALUE"""),43048.64583333333)</f>
        <v>43048.64583</v>
      </c>
      <c r="B1439" s="1">
        <f>IFERROR(__xludf.DUMMYFUNCTION("""COMPUTED_VALUE"""),9470.0)</f>
        <v>9470</v>
      </c>
      <c r="C1439" s="1">
        <f>IFERROR(__xludf.DUMMYFUNCTION("""COMPUTED_VALUE"""),9480.0)</f>
        <v>9480</v>
      </c>
      <c r="D1439" s="1">
        <f>IFERROR(__xludf.DUMMYFUNCTION("""COMPUTED_VALUE"""),9350.0)</f>
        <v>9350</v>
      </c>
      <c r="E1439" s="1">
        <f>IFERROR(__xludf.DUMMYFUNCTION("""COMPUTED_VALUE"""),9430.0)</f>
        <v>9430</v>
      </c>
      <c r="F1439" s="1">
        <f>IFERROR(__xludf.DUMMYFUNCTION("""COMPUTED_VALUE"""),10997.0)</f>
        <v>10997</v>
      </c>
    </row>
    <row r="1440">
      <c r="A1440" s="2">
        <f>IFERROR(__xludf.DUMMYFUNCTION("""COMPUTED_VALUE"""),43049.64583333333)</f>
        <v>43049.64583</v>
      </c>
      <c r="B1440" s="1">
        <f>IFERROR(__xludf.DUMMYFUNCTION("""COMPUTED_VALUE"""),9470.0)</f>
        <v>9470</v>
      </c>
      <c r="C1440" s="1">
        <f>IFERROR(__xludf.DUMMYFUNCTION("""COMPUTED_VALUE"""),9570.0)</f>
        <v>9570</v>
      </c>
      <c r="D1440" s="1">
        <f>IFERROR(__xludf.DUMMYFUNCTION("""COMPUTED_VALUE"""),9420.0)</f>
        <v>9420</v>
      </c>
      <c r="E1440" s="1">
        <f>IFERROR(__xludf.DUMMYFUNCTION("""COMPUTED_VALUE"""),9500.0)</f>
        <v>9500</v>
      </c>
      <c r="F1440" s="1">
        <f>IFERROR(__xludf.DUMMYFUNCTION("""COMPUTED_VALUE"""),22372.0)</f>
        <v>22372</v>
      </c>
    </row>
    <row r="1441">
      <c r="A1441" s="2">
        <f>IFERROR(__xludf.DUMMYFUNCTION("""COMPUTED_VALUE"""),43052.64583333333)</f>
        <v>43052.64583</v>
      </c>
      <c r="B1441" s="1">
        <f>IFERROR(__xludf.DUMMYFUNCTION("""COMPUTED_VALUE"""),9520.0)</f>
        <v>9520</v>
      </c>
      <c r="C1441" s="1">
        <f>IFERROR(__xludf.DUMMYFUNCTION("""COMPUTED_VALUE"""),9560.0)</f>
        <v>9560</v>
      </c>
      <c r="D1441" s="1">
        <f>IFERROR(__xludf.DUMMYFUNCTION("""COMPUTED_VALUE"""),9440.0)</f>
        <v>9440</v>
      </c>
      <c r="E1441" s="1">
        <f>IFERROR(__xludf.DUMMYFUNCTION("""COMPUTED_VALUE"""),9560.0)</f>
        <v>9560</v>
      </c>
      <c r="F1441" s="1">
        <f>IFERROR(__xludf.DUMMYFUNCTION("""COMPUTED_VALUE"""),28770.0)</f>
        <v>28770</v>
      </c>
    </row>
    <row r="1442">
      <c r="A1442" s="2">
        <f>IFERROR(__xludf.DUMMYFUNCTION("""COMPUTED_VALUE"""),43053.64583333333)</f>
        <v>43053.64583</v>
      </c>
      <c r="B1442" s="1">
        <f>IFERROR(__xludf.DUMMYFUNCTION("""COMPUTED_VALUE"""),9560.0)</f>
        <v>9560</v>
      </c>
      <c r="C1442" s="1">
        <f>IFERROR(__xludf.DUMMYFUNCTION("""COMPUTED_VALUE"""),9920.0)</f>
        <v>9920</v>
      </c>
      <c r="D1442" s="1">
        <f>IFERROR(__xludf.DUMMYFUNCTION("""COMPUTED_VALUE"""),9560.0)</f>
        <v>9560</v>
      </c>
      <c r="E1442" s="1">
        <f>IFERROR(__xludf.DUMMYFUNCTION("""COMPUTED_VALUE"""),9780.0)</f>
        <v>9780</v>
      </c>
      <c r="F1442" s="1">
        <f>IFERROR(__xludf.DUMMYFUNCTION("""COMPUTED_VALUE"""),50939.0)</f>
        <v>50939</v>
      </c>
    </row>
    <row r="1443">
      <c r="A1443" s="2">
        <f>IFERROR(__xludf.DUMMYFUNCTION("""COMPUTED_VALUE"""),43054.64583333333)</f>
        <v>43054.64583</v>
      </c>
      <c r="B1443" s="1">
        <f>IFERROR(__xludf.DUMMYFUNCTION("""COMPUTED_VALUE"""),9840.0)</f>
        <v>9840</v>
      </c>
      <c r="C1443" s="1">
        <f>IFERROR(__xludf.DUMMYFUNCTION("""COMPUTED_VALUE"""),9980.0)</f>
        <v>9980</v>
      </c>
      <c r="D1443" s="1">
        <f>IFERROR(__xludf.DUMMYFUNCTION("""COMPUTED_VALUE"""),9630.0)</f>
        <v>9630</v>
      </c>
      <c r="E1443" s="1">
        <f>IFERROR(__xludf.DUMMYFUNCTION("""COMPUTED_VALUE"""),9870.0)</f>
        <v>9870</v>
      </c>
      <c r="F1443" s="1">
        <f>IFERROR(__xludf.DUMMYFUNCTION("""COMPUTED_VALUE"""),35376.0)</f>
        <v>35376</v>
      </c>
    </row>
    <row r="1444">
      <c r="A1444" s="2">
        <f>IFERROR(__xludf.DUMMYFUNCTION("""COMPUTED_VALUE"""),43055.64583333333)</f>
        <v>43055.64583</v>
      </c>
      <c r="B1444" s="1">
        <f>IFERROR(__xludf.DUMMYFUNCTION("""COMPUTED_VALUE"""),9800.0)</f>
        <v>9800</v>
      </c>
      <c r="C1444" s="1">
        <f>IFERROR(__xludf.DUMMYFUNCTION("""COMPUTED_VALUE"""),10000.0)</f>
        <v>10000</v>
      </c>
      <c r="D1444" s="1">
        <f>IFERROR(__xludf.DUMMYFUNCTION("""COMPUTED_VALUE"""),9760.0)</f>
        <v>9760</v>
      </c>
      <c r="E1444" s="1">
        <f>IFERROR(__xludf.DUMMYFUNCTION("""COMPUTED_VALUE"""),9900.0)</f>
        <v>9900</v>
      </c>
      <c r="F1444" s="1">
        <f>IFERROR(__xludf.DUMMYFUNCTION("""COMPUTED_VALUE"""),19443.0)</f>
        <v>19443</v>
      </c>
    </row>
    <row r="1445">
      <c r="A1445" s="2">
        <f>IFERROR(__xludf.DUMMYFUNCTION("""COMPUTED_VALUE"""),43056.64583333333)</f>
        <v>43056.64583</v>
      </c>
      <c r="B1445" s="1">
        <f>IFERROR(__xludf.DUMMYFUNCTION("""COMPUTED_VALUE"""),10000.0)</f>
        <v>10000</v>
      </c>
      <c r="C1445" s="1">
        <f>IFERROR(__xludf.DUMMYFUNCTION("""COMPUTED_VALUE"""),10000.0)</f>
        <v>10000</v>
      </c>
      <c r="D1445" s="1">
        <f>IFERROR(__xludf.DUMMYFUNCTION("""COMPUTED_VALUE"""),9750.0)</f>
        <v>9750</v>
      </c>
      <c r="E1445" s="1">
        <f>IFERROR(__xludf.DUMMYFUNCTION("""COMPUTED_VALUE"""),9880.0)</f>
        <v>9880</v>
      </c>
      <c r="F1445" s="1">
        <f>IFERROR(__xludf.DUMMYFUNCTION("""COMPUTED_VALUE"""),23205.0)</f>
        <v>23205</v>
      </c>
    </row>
    <row r="1446">
      <c r="A1446" s="2">
        <f>IFERROR(__xludf.DUMMYFUNCTION("""COMPUTED_VALUE"""),43059.64583333333)</f>
        <v>43059.64583</v>
      </c>
      <c r="B1446" s="1">
        <f>IFERROR(__xludf.DUMMYFUNCTION("""COMPUTED_VALUE"""),9870.0)</f>
        <v>9870</v>
      </c>
      <c r="C1446" s="1">
        <f>IFERROR(__xludf.DUMMYFUNCTION("""COMPUTED_VALUE"""),10100.0)</f>
        <v>10100</v>
      </c>
      <c r="D1446" s="1">
        <f>IFERROR(__xludf.DUMMYFUNCTION("""COMPUTED_VALUE"""),9820.0)</f>
        <v>9820</v>
      </c>
      <c r="E1446" s="1">
        <f>IFERROR(__xludf.DUMMYFUNCTION("""COMPUTED_VALUE"""),10100.0)</f>
        <v>10100</v>
      </c>
      <c r="F1446" s="1">
        <f>IFERROR(__xludf.DUMMYFUNCTION("""COMPUTED_VALUE"""),32339.0)</f>
        <v>32339</v>
      </c>
    </row>
    <row r="1447">
      <c r="A1447" s="2">
        <f>IFERROR(__xludf.DUMMYFUNCTION("""COMPUTED_VALUE"""),43060.64583333333)</f>
        <v>43060.64583</v>
      </c>
      <c r="B1447" s="1">
        <f>IFERROR(__xludf.DUMMYFUNCTION("""COMPUTED_VALUE"""),10150.0)</f>
        <v>10150</v>
      </c>
      <c r="C1447" s="1">
        <f>IFERROR(__xludf.DUMMYFUNCTION("""COMPUTED_VALUE"""),10200.0)</f>
        <v>10200</v>
      </c>
      <c r="D1447" s="1">
        <f>IFERROR(__xludf.DUMMYFUNCTION("""COMPUTED_VALUE"""),9980.0)</f>
        <v>9980</v>
      </c>
      <c r="E1447" s="1">
        <f>IFERROR(__xludf.DUMMYFUNCTION("""COMPUTED_VALUE"""),10100.0)</f>
        <v>10100</v>
      </c>
      <c r="F1447" s="1">
        <f>IFERROR(__xludf.DUMMYFUNCTION("""COMPUTED_VALUE"""),38068.0)</f>
        <v>38068</v>
      </c>
    </row>
    <row r="1448">
      <c r="A1448" s="2">
        <f>IFERROR(__xludf.DUMMYFUNCTION("""COMPUTED_VALUE"""),43061.64583333333)</f>
        <v>43061.64583</v>
      </c>
      <c r="B1448" s="1">
        <f>IFERROR(__xludf.DUMMYFUNCTION("""COMPUTED_VALUE"""),10150.0)</f>
        <v>10150</v>
      </c>
      <c r="C1448" s="1">
        <f>IFERROR(__xludf.DUMMYFUNCTION("""COMPUTED_VALUE"""),10150.0)</f>
        <v>10150</v>
      </c>
      <c r="D1448" s="1">
        <f>IFERROR(__xludf.DUMMYFUNCTION("""COMPUTED_VALUE"""),9890.0)</f>
        <v>9890</v>
      </c>
      <c r="E1448" s="1">
        <f>IFERROR(__xludf.DUMMYFUNCTION("""COMPUTED_VALUE"""),9900.0)</f>
        <v>9900</v>
      </c>
      <c r="F1448" s="1">
        <f>IFERROR(__xludf.DUMMYFUNCTION("""COMPUTED_VALUE"""),18394.0)</f>
        <v>18394</v>
      </c>
    </row>
    <row r="1449">
      <c r="A1449" s="2">
        <f>IFERROR(__xludf.DUMMYFUNCTION("""COMPUTED_VALUE"""),43062.69791666667)</f>
        <v>43062.69792</v>
      </c>
      <c r="B1449" s="1">
        <f>IFERROR(__xludf.DUMMYFUNCTION("""COMPUTED_VALUE"""),10000.0)</f>
        <v>10000</v>
      </c>
      <c r="C1449" s="1">
        <f>IFERROR(__xludf.DUMMYFUNCTION("""COMPUTED_VALUE"""),10600.0)</f>
        <v>10600</v>
      </c>
      <c r="D1449" s="1">
        <f>IFERROR(__xludf.DUMMYFUNCTION("""COMPUTED_VALUE"""),9900.0)</f>
        <v>9900</v>
      </c>
      <c r="E1449" s="1">
        <f>IFERROR(__xludf.DUMMYFUNCTION("""COMPUTED_VALUE"""),10500.0)</f>
        <v>10500</v>
      </c>
      <c r="F1449" s="1">
        <f>IFERROR(__xludf.DUMMYFUNCTION("""COMPUTED_VALUE"""),109378.0)</f>
        <v>109378</v>
      </c>
    </row>
    <row r="1450">
      <c r="A1450" s="2">
        <f>IFERROR(__xludf.DUMMYFUNCTION("""COMPUTED_VALUE"""),43063.64583333333)</f>
        <v>43063.64583</v>
      </c>
      <c r="B1450" s="1">
        <f>IFERROR(__xludf.DUMMYFUNCTION("""COMPUTED_VALUE"""),10600.0)</f>
        <v>10600</v>
      </c>
      <c r="C1450" s="1">
        <f>IFERROR(__xludf.DUMMYFUNCTION("""COMPUTED_VALUE"""),10800.0)</f>
        <v>10800</v>
      </c>
      <c r="D1450" s="1">
        <f>IFERROR(__xludf.DUMMYFUNCTION("""COMPUTED_VALUE"""),10400.0)</f>
        <v>10400</v>
      </c>
      <c r="E1450" s="1">
        <f>IFERROR(__xludf.DUMMYFUNCTION("""COMPUTED_VALUE"""),10600.0)</f>
        <v>10600</v>
      </c>
      <c r="F1450" s="1">
        <f>IFERROR(__xludf.DUMMYFUNCTION("""COMPUTED_VALUE"""),82413.0)</f>
        <v>82413</v>
      </c>
    </row>
    <row r="1451">
      <c r="A1451" s="2">
        <f>IFERROR(__xludf.DUMMYFUNCTION("""COMPUTED_VALUE"""),43066.64583333333)</f>
        <v>43066.64583</v>
      </c>
      <c r="B1451" s="1">
        <f>IFERROR(__xludf.DUMMYFUNCTION("""COMPUTED_VALUE"""),10600.0)</f>
        <v>10600</v>
      </c>
      <c r="C1451" s="1">
        <f>IFERROR(__xludf.DUMMYFUNCTION("""COMPUTED_VALUE"""),10700.0)</f>
        <v>10700</v>
      </c>
      <c r="D1451" s="1">
        <f>IFERROR(__xludf.DUMMYFUNCTION("""COMPUTED_VALUE"""),10250.0)</f>
        <v>10250</v>
      </c>
      <c r="E1451" s="1">
        <f>IFERROR(__xludf.DUMMYFUNCTION("""COMPUTED_VALUE"""),10300.0)</f>
        <v>10300</v>
      </c>
      <c r="F1451" s="1">
        <f>IFERROR(__xludf.DUMMYFUNCTION("""COMPUTED_VALUE"""),44988.0)</f>
        <v>44988</v>
      </c>
    </row>
    <row r="1452">
      <c r="A1452" s="2">
        <f>IFERROR(__xludf.DUMMYFUNCTION("""COMPUTED_VALUE"""),43067.64583333333)</f>
        <v>43067.64583</v>
      </c>
      <c r="B1452" s="1">
        <f>IFERROR(__xludf.DUMMYFUNCTION("""COMPUTED_VALUE"""),10500.0)</f>
        <v>10500</v>
      </c>
      <c r="C1452" s="1">
        <f>IFERROR(__xludf.DUMMYFUNCTION("""COMPUTED_VALUE"""),11200.0)</f>
        <v>11200</v>
      </c>
      <c r="D1452" s="1">
        <f>IFERROR(__xludf.DUMMYFUNCTION("""COMPUTED_VALUE"""),10300.0)</f>
        <v>10300</v>
      </c>
      <c r="E1452" s="1">
        <f>IFERROR(__xludf.DUMMYFUNCTION("""COMPUTED_VALUE"""),10950.0)</f>
        <v>10950</v>
      </c>
      <c r="F1452" s="1">
        <f>IFERROR(__xludf.DUMMYFUNCTION("""COMPUTED_VALUE"""),272738.0)</f>
        <v>272738</v>
      </c>
    </row>
    <row r="1453">
      <c r="A1453" s="2">
        <f>IFERROR(__xludf.DUMMYFUNCTION("""COMPUTED_VALUE"""),43068.64583333333)</f>
        <v>43068.64583</v>
      </c>
      <c r="B1453" s="1">
        <f>IFERROR(__xludf.DUMMYFUNCTION("""COMPUTED_VALUE"""),11050.0)</f>
        <v>11050</v>
      </c>
      <c r="C1453" s="1">
        <f>IFERROR(__xludf.DUMMYFUNCTION("""COMPUTED_VALUE"""),11850.0)</f>
        <v>11850</v>
      </c>
      <c r="D1453" s="1">
        <f>IFERROR(__xludf.DUMMYFUNCTION("""COMPUTED_VALUE"""),11050.0)</f>
        <v>11050</v>
      </c>
      <c r="E1453" s="1">
        <f>IFERROR(__xludf.DUMMYFUNCTION("""COMPUTED_VALUE"""),11800.0)</f>
        <v>11800</v>
      </c>
      <c r="F1453" s="1">
        <f>IFERROR(__xludf.DUMMYFUNCTION("""COMPUTED_VALUE"""),350959.0)</f>
        <v>350959</v>
      </c>
    </row>
    <row r="1454">
      <c r="A1454" s="2">
        <f>IFERROR(__xludf.DUMMYFUNCTION("""COMPUTED_VALUE"""),43069.64583333333)</f>
        <v>43069.64583</v>
      </c>
      <c r="B1454" s="1">
        <f>IFERROR(__xludf.DUMMYFUNCTION("""COMPUTED_VALUE"""),11700.0)</f>
        <v>11700</v>
      </c>
      <c r="C1454" s="1">
        <f>IFERROR(__xludf.DUMMYFUNCTION("""COMPUTED_VALUE"""),12200.0)</f>
        <v>12200</v>
      </c>
      <c r="D1454" s="1">
        <f>IFERROR(__xludf.DUMMYFUNCTION("""COMPUTED_VALUE"""),11650.0)</f>
        <v>11650</v>
      </c>
      <c r="E1454" s="1">
        <f>IFERROR(__xludf.DUMMYFUNCTION("""COMPUTED_VALUE"""),11800.0)</f>
        <v>11800</v>
      </c>
      <c r="F1454" s="1">
        <f>IFERROR(__xludf.DUMMYFUNCTION("""COMPUTED_VALUE"""),260662.0)</f>
        <v>260662</v>
      </c>
    </row>
    <row r="1455">
      <c r="A1455" s="2">
        <f>IFERROR(__xludf.DUMMYFUNCTION("""COMPUTED_VALUE"""),43070.64583333333)</f>
        <v>43070.64583</v>
      </c>
      <c r="B1455" s="1">
        <f>IFERROR(__xludf.DUMMYFUNCTION("""COMPUTED_VALUE"""),12000.0)</f>
        <v>12000</v>
      </c>
      <c r="C1455" s="1">
        <f>IFERROR(__xludf.DUMMYFUNCTION("""COMPUTED_VALUE"""),12050.0)</f>
        <v>12050</v>
      </c>
      <c r="D1455" s="1">
        <f>IFERROR(__xludf.DUMMYFUNCTION("""COMPUTED_VALUE"""),11500.0)</f>
        <v>11500</v>
      </c>
      <c r="E1455" s="1">
        <f>IFERROR(__xludf.DUMMYFUNCTION("""COMPUTED_VALUE"""),11800.0)</f>
        <v>11800</v>
      </c>
      <c r="F1455" s="1">
        <f>IFERROR(__xludf.DUMMYFUNCTION("""COMPUTED_VALUE"""),161991.0)</f>
        <v>161991</v>
      </c>
    </row>
    <row r="1456">
      <c r="A1456" s="2">
        <f>IFERROR(__xludf.DUMMYFUNCTION("""COMPUTED_VALUE"""),43073.64583333333)</f>
        <v>43073.64583</v>
      </c>
      <c r="B1456" s="1">
        <f>IFERROR(__xludf.DUMMYFUNCTION("""COMPUTED_VALUE"""),11950.0)</f>
        <v>11950</v>
      </c>
      <c r="C1456" s="1">
        <f>IFERROR(__xludf.DUMMYFUNCTION("""COMPUTED_VALUE"""),12000.0)</f>
        <v>12000</v>
      </c>
      <c r="D1456" s="1">
        <f>IFERROR(__xludf.DUMMYFUNCTION("""COMPUTED_VALUE"""),11500.0)</f>
        <v>11500</v>
      </c>
      <c r="E1456" s="1">
        <f>IFERROR(__xludf.DUMMYFUNCTION("""COMPUTED_VALUE"""),11900.0)</f>
        <v>11900</v>
      </c>
      <c r="F1456" s="1">
        <f>IFERROR(__xludf.DUMMYFUNCTION("""COMPUTED_VALUE"""),84474.0)</f>
        <v>84474</v>
      </c>
    </row>
    <row r="1457">
      <c r="A1457" s="2">
        <f>IFERROR(__xludf.DUMMYFUNCTION("""COMPUTED_VALUE"""),43074.64583333333)</f>
        <v>43074.64583</v>
      </c>
      <c r="B1457" s="1">
        <f>IFERROR(__xludf.DUMMYFUNCTION("""COMPUTED_VALUE"""),11900.0)</f>
        <v>11900</v>
      </c>
      <c r="C1457" s="1">
        <f>IFERROR(__xludf.DUMMYFUNCTION("""COMPUTED_VALUE"""),12350.0)</f>
        <v>12350</v>
      </c>
      <c r="D1457" s="1">
        <f>IFERROR(__xludf.DUMMYFUNCTION("""COMPUTED_VALUE"""),11700.0)</f>
        <v>11700</v>
      </c>
      <c r="E1457" s="1">
        <f>IFERROR(__xludf.DUMMYFUNCTION("""COMPUTED_VALUE"""),12200.0)</f>
        <v>12200</v>
      </c>
      <c r="F1457" s="1">
        <f>IFERROR(__xludf.DUMMYFUNCTION("""COMPUTED_VALUE"""),149851.0)</f>
        <v>149851</v>
      </c>
    </row>
    <row r="1458">
      <c r="A1458" s="2">
        <f>IFERROR(__xludf.DUMMYFUNCTION("""COMPUTED_VALUE"""),43075.64583333333)</f>
        <v>43075.64583</v>
      </c>
      <c r="B1458" s="1">
        <f>IFERROR(__xludf.DUMMYFUNCTION("""COMPUTED_VALUE"""),12300.0)</f>
        <v>12300</v>
      </c>
      <c r="C1458" s="1">
        <f>IFERROR(__xludf.DUMMYFUNCTION("""COMPUTED_VALUE"""),12350.0)</f>
        <v>12350</v>
      </c>
      <c r="D1458" s="1">
        <f>IFERROR(__xludf.DUMMYFUNCTION("""COMPUTED_VALUE"""),11650.0)</f>
        <v>11650</v>
      </c>
      <c r="E1458" s="1">
        <f>IFERROR(__xludf.DUMMYFUNCTION("""COMPUTED_VALUE"""),11850.0)</f>
        <v>11850</v>
      </c>
      <c r="F1458" s="1">
        <f>IFERROR(__xludf.DUMMYFUNCTION("""COMPUTED_VALUE"""),98582.0)</f>
        <v>98582</v>
      </c>
    </row>
    <row r="1459">
      <c r="A1459" s="2">
        <f>IFERROR(__xludf.DUMMYFUNCTION("""COMPUTED_VALUE"""),43076.64583333333)</f>
        <v>43076.64583</v>
      </c>
      <c r="B1459" s="1">
        <f>IFERROR(__xludf.DUMMYFUNCTION("""COMPUTED_VALUE"""),11850.0)</f>
        <v>11850</v>
      </c>
      <c r="C1459" s="1">
        <f>IFERROR(__xludf.DUMMYFUNCTION("""COMPUTED_VALUE"""),11900.0)</f>
        <v>11900</v>
      </c>
      <c r="D1459" s="1">
        <f>IFERROR(__xludf.DUMMYFUNCTION("""COMPUTED_VALUE"""),11250.0)</f>
        <v>11250</v>
      </c>
      <c r="E1459" s="1">
        <f>IFERROR(__xludf.DUMMYFUNCTION("""COMPUTED_VALUE"""),11450.0)</f>
        <v>11450</v>
      </c>
      <c r="F1459" s="1">
        <f>IFERROR(__xludf.DUMMYFUNCTION("""COMPUTED_VALUE"""),119415.0)</f>
        <v>119415</v>
      </c>
    </row>
    <row r="1460">
      <c r="A1460" s="2">
        <f>IFERROR(__xludf.DUMMYFUNCTION("""COMPUTED_VALUE"""),43077.64583333333)</f>
        <v>43077.64583</v>
      </c>
      <c r="B1460" s="1">
        <f>IFERROR(__xludf.DUMMYFUNCTION("""COMPUTED_VALUE"""),11450.0)</f>
        <v>11450</v>
      </c>
      <c r="C1460" s="1">
        <f>IFERROR(__xludf.DUMMYFUNCTION("""COMPUTED_VALUE"""),11500.0)</f>
        <v>11500</v>
      </c>
      <c r="D1460" s="1">
        <f>IFERROR(__xludf.DUMMYFUNCTION("""COMPUTED_VALUE"""),10950.0)</f>
        <v>10950</v>
      </c>
      <c r="E1460" s="1">
        <f>IFERROR(__xludf.DUMMYFUNCTION("""COMPUTED_VALUE"""),11050.0)</f>
        <v>11050</v>
      </c>
      <c r="F1460" s="1">
        <f>IFERROR(__xludf.DUMMYFUNCTION("""COMPUTED_VALUE"""),108997.0)</f>
        <v>108997</v>
      </c>
    </row>
    <row r="1461">
      <c r="A1461" s="2">
        <f>IFERROR(__xludf.DUMMYFUNCTION("""COMPUTED_VALUE"""),43080.64583333333)</f>
        <v>43080.64583</v>
      </c>
      <c r="B1461" s="1">
        <f>IFERROR(__xludf.DUMMYFUNCTION("""COMPUTED_VALUE"""),11150.0)</f>
        <v>11150</v>
      </c>
      <c r="C1461" s="1">
        <f>IFERROR(__xludf.DUMMYFUNCTION("""COMPUTED_VALUE"""),11300.0)</f>
        <v>11300</v>
      </c>
      <c r="D1461" s="1">
        <f>IFERROR(__xludf.DUMMYFUNCTION("""COMPUTED_VALUE"""),10950.0)</f>
        <v>10950</v>
      </c>
      <c r="E1461" s="1">
        <f>IFERROR(__xludf.DUMMYFUNCTION("""COMPUTED_VALUE"""),11250.0)</f>
        <v>11250</v>
      </c>
      <c r="F1461" s="1">
        <f>IFERROR(__xludf.DUMMYFUNCTION("""COMPUTED_VALUE"""),40124.0)</f>
        <v>40124</v>
      </c>
    </row>
    <row r="1462">
      <c r="A1462" s="2">
        <f>IFERROR(__xludf.DUMMYFUNCTION("""COMPUTED_VALUE"""),43081.64583333333)</f>
        <v>43081.64583</v>
      </c>
      <c r="B1462" s="1">
        <f>IFERROR(__xludf.DUMMYFUNCTION("""COMPUTED_VALUE"""),11250.0)</f>
        <v>11250</v>
      </c>
      <c r="C1462" s="1">
        <f>IFERROR(__xludf.DUMMYFUNCTION("""COMPUTED_VALUE"""),11350.0)</f>
        <v>11350</v>
      </c>
      <c r="D1462" s="1">
        <f>IFERROR(__xludf.DUMMYFUNCTION("""COMPUTED_VALUE"""),10600.0)</f>
        <v>10600</v>
      </c>
      <c r="E1462" s="1">
        <f>IFERROR(__xludf.DUMMYFUNCTION("""COMPUTED_VALUE"""),10950.0)</f>
        <v>10950</v>
      </c>
      <c r="F1462" s="1">
        <f>IFERROR(__xludf.DUMMYFUNCTION("""COMPUTED_VALUE"""),52657.0)</f>
        <v>52657</v>
      </c>
    </row>
    <row r="1463">
      <c r="A1463" s="2">
        <f>IFERROR(__xludf.DUMMYFUNCTION("""COMPUTED_VALUE"""),43082.64583333333)</f>
        <v>43082.64583</v>
      </c>
      <c r="B1463" s="1">
        <f>IFERROR(__xludf.DUMMYFUNCTION("""COMPUTED_VALUE"""),10950.0)</f>
        <v>10950</v>
      </c>
      <c r="C1463" s="1">
        <f>IFERROR(__xludf.DUMMYFUNCTION("""COMPUTED_VALUE"""),11600.0)</f>
        <v>11600</v>
      </c>
      <c r="D1463" s="1">
        <f>IFERROR(__xludf.DUMMYFUNCTION("""COMPUTED_VALUE"""),10700.0)</f>
        <v>10700</v>
      </c>
      <c r="E1463" s="1">
        <f>IFERROR(__xludf.DUMMYFUNCTION("""COMPUTED_VALUE"""),11350.0)</f>
        <v>11350</v>
      </c>
      <c r="F1463" s="1">
        <f>IFERROR(__xludf.DUMMYFUNCTION("""COMPUTED_VALUE"""),79458.0)</f>
        <v>79458</v>
      </c>
    </row>
    <row r="1464">
      <c r="A1464" s="2">
        <f>IFERROR(__xludf.DUMMYFUNCTION("""COMPUTED_VALUE"""),43083.64583333333)</f>
        <v>43083.64583</v>
      </c>
      <c r="B1464" s="1">
        <f>IFERROR(__xludf.DUMMYFUNCTION("""COMPUTED_VALUE"""),11350.0)</f>
        <v>11350</v>
      </c>
      <c r="C1464" s="1">
        <f>IFERROR(__xludf.DUMMYFUNCTION("""COMPUTED_VALUE"""),11600.0)</f>
        <v>11600</v>
      </c>
      <c r="D1464" s="1">
        <f>IFERROR(__xludf.DUMMYFUNCTION("""COMPUTED_VALUE"""),11150.0)</f>
        <v>11150</v>
      </c>
      <c r="E1464" s="1">
        <f>IFERROR(__xludf.DUMMYFUNCTION("""COMPUTED_VALUE"""),11150.0)</f>
        <v>11150</v>
      </c>
      <c r="F1464" s="1">
        <f>IFERROR(__xludf.DUMMYFUNCTION("""COMPUTED_VALUE"""),46045.0)</f>
        <v>46045</v>
      </c>
    </row>
    <row r="1465">
      <c r="A1465" s="2">
        <f>IFERROR(__xludf.DUMMYFUNCTION("""COMPUTED_VALUE"""),43084.64583333333)</f>
        <v>43084.64583</v>
      </c>
      <c r="B1465" s="1">
        <f>IFERROR(__xludf.DUMMYFUNCTION("""COMPUTED_VALUE"""),11350.0)</f>
        <v>11350</v>
      </c>
      <c r="C1465" s="1">
        <f>IFERROR(__xludf.DUMMYFUNCTION("""COMPUTED_VALUE"""),11800.0)</f>
        <v>11800</v>
      </c>
      <c r="D1465" s="1">
        <f>IFERROR(__xludf.DUMMYFUNCTION("""COMPUTED_VALUE"""),11300.0)</f>
        <v>11300</v>
      </c>
      <c r="E1465" s="1">
        <f>IFERROR(__xludf.DUMMYFUNCTION("""COMPUTED_VALUE"""),11550.0)</f>
        <v>11550</v>
      </c>
      <c r="F1465" s="1">
        <f>IFERROR(__xludf.DUMMYFUNCTION("""COMPUTED_VALUE"""),73164.0)</f>
        <v>73164</v>
      </c>
    </row>
    <row r="1466">
      <c r="A1466" s="2">
        <f>IFERROR(__xludf.DUMMYFUNCTION("""COMPUTED_VALUE"""),43087.64583333333)</f>
        <v>43087.64583</v>
      </c>
      <c r="B1466" s="1">
        <f>IFERROR(__xludf.DUMMYFUNCTION("""COMPUTED_VALUE"""),11600.0)</f>
        <v>11600</v>
      </c>
      <c r="C1466" s="1">
        <f>IFERROR(__xludf.DUMMYFUNCTION("""COMPUTED_VALUE"""),11600.0)</f>
        <v>11600</v>
      </c>
      <c r="D1466" s="1">
        <f>IFERROR(__xludf.DUMMYFUNCTION("""COMPUTED_VALUE"""),11150.0)</f>
        <v>11150</v>
      </c>
      <c r="E1466" s="1">
        <f>IFERROR(__xludf.DUMMYFUNCTION("""COMPUTED_VALUE"""),11250.0)</f>
        <v>11250</v>
      </c>
      <c r="F1466" s="1">
        <f>IFERROR(__xludf.DUMMYFUNCTION("""COMPUTED_VALUE"""),31586.0)</f>
        <v>31586</v>
      </c>
    </row>
    <row r="1467">
      <c r="A1467" s="2">
        <f>IFERROR(__xludf.DUMMYFUNCTION("""COMPUTED_VALUE"""),43088.64583333333)</f>
        <v>43088.64583</v>
      </c>
      <c r="B1467" s="1">
        <f>IFERROR(__xludf.DUMMYFUNCTION("""COMPUTED_VALUE"""),11300.0)</f>
        <v>11300</v>
      </c>
      <c r="C1467" s="1">
        <f>IFERROR(__xludf.DUMMYFUNCTION("""COMPUTED_VALUE"""),11350.0)</f>
        <v>11350</v>
      </c>
      <c r="D1467" s="1">
        <f>IFERROR(__xludf.DUMMYFUNCTION("""COMPUTED_VALUE"""),10700.0)</f>
        <v>10700</v>
      </c>
      <c r="E1467" s="1">
        <f>IFERROR(__xludf.DUMMYFUNCTION("""COMPUTED_VALUE"""),10850.0)</f>
        <v>10850</v>
      </c>
      <c r="F1467" s="1">
        <f>IFERROR(__xludf.DUMMYFUNCTION("""COMPUTED_VALUE"""),103067.0)</f>
        <v>103067</v>
      </c>
    </row>
    <row r="1468">
      <c r="A1468" s="2">
        <f>IFERROR(__xludf.DUMMYFUNCTION("""COMPUTED_VALUE"""),43089.64583333333)</f>
        <v>43089.64583</v>
      </c>
      <c r="B1468" s="1">
        <f>IFERROR(__xludf.DUMMYFUNCTION("""COMPUTED_VALUE"""),10800.0)</f>
        <v>10800</v>
      </c>
      <c r="C1468" s="1">
        <f>IFERROR(__xludf.DUMMYFUNCTION("""COMPUTED_VALUE"""),11050.0)</f>
        <v>11050</v>
      </c>
      <c r="D1468" s="1">
        <f>IFERROR(__xludf.DUMMYFUNCTION("""COMPUTED_VALUE"""),10800.0)</f>
        <v>10800</v>
      </c>
      <c r="E1468" s="1">
        <f>IFERROR(__xludf.DUMMYFUNCTION("""COMPUTED_VALUE"""),11000.0)</f>
        <v>11000</v>
      </c>
      <c r="F1468" s="1">
        <f>IFERROR(__xludf.DUMMYFUNCTION("""COMPUTED_VALUE"""),20256.0)</f>
        <v>20256</v>
      </c>
    </row>
    <row r="1469">
      <c r="A1469" s="2">
        <f>IFERROR(__xludf.DUMMYFUNCTION("""COMPUTED_VALUE"""),43090.64583333333)</f>
        <v>43090.64583</v>
      </c>
      <c r="B1469" s="1">
        <f>IFERROR(__xludf.DUMMYFUNCTION("""COMPUTED_VALUE"""),11100.0)</f>
        <v>11100</v>
      </c>
      <c r="C1469" s="1">
        <f>IFERROR(__xludf.DUMMYFUNCTION("""COMPUTED_VALUE"""),11100.0)</f>
        <v>11100</v>
      </c>
      <c r="D1469" s="1">
        <f>IFERROR(__xludf.DUMMYFUNCTION("""COMPUTED_VALUE"""),10600.0)</f>
        <v>10600</v>
      </c>
      <c r="E1469" s="1">
        <f>IFERROR(__xludf.DUMMYFUNCTION("""COMPUTED_VALUE"""),10800.0)</f>
        <v>10800</v>
      </c>
      <c r="F1469" s="1">
        <f>IFERROR(__xludf.DUMMYFUNCTION("""COMPUTED_VALUE"""),24317.0)</f>
        <v>24317</v>
      </c>
    </row>
    <row r="1470">
      <c r="A1470" s="2">
        <f>IFERROR(__xludf.DUMMYFUNCTION("""COMPUTED_VALUE"""),43091.64583333333)</f>
        <v>43091.64583</v>
      </c>
      <c r="B1470" s="1">
        <f>IFERROR(__xludf.DUMMYFUNCTION("""COMPUTED_VALUE"""),10650.0)</f>
        <v>10650</v>
      </c>
      <c r="C1470" s="1">
        <f>IFERROR(__xludf.DUMMYFUNCTION("""COMPUTED_VALUE"""),11150.0)</f>
        <v>11150</v>
      </c>
      <c r="D1470" s="1">
        <f>IFERROR(__xludf.DUMMYFUNCTION("""COMPUTED_VALUE"""),10650.0)</f>
        <v>10650</v>
      </c>
      <c r="E1470" s="1">
        <f>IFERROR(__xludf.DUMMYFUNCTION("""COMPUTED_VALUE"""),11100.0)</f>
        <v>11100</v>
      </c>
      <c r="F1470" s="1">
        <f>IFERROR(__xludf.DUMMYFUNCTION("""COMPUTED_VALUE"""),25926.0)</f>
        <v>25926</v>
      </c>
    </row>
    <row r="1471">
      <c r="A1471" s="2">
        <f>IFERROR(__xludf.DUMMYFUNCTION("""COMPUTED_VALUE"""),43095.64583333333)</f>
        <v>43095.64583</v>
      </c>
      <c r="B1471" s="1">
        <f>IFERROR(__xludf.DUMMYFUNCTION("""COMPUTED_VALUE"""),11100.0)</f>
        <v>11100</v>
      </c>
      <c r="C1471" s="1">
        <f>IFERROR(__xludf.DUMMYFUNCTION("""COMPUTED_VALUE"""),11350.0)</f>
        <v>11350</v>
      </c>
      <c r="D1471" s="1">
        <f>IFERROR(__xludf.DUMMYFUNCTION("""COMPUTED_VALUE"""),11000.0)</f>
        <v>11000</v>
      </c>
      <c r="E1471" s="1">
        <f>IFERROR(__xludf.DUMMYFUNCTION("""COMPUTED_VALUE"""),11050.0)</f>
        <v>11050</v>
      </c>
      <c r="F1471" s="1">
        <f>IFERROR(__xludf.DUMMYFUNCTION("""COMPUTED_VALUE"""),38282.0)</f>
        <v>38282</v>
      </c>
    </row>
    <row r="1472">
      <c r="A1472" s="2">
        <f>IFERROR(__xludf.DUMMYFUNCTION("""COMPUTED_VALUE"""),43096.64583333333)</f>
        <v>43096.64583</v>
      </c>
      <c r="B1472" s="1">
        <f>IFERROR(__xludf.DUMMYFUNCTION("""COMPUTED_VALUE"""),11050.0)</f>
        <v>11050</v>
      </c>
      <c r="C1472" s="1">
        <f>IFERROR(__xludf.DUMMYFUNCTION("""COMPUTED_VALUE"""),12150.0)</f>
        <v>12150</v>
      </c>
      <c r="D1472" s="1">
        <f>IFERROR(__xludf.DUMMYFUNCTION("""COMPUTED_VALUE"""),10550.0)</f>
        <v>10550</v>
      </c>
      <c r="E1472" s="1">
        <f>IFERROR(__xludf.DUMMYFUNCTION("""COMPUTED_VALUE"""),11700.0)</f>
        <v>11700</v>
      </c>
      <c r="F1472" s="1">
        <f>IFERROR(__xludf.DUMMYFUNCTION("""COMPUTED_VALUE"""),149286.0)</f>
        <v>149286</v>
      </c>
    </row>
    <row r="1473">
      <c r="A1473" s="2">
        <f>IFERROR(__xludf.DUMMYFUNCTION("""COMPUTED_VALUE"""),43097.64583333333)</f>
        <v>43097.64583</v>
      </c>
      <c r="B1473" s="1">
        <f>IFERROR(__xludf.DUMMYFUNCTION("""COMPUTED_VALUE"""),11700.0)</f>
        <v>11700</v>
      </c>
      <c r="C1473" s="1">
        <f>IFERROR(__xludf.DUMMYFUNCTION("""COMPUTED_VALUE"""),12150.0)</f>
        <v>12150</v>
      </c>
      <c r="D1473" s="1">
        <f>IFERROR(__xludf.DUMMYFUNCTION("""COMPUTED_VALUE"""),11700.0)</f>
        <v>11700</v>
      </c>
      <c r="E1473" s="1">
        <f>IFERROR(__xludf.DUMMYFUNCTION("""COMPUTED_VALUE"""),11950.0)</f>
        <v>11950</v>
      </c>
      <c r="F1473" s="1">
        <f>IFERROR(__xludf.DUMMYFUNCTION("""COMPUTED_VALUE"""),86801.0)</f>
        <v>86801</v>
      </c>
    </row>
    <row r="1474">
      <c r="A1474" s="2">
        <f>IFERROR(__xludf.DUMMYFUNCTION("""COMPUTED_VALUE"""),43102.64583333333)</f>
        <v>43102.64583</v>
      </c>
      <c r="B1474" s="1">
        <f>IFERROR(__xludf.DUMMYFUNCTION("""COMPUTED_VALUE"""),12000.0)</f>
        <v>12000</v>
      </c>
      <c r="C1474" s="1">
        <f>IFERROR(__xludf.DUMMYFUNCTION("""COMPUTED_VALUE"""),12250.0)</f>
        <v>12250</v>
      </c>
      <c r="D1474" s="1">
        <f>IFERROR(__xludf.DUMMYFUNCTION("""COMPUTED_VALUE"""),11700.0)</f>
        <v>11700</v>
      </c>
      <c r="E1474" s="1">
        <f>IFERROR(__xludf.DUMMYFUNCTION("""COMPUTED_VALUE"""),11950.0)</f>
        <v>11950</v>
      </c>
      <c r="F1474" s="1">
        <f>IFERROR(__xludf.DUMMYFUNCTION("""COMPUTED_VALUE"""),67927.0)</f>
        <v>67927</v>
      </c>
    </row>
    <row r="1475">
      <c r="A1475" s="2">
        <f>IFERROR(__xludf.DUMMYFUNCTION("""COMPUTED_VALUE"""),43103.64583333333)</f>
        <v>43103.64583</v>
      </c>
      <c r="B1475" s="1">
        <f>IFERROR(__xludf.DUMMYFUNCTION("""COMPUTED_VALUE"""),11950.0)</f>
        <v>11950</v>
      </c>
      <c r="C1475" s="1">
        <f>IFERROR(__xludf.DUMMYFUNCTION("""COMPUTED_VALUE"""),12000.0)</f>
        <v>12000</v>
      </c>
      <c r="D1475" s="1">
        <f>IFERROR(__xludf.DUMMYFUNCTION("""COMPUTED_VALUE"""),11400.0)</f>
        <v>11400</v>
      </c>
      <c r="E1475" s="1">
        <f>IFERROR(__xludf.DUMMYFUNCTION("""COMPUTED_VALUE"""),11550.0)</f>
        <v>11550</v>
      </c>
      <c r="F1475" s="1">
        <f>IFERROR(__xludf.DUMMYFUNCTION("""COMPUTED_VALUE"""),76836.0)</f>
        <v>76836</v>
      </c>
    </row>
    <row r="1476">
      <c r="A1476" s="2">
        <f>IFERROR(__xludf.DUMMYFUNCTION("""COMPUTED_VALUE"""),43104.64583333333)</f>
        <v>43104.64583</v>
      </c>
      <c r="B1476" s="1">
        <f>IFERROR(__xludf.DUMMYFUNCTION("""COMPUTED_VALUE"""),11500.0)</f>
        <v>11500</v>
      </c>
      <c r="C1476" s="1">
        <f>IFERROR(__xludf.DUMMYFUNCTION("""COMPUTED_VALUE"""),11550.0)</f>
        <v>11550</v>
      </c>
      <c r="D1476" s="1">
        <f>IFERROR(__xludf.DUMMYFUNCTION("""COMPUTED_VALUE"""),10950.0)</f>
        <v>10950</v>
      </c>
      <c r="E1476" s="1">
        <f>IFERROR(__xludf.DUMMYFUNCTION("""COMPUTED_VALUE"""),11200.0)</f>
        <v>11200</v>
      </c>
      <c r="F1476" s="1">
        <f>IFERROR(__xludf.DUMMYFUNCTION("""COMPUTED_VALUE"""),85677.0)</f>
        <v>85677</v>
      </c>
    </row>
    <row r="1477">
      <c r="A1477" s="2">
        <f>IFERROR(__xludf.DUMMYFUNCTION("""COMPUTED_VALUE"""),43105.64583333333)</f>
        <v>43105.64583</v>
      </c>
      <c r="B1477" s="1">
        <f>IFERROR(__xludf.DUMMYFUNCTION("""COMPUTED_VALUE"""),11350.0)</f>
        <v>11350</v>
      </c>
      <c r="C1477" s="1">
        <f>IFERROR(__xludf.DUMMYFUNCTION("""COMPUTED_VALUE"""),11600.0)</f>
        <v>11600</v>
      </c>
      <c r="D1477" s="1">
        <f>IFERROR(__xludf.DUMMYFUNCTION("""COMPUTED_VALUE"""),11200.0)</f>
        <v>11200</v>
      </c>
      <c r="E1477" s="1">
        <f>IFERROR(__xludf.DUMMYFUNCTION("""COMPUTED_VALUE"""),11450.0)</f>
        <v>11450</v>
      </c>
      <c r="F1477" s="1">
        <f>IFERROR(__xludf.DUMMYFUNCTION("""COMPUTED_VALUE"""),43757.0)</f>
        <v>43757</v>
      </c>
    </row>
    <row r="1478">
      <c r="A1478" s="2">
        <f>IFERROR(__xludf.DUMMYFUNCTION("""COMPUTED_VALUE"""),43108.64583333333)</f>
        <v>43108.64583</v>
      </c>
      <c r="B1478" s="1">
        <f>IFERROR(__xludf.DUMMYFUNCTION("""COMPUTED_VALUE"""),11550.0)</f>
        <v>11550</v>
      </c>
      <c r="C1478" s="1">
        <f>IFERROR(__xludf.DUMMYFUNCTION("""COMPUTED_VALUE"""),11550.0)</f>
        <v>11550</v>
      </c>
      <c r="D1478" s="1">
        <f>IFERROR(__xludf.DUMMYFUNCTION("""COMPUTED_VALUE"""),10950.0)</f>
        <v>10950</v>
      </c>
      <c r="E1478" s="1">
        <f>IFERROR(__xludf.DUMMYFUNCTION("""COMPUTED_VALUE"""),11100.0)</f>
        <v>11100</v>
      </c>
      <c r="F1478" s="1">
        <f>IFERROR(__xludf.DUMMYFUNCTION("""COMPUTED_VALUE"""),38675.0)</f>
        <v>38675</v>
      </c>
    </row>
    <row r="1479">
      <c r="A1479" s="2">
        <f>IFERROR(__xludf.DUMMYFUNCTION("""COMPUTED_VALUE"""),43109.64583333333)</f>
        <v>43109.64583</v>
      </c>
      <c r="B1479" s="1">
        <f>IFERROR(__xludf.DUMMYFUNCTION("""COMPUTED_VALUE"""),11200.0)</f>
        <v>11200</v>
      </c>
      <c r="C1479" s="1">
        <f>IFERROR(__xludf.DUMMYFUNCTION("""COMPUTED_VALUE"""),12100.0)</f>
        <v>12100</v>
      </c>
      <c r="D1479" s="1">
        <f>IFERROR(__xludf.DUMMYFUNCTION("""COMPUTED_VALUE"""),11050.0)</f>
        <v>11050</v>
      </c>
      <c r="E1479" s="1">
        <f>IFERROR(__xludf.DUMMYFUNCTION("""COMPUTED_VALUE"""),12050.0)</f>
        <v>12050</v>
      </c>
      <c r="F1479" s="1">
        <f>IFERROR(__xludf.DUMMYFUNCTION("""COMPUTED_VALUE"""),167605.0)</f>
        <v>167605</v>
      </c>
    </row>
    <row r="1480">
      <c r="A1480" s="2">
        <f>IFERROR(__xludf.DUMMYFUNCTION("""COMPUTED_VALUE"""),43110.64583333333)</f>
        <v>43110.64583</v>
      </c>
      <c r="B1480" s="1">
        <f>IFERROR(__xludf.DUMMYFUNCTION("""COMPUTED_VALUE"""),12100.0)</f>
        <v>12100</v>
      </c>
      <c r="C1480" s="1">
        <f>IFERROR(__xludf.DUMMYFUNCTION("""COMPUTED_VALUE"""),12400.0)</f>
        <v>12400</v>
      </c>
      <c r="D1480" s="1">
        <f>IFERROR(__xludf.DUMMYFUNCTION("""COMPUTED_VALUE"""),11700.0)</f>
        <v>11700</v>
      </c>
      <c r="E1480" s="1">
        <f>IFERROR(__xludf.DUMMYFUNCTION("""COMPUTED_VALUE"""),11950.0)</f>
        <v>11950</v>
      </c>
      <c r="F1480" s="1">
        <f>IFERROR(__xludf.DUMMYFUNCTION("""COMPUTED_VALUE"""),60673.0)</f>
        <v>60673</v>
      </c>
    </row>
    <row r="1481">
      <c r="A1481" s="2">
        <f>IFERROR(__xludf.DUMMYFUNCTION("""COMPUTED_VALUE"""),43111.64583333333)</f>
        <v>43111.64583</v>
      </c>
      <c r="B1481" s="1">
        <f>IFERROR(__xludf.DUMMYFUNCTION("""COMPUTED_VALUE"""),12000.0)</f>
        <v>12000</v>
      </c>
      <c r="C1481" s="1">
        <f>IFERROR(__xludf.DUMMYFUNCTION("""COMPUTED_VALUE"""),12250.0)</f>
        <v>12250</v>
      </c>
      <c r="D1481" s="1">
        <f>IFERROR(__xludf.DUMMYFUNCTION("""COMPUTED_VALUE"""),11800.0)</f>
        <v>11800</v>
      </c>
      <c r="E1481" s="1">
        <f>IFERROR(__xludf.DUMMYFUNCTION("""COMPUTED_VALUE"""),11950.0)</f>
        <v>11950</v>
      </c>
      <c r="F1481" s="1">
        <f>IFERROR(__xludf.DUMMYFUNCTION("""COMPUTED_VALUE"""),48065.0)</f>
        <v>48065</v>
      </c>
    </row>
    <row r="1482">
      <c r="A1482" s="2">
        <f>IFERROR(__xludf.DUMMYFUNCTION("""COMPUTED_VALUE"""),43112.64583333333)</f>
        <v>43112.64583</v>
      </c>
      <c r="B1482" s="1">
        <f>IFERROR(__xludf.DUMMYFUNCTION("""COMPUTED_VALUE"""),11800.0)</f>
        <v>11800</v>
      </c>
      <c r="C1482" s="1">
        <f>IFERROR(__xludf.DUMMYFUNCTION("""COMPUTED_VALUE"""),12100.0)</f>
        <v>12100</v>
      </c>
      <c r="D1482" s="1">
        <f>IFERROR(__xludf.DUMMYFUNCTION("""COMPUTED_VALUE"""),11500.0)</f>
        <v>11500</v>
      </c>
      <c r="E1482" s="1">
        <f>IFERROR(__xludf.DUMMYFUNCTION("""COMPUTED_VALUE"""),11600.0)</f>
        <v>11600</v>
      </c>
      <c r="F1482" s="1">
        <f>IFERROR(__xludf.DUMMYFUNCTION("""COMPUTED_VALUE"""),52801.0)</f>
        <v>52801</v>
      </c>
    </row>
    <row r="1483">
      <c r="A1483" s="2">
        <f>IFERROR(__xludf.DUMMYFUNCTION("""COMPUTED_VALUE"""),43115.64583333333)</f>
        <v>43115.64583</v>
      </c>
      <c r="B1483" s="1">
        <f>IFERROR(__xludf.DUMMYFUNCTION("""COMPUTED_VALUE"""),11700.0)</f>
        <v>11700</v>
      </c>
      <c r="C1483" s="1">
        <f>IFERROR(__xludf.DUMMYFUNCTION("""COMPUTED_VALUE"""),11750.0)</f>
        <v>11750</v>
      </c>
      <c r="D1483" s="1">
        <f>IFERROR(__xludf.DUMMYFUNCTION("""COMPUTED_VALUE"""),11300.0)</f>
        <v>11300</v>
      </c>
      <c r="E1483" s="1">
        <f>IFERROR(__xludf.DUMMYFUNCTION("""COMPUTED_VALUE"""),11450.0)</f>
        <v>11450</v>
      </c>
      <c r="F1483" s="1">
        <f>IFERROR(__xludf.DUMMYFUNCTION("""COMPUTED_VALUE"""),41559.0)</f>
        <v>41559</v>
      </c>
    </row>
    <row r="1484">
      <c r="A1484" s="2">
        <f>IFERROR(__xludf.DUMMYFUNCTION("""COMPUTED_VALUE"""),43116.64583333333)</f>
        <v>43116.64583</v>
      </c>
      <c r="B1484" s="1">
        <f>IFERROR(__xludf.DUMMYFUNCTION("""COMPUTED_VALUE"""),11550.0)</f>
        <v>11550</v>
      </c>
      <c r="C1484" s="1">
        <f>IFERROR(__xludf.DUMMYFUNCTION("""COMPUTED_VALUE"""),11650.0)</f>
        <v>11650</v>
      </c>
      <c r="D1484" s="1">
        <f>IFERROR(__xludf.DUMMYFUNCTION("""COMPUTED_VALUE"""),11350.0)</f>
        <v>11350</v>
      </c>
      <c r="E1484" s="1">
        <f>IFERROR(__xludf.DUMMYFUNCTION("""COMPUTED_VALUE"""),11500.0)</f>
        <v>11500</v>
      </c>
      <c r="F1484" s="1">
        <f>IFERROR(__xludf.DUMMYFUNCTION("""COMPUTED_VALUE"""),27302.0)</f>
        <v>27302</v>
      </c>
    </row>
    <row r="1485">
      <c r="A1485" s="2">
        <f>IFERROR(__xludf.DUMMYFUNCTION("""COMPUTED_VALUE"""),43117.64583333333)</f>
        <v>43117.64583</v>
      </c>
      <c r="B1485" s="1">
        <f>IFERROR(__xludf.DUMMYFUNCTION("""COMPUTED_VALUE"""),11550.0)</f>
        <v>11550</v>
      </c>
      <c r="C1485" s="1">
        <f>IFERROR(__xludf.DUMMYFUNCTION("""COMPUTED_VALUE"""),11800.0)</f>
        <v>11800</v>
      </c>
      <c r="D1485" s="1">
        <f>IFERROR(__xludf.DUMMYFUNCTION("""COMPUTED_VALUE"""),11400.0)</f>
        <v>11400</v>
      </c>
      <c r="E1485" s="1">
        <f>IFERROR(__xludf.DUMMYFUNCTION("""COMPUTED_VALUE"""),11450.0)</f>
        <v>11450</v>
      </c>
      <c r="F1485" s="1">
        <f>IFERROR(__xludf.DUMMYFUNCTION("""COMPUTED_VALUE"""),36970.0)</f>
        <v>36970</v>
      </c>
    </row>
    <row r="1486">
      <c r="A1486" s="2">
        <f>IFERROR(__xludf.DUMMYFUNCTION("""COMPUTED_VALUE"""),43118.64583333333)</f>
        <v>43118.64583</v>
      </c>
      <c r="B1486" s="1">
        <f>IFERROR(__xludf.DUMMYFUNCTION("""COMPUTED_VALUE"""),11500.0)</f>
        <v>11500</v>
      </c>
      <c r="C1486" s="1">
        <f>IFERROR(__xludf.DUMMYFUNCTION("""COMPUTED_VALUE"""),11600.0)</f>
        <v>11600</v>
      </c>
      <c r="D1486" s="1">
        <f>IFERROR(__xludf.DUMMYFUNCTION("""COMPUTED_VALUE"""),11300.0)</f>
        <v>11300</v>
      </c>
      <c r="E1486" s="1">
        <f>IFERROR(__xludf.DUMMYFUNCTION("""COMPUTED_VALUE"""),11500.0)</f>
        <v>11500</v>
      </c>
      <c r="F1486" s="1">
        <f>IFERROR(__xludf.DUMMYFUNCTION("""COMPUTED_VALUE"""),34791.0)</f>
        <v>34791</v>
      </c>
    </row>
    <row r="1487">
      <c r="A1487" s="2">
        <f>IFERROR(__xludf.DUMMYFUNCTION("""COMPUTED_VALUE"""),43119.64583333333)</f>
        <v>43119.64583</v>
      </c>
      <c r="B1487" s="1">
        <f>IFERROR(__xludf.DUMMYFUNCTION("""COMPUTED_VALUE"""),11600.0)</f>
        <v>11600</v>
      </c>
      <c r="C1487" s="1">
        <f>IFERROR(__xludf.DUMMYFUNCTION("""COMPUTED_VALUE"""),12000.0)</f>
        <v>12000</v>
      </c>
      <c r="D1487" s="1">
        <f>IFERROR(__xludf.DUMMYFUNCTION("""COMPUTED_VALUE"""),11350.0)</f>
        <v>11350</v>
      </c>
      <c r="E1487" s="1">
        <f>IFERROR(__xludf.DUMMYFUNCTION("""COMPUTED_VALUE"""),11550.0)</f>
        <v>11550</v>
      </c>
      <c r="F1487" s="1">
        <f>IFERROR(__xludf.DUMMYFUNCTION("""COMPUTED_VALUE"""),119135.0)</f>
        <v>119135</v>
      </c>
    </row>
    <row r="1488">
      <c r="A1488" s="2">
        <f>IFERROR(__xludf.DUMMYFUNCTION("""COMPUTED_VALUE"""),43122.64583333333)</f>
        <v>43122.64583</v>
      </c>
      <c r="B1488" s="1">
        <f>IFERROR(__xludf.DUMMYFUNCTION("""COMPUTED_VALUE"""),11550.0)</f>
        <v>11550</v>
      </c>
      <c r="C1488" s="1">
        <f>IFERROR(__xludf.DUMMYFUNCTION("""COMPUTED_VALUE"""),11700.0)</f>
        <v>11700</v>
      </c>
      <c r="D1488" s="1">
        <f>IFERROR(__xludf.DUMMYFUNCTION("""COMPUTED_VALUE"""),11250.0)</f>
        <v>11250</v>
      </c>
      <c r="E1488" s="1">
        <f>IFERROR(__xludf.DUMMYFUNCTION("""COMPUTED_VALUE"""),11300.0)</f>
        <v>11300</v>
      </c>
      <c r="F1488" s="1">
        <f>IFERROR(__xludf.DUMMYFUNCTION("""COMPUTED_VALUE"""),57000.0)</f>
        <v>57000</v>
      </c>
    </row>
    <row r="1489">
      <c r="A1489" s="2">
        <f>IFERROR(__xludf.DUMMYFUNCTION("""COMPUTED_VALUE"""),43123.64583333333)</f>
        <v>43123.64583</v>
      </c>
      <c r="B1489" s="1">
        <f>IFERROR(__xludf.DUMMYFUNCTION("""COMPUTED_VALUE"""),11300.0)</f>
        <v>11300</v>
      </c>
      <c r="C1489" s="1">
        <f>IFERROR(__xludf.DUMMYFUNCTION("""COMPUTED_VALUE"""),11400.0)</f>
        <v>11400</v>
      </c>
      <c r="D1489" s="1">
        <f>IFERROR(__xludf.DUMMYFUNCTION("""COMPUTED_VALUE"""),11200.0)</f>
        <v>11200</v>
      </c>
      <c r="E1489" s="1">
        <f>IFERROR(__xludf.DUMMYFUNCTION("""COMPUTED_VALUE"""),11300.0)</f>
        <v>11300</v>
      </c>
      <c r="F1489" s="1">
        <f>IFERROR(__xludf.DUMMYFUNCTION("""COMPUTED_VALUE"""),30966.0)</f>
        <v>30966</v>
      </c>
    </row>
    <row r="1490">
      <c r="A1490" s="2">
        <f>IFERROR(__xludf.DUMMYFUNCTION("""COMPUTED_VALUE"""),43124.64583333333)</f>
        <v>43124.64583</v>
      </c>
      <c r="B1490" s="1">
        <f>IFERROR(__xludf.DUMMYFUNCTION("""COMPUTED_VALUE"""),11300.0)</f>
        <v>11300</v>
      </c>
      <c r="C1490" s="1">
        <f>IFERROR(__xludf.DUMMYFUNCTION("""COMPUTED_VALUE"""),11400.0)</f>
        <v>11400</v>
      </c>
      <c r="D1490" s="1">
        <f>IFERROR(__xludf.DUMMYFUNCTION("""COMPUTED_VALUE"""),10800.0)</f>
        <v>10800</v>
      </c>
      <c r="E1490" s="1">
        <f>IFERROR(__xludf.DUMMYFUNCTION("""COMPUTED_VALUE"""),10950.0)</f>
        <v>10950</v>
      </c>
      <c r="F1490" s="1">
        <f>IFERROR(__xludf.DUMMYFUNCTION("""COMPUTED_VALUE"""),182331.0)</f>
        <v>182331</v>
      </c>
    </row>
    <row r="1491">
      <c r="A1491" s="2">
        <f>IFERROR(__xludf.DUMMYFUNCTION("""COMPUTED_VALUE"""),43125.64583333333)</f>
        <v>43125.64583</v>
      </c>
      <c r="B1491" s="1">
        <f>IFERROR(__xludf.DUMMYFUNCTION("""COMPUTED_VALUE"""),10900.0)</f>
        <v>10900</v>
      </c>
      <c r="C1491" s="1">
        <f>IFERROR(__xludf.DUMMYFUNCTION("""COMPUTED_VALUE"""),11250.0)</f>
        <v>11250</v>
      </c>
      <c r="D1491" s="1">
        <f>IFERROR(__xludf.DUMMYFUNCTION("""COMPUTED_VALUE"""),10900.0)</f>
        <v>10900</v>
      </c>
      <c r="E1491" s="1">
        <f>IFERROR(__xludf.DUMMYFUNCTION("""COMPUTED_VALUE"""),11200.0)</f>
        <v>11200</v>
      </c>
      <c r="F1491" s="1">
        <f>IFERROR(__xludf.DUMMYFUNCTION("""COMPUTED_VALUE"""),49307.0)</f>
        <v>49307</v>
      </c>
    </row>
    <row r="1492">
      <c r="A1492" s="2">
        <f>IFERROR(__xludf.DUMMYFUNCTION("""COMPUTED_VALUE"""),43126.64583333333)</f>
        <v>43126.64583</v>
      </c>
      <c r="B1492" s="1">
        <f>IFERROR(__xludf.DUMMYFUNCTION("""COMPUTED_VALUE"""),11200.0)</f>
        <v>11200</v>
      </c>
      <c r="C1492" s="1">
        <f>IFERROR(__xludf.DUMMYFUNCTION("""COMPUTED_VALUE"""),11550.0)</f>
        <v>11550</v>
      </c>
      <c r="D1492" s="1">
        <f>IFERROR(__xludf.DUMMYFUNCTION("""COMPUTED_VALUE"""),11200.0)</f>
        <v>11200</v>
      </c>
      <c r="E1492" s="1">
        <f>IFERROR(__xludf.DUMMYFUNCTION("""COMPUTED_VALUE"""),11500.0)</f>
        <v>11500</v>
      </c>
      <c r="F1492" s="1">
        <f>IFERROR(__xludf.DUMMYFUNCTION("""COMPUTED_VALUE"""),67054.0)</f>
        <v>67054</v>
      </c>
    </row>
    <row r="1493">
      <c r="A1493" s="2">
        <f>IFERROR(__xludf.DUMMYFUNCTION("""COMPUTED_VALUE"""),43129.64583333333)</f>
        <v>43129.64583</v>
      </c>
      <c r="B1493" s="1">
        <f>IFERROR(__xludf.DUMMYFUNCTION("""COMPUTED_VALUE"""),11500.0)</f>
        <v>11500</v>
      </c>
      <c r="C1493" s="1">
        <f>IFERROR(__xludf.DUMMYFUNCTION("""COMPUTED_VALUE"""),11600.0)</f>
        <v>11600</v>
      </c>
      <c r="D1493" s="1">
        <f>IFERROR(__xludf.DUMMYFUNCTION("""COMPUTED_VALUE"""),11250.0)</f>
        <v>11250</v>
      </c>
      <c r="E1493" s="1">
        <f>IFERROR(__xludf.DUMMYFUNCTION("""COMPUTED_VALUE"""),11300.0)</f>
        <v>11300</v>
      </c>
      <c r="F1493" s="1">
        <f>IFERROR(__xludf.DUMMYFUNCTION("""COMPUTED_VALUE"""),51557.0)</f>
        <v>51557</v>
      </c>
    </row>
    <row r="1494">
      <c r="A1494" s="2">
        <f>IFERROR(__xludf.DUMMYFUNCTION("""COMPUTED_VALUE"""),43130.64583333333)</f>
        <v>43130.64583</v>
      </c>
      <c r="B1494" s="1">
        <f>IFERROR(__xludf.DUMMYFUNCTION("""COMPUTED_VALUE"""),11200.0)</f>
        <v>11200</v>
      </c>
      <c r="C1494" s="1">
        <f>IFERROR(__xludf.DUMMYFUNCTION("""COMPUTED_VALUE"""),11300.0)</f>
        <v>11300</v>
      </c>
      <c r="D1494" s="1">
        <f>IFERROR(__xludf.DUMMYFUNCTION("""COMPUTED_VALUE"""),11050.0)</f>
        <v>11050</v>
      </c>
      <c r="E1494" s="1">
        <f>IFERROR(__xludf.DUMMYFUNCTION("""COMPUTED_VALUE"""),11150.0)</f>
        <v>11150</v>
      </c>
      <c r="F1494" s="1">
        <f>IFERROR(__xludf.DUMMYFUNCTION("""COMPUTED_VALUE"""),39347.0)</f>
        <v>39347</v>
      </c>
    </row>
    <row r="1495">
      <c r="A1495" s="2">
        <f>IFERROR(__xludf.DUMMYFUNCTION("""COMPUTED_VALUE"""),43131.64583333333)</f>
        <v>43131.64583</v>
      </c>
      <c r="B1495" s="1">
        <f>IFERROR(__xludf.DUMMYFUNCTION("""COMPUTED_VALUE"""),11150.0)</f>
        <v>11150</v>
      </c>
      <c r="C1495" s="1">
        <f>IFERROR(__xludf.DUMMYFUNCTION("""COMPUTED_VALUE"""),11250.0)</f>
        <v>11250</v>
      </c>
      <c r="D1495" s="1">
        <f>IFERROR(__xludf.DUMMYFUNCTION("""COMPUTED_VALUE"""),10950.0)</f>
        <v>10950</v>
      </c>
      <c r="E1495" s="1">
        <f>IFERROR(__xludf.DUMMYFUNCTION("""COMPUTED_VALUE"""),11100.0)</f>
        <v>11100</v>
      </c>
      <c r="F1495" s="1">
        <f>IFERROR(__xludf.DUMMYFUNCTION("""COMPUTED_VALUE"""),41957.0)</f>
        <v>41957</v>
      </c>
    </row>
    <row r="1496">
      <c r="A1496" s="2">
        <f>IFERROR(__xludf.DUMMYFUNCTION("""COMPUTED_VALUE"""),43132.64583333333)</f>
        <v>43132.64583</v>
      </c>
      <c r="B1496" s="1">
        <f>IFERROR(__xludf.DUMMYFUNCTION("""COMPUTED_VALUE"""),11100.0)</f>
        <v>11100</v>
      </c>
      <c r="C1496" s="1">
        <f>IFERROR(__xludf.DUMMYFUNCTION("""COMPUTED_VALUE"""),11250.0)</f>
        <v>11250</v>
      </c>
      <c r="D1496" s="1">
        <f>IFERROR(__xludf.DUMMYFUNCTION("""COMPUTED_VALUE"""),11050.0)</f>
        <v>11050</v>
      </c>
      <c r="E1496" s="1">
        <f>IFERROR(__xludf.DUMMYFUNCTION("""COMPUTED_VALUE"""),11050.0)</f>
        <v>11050</v>
      </c>
      <c r="F1496" s="1">
        <f>IFERROR(__xludf.DUMMYFUNCTION("""COMPUTED_VALUE"""),35929.0)</f>
        <v>35929</v>
      </c>
    </row>
    <row r="1497">
      <c r="A1497" s="2">
        <f>IFERROR(__xludf.DUMMYFUNCTION("""COMPUTED_VALUE"""),43133.64583333333)</f>
        <v>43133.64583</v>
      </c>
      <c r="B1497" s="1">
        <f>IFERROR(__xludf.DUMMYFUNCTION("""COMPUTED_VALUE"""),11050.0)</f>
        <v>11050</v>
      </c>
      <c r="C1497" s="1">
        <f>IFERROR(__xludf.DUMMYFUNCTION("""COMPUTED_VALUE"""),11700.0)</f>
        <v>11700</v>
      </c>
      <c r="D1497" s="1">
        <f>IFERROR(__xludf.DUMMYFUNCTION("""COMPUTED_VALUE"""),11050.0)</f>
        <v>11050</v>
      </c>
      <c r="E1497" s="1">
        <f>IFERROR(__xludf.DUMMYFUNCTION("""COMPUTED_VALUE"""),11200.0)</f>
        <v>11200</v>
      </c>
      <c r="F1497" s="1">
        <f>IFERROR(__xludf.DUMMYFUNCTION("""COMPUTED_VALUE"""),119692.0)</f>
        <v>119692</v>
      </c>
    </row>
    <row r="1498">
      <c r="A1498" s="2">
        <f>IFERROR(__xludf.DUMMYFUNCTION("""COMPUTED_VALUE"""),43136.64583333333)</f>
        <v>43136.64583</v>
      </c>
      <c r="B1498" s="1">
        <f>IFERROR(__xludf.DUMMYFUNCTION("""COMPUTED_VALUE"""),10950.0)</f>
        <v>10950</v>
      </c>
      <c r="C1498" s="1">
        <f>IFERROR(__xludf.DUMMYFUNCTION("""COMPUTED_VALUE"""),11000.0)</f>
        <v>11000</v>
      </c>
      <c r="D1498" s="1">
        <f>IFERROR(__xludf.DUMMYFUNCTION("""COMPUTED_VALUE"""),10750.0)</f>
        <v>10750</v>
      </c>
      <c r="E1498" s="1">
        <f>IFERROR(__xludf.DUMMYFUNCTION("""COMPUTED_VALUE"""),10750.0)</f>
        <v>10750</v>
      </c>
      <c r="F1498" s="1">
        <f>IFERROR(__xludf.DUMMYFUNCTION("""COMPUTED_VALUE"""),58525.0)</f>
        <v>58525</v>
      </c>
    </row>
    <row r="1499">
      <c r="A1499" s="2">
        <f>IFERROR(__xludf.DUMMYFUNCTION("""COMPUTED_VALUE"""),43137.64583333333)</f>
        <v>43137.64583</v>
      </c>
      <c r="B1499" s="1">
        <f>IFERROR(__xludf.DUMMYFUNCTION("""COMPUTED_VALUE"""),10550.0)</f>
        <v>10550</v>
      </c>
      <c r="C1499" s="1">
        <f>IFERROR(__xludf.DUMMYFUNCTION("""COMPUTED_VALUE"""),10600.0)</f>
        <v>10600</v>
      </c>
      <c r="D1499" s="1">
        <f>IFERROR(__xludf.DUMMYFUNCTION("""COMPUTED_VALUE"""),10100.0)</f>
        <v>10100</v>
      </c>
      <c r="E1499" s="1">
        <f>IFERROR(__xludf.DUMMYFUNCTION("""COMPUTED_VALUE"""),10450.0)</f>
        <v>10450</v>
      </c>
      <c r="F1499" s="1">
        <f>IFERROR(__xludf.DUMMYFUNCTION("""COMPUTED_VALUE"""),45162.0)</f>
        <v>45162</v>
      </c>
    </row>
    <row r="1500">
      <c r="A1500" s="2">
        <f>IFERROR(__xludf.DUMMYFUNCTION("""COMPUTED_VALUE"""),43138.64583333333)</f>
        <v>43138.64583</v>
      </c>
      <c r="B1500" s="1">
        <f>IFERROR(__xludf.DUMMYFUNCTION("""COMPUTED_VALUE"""),10600.0)</f>
        <v>10600</v>
      </c>
      <c r="C1500" s="1">
        <f>IFERROR(__xludf.DUMMYFUNCTION("""COMPUTED_VALUE"""),10750.0)</f>
        <v>10750</v>
      </c>
      <c r="D1500" s="1">
        <f>IFERROR(__xludf.DUMMYFUNCTION("""COMPUTED_VALUE"""),10450.0)</f>
        <v>10450</v>
      </c>
      <c r="E1500" s="1">
        <f>IFERROR(__xludf.DUMMYFUNCTION("""COMPUTED_VALUE"""),10450.0)</f>
        <v>10450</v>
      </c>
      <c r="F1500" s="1">
        <f>IFERROR(__xludf.DUMMYFUNCTION("""COMPUTED_VALUE"""),16062.0)</f>
        <v>16062</v>
      </c>
    </row>
    <row r="1501">
      <c r="A1501" s="2">
        <f>IFERROR(__xludf.DUMMYFUNCTION("""COMPUTED_VALUE"""),43139.64583333333)</f>
        <v>43139.64583</v>
      </c>
      <c r="B1501" s="1">
        <f>IFERROR(__xludf.DUMMYFUNCTION("""COMPUTED_VALUE"""),10400.0)</f>
        <v>10400</v>
      </c>
      <c r="C1501" s="1">
        <f>IFERROR(__xludf.DUMMYFUNCTION("""COMPUTED_VALUE"""),10750.0)</f>
        <v>10750</v>
      </c>
      <c r="D1501" s="1">
        <f>IFERROR(__xludf.DUMMYFUNCTION("""COMPUTED_VALUE"""),10400.0)</f>
        <v>10400</v>
      </c>
      <c r="E1501" s="1">
        <f>IFERROR(__xludf.DUMMYFUNCTION("""COMPUTED_VALUE"""),10700.0)</f>
        <v>10700</v>
      </c>
      <c r="F1501" s="1">
        <f>IFERROR(__xludf.DUMMYFUNCTION("""COMPUTED_VALUE"""),35248.0)</f>
        <v>35248</v>
      </c>
    </row>
    <row r="1502">
      <c r="A1502" s="2">
        <f>IFERROR(__xludf.DUMMYFUNCTION("""COMPUTED_VALUE"""),43140.64583333333)</f>
        <v>43140.64583</v>
      </c>
      <c r="B1502" s="1">
        <f>IFERROR(__xludf.DUMMYFUNCTION("""COMPUTED_VALUE"""),10500.0)</f>
        <v>10500</v>
      </c>
      <c r="C1502" s="1">
        <f>IFERROR(__xludf.DUMMYFUNCTION("""COMPUTED_VALUE"""),10500.0)</f>
        <v>10500</v>
      </c>
      <c r="D1502" s="1">
        <f>IFERROR(__xludf.DUMMYFUNCTION("""COMPUTED_VALUE"""),10300.0)</f>
        <v>10300</v>
      </c>
      <c r="E1502" s="1">
        <f>IFERROR(__xludf.DUMMYFUNCTION("""COMPUTED_VALUE"""),10300.0)</f>
        <v>10300</v>
      </c>
      <c r="F1502" s="1">
        <f>IFERROR(__xludf.DUMMYFUNCTION("""COMPUTED_VALUE"""),26369.0)</f>
        <v>26369</v>
      </c>
    </row>
    <row r="1503">
      <c r="A1503" s="2">
        <f>IFERROR(__xludf.DUMMYFUNCTION("""COMPUTED_VALUE"""),43143.64583333333)</f>
        <v>43143.64583</v>
      </c>
      <c r="B1503" s="1">
        <f>IFERROR(__xludf.DUMMYFUNCTION("""COMPUTED_VALUE"""),10350.0)</f>
        <v>10350</v>
      </c>
      <c r="C1503" s="1">
        <f>IFERROR(__xludf.DUMMYFUNCTION("""COMPUTED_VALUE"""),10450.0)</f>
        <v>10450</v>
      </c>
      <c r="D1503" s="1">
        <f>IFERROR(__xludf.DUMMYFUNCTION("""COMPUTED_VALUE"""),10200.0)</f>
        <v>10200</v>
      </c>
      <c r="E1503" s="1">
        <f>IFERROR(__xludf.DUMMYFUNCTION("""COMPUTED_VALUE"""),10250.0)</f>
        <v>10250</v>
      </c>
      <c r="F1503" s="1">
        <f>IFERROR(__xludf.DUMMYFUNCTION("""COMPUTED_VALUE"""),18664.0)</f>
        <v>18664</v>
      </c>
    </row>
    <row r="1504">
      <c r="A1504" s="2">
        <f>IFERROR(__xludf.DUMMYFUNCTION("""COMPUTED_VALUE"""),43144.64583333333)</f>
        <v>43144.64583</v>
      </c>
      <c r="B1504" s="1">
        <f>IFERROR(__xludf.DUMMYFUNCTION("""COMPUTED_VALUE"""),10400.0)</f>
        <v>10400</v>
      </c>
      <c r="C1504" s="1">
        <f>IFERROR(__xludf.DUMMYFUNCTION("""COMPUTED_VALUE"""),10400.0)</f>
        <v>10400</v>
      </c>
      <c r="D1504" s="1">
        <f>IFERROR(__xludf.DUMMYFUNCTION("""COMPUTED_VALUE"""),10050.0)</f>
        <v>10050</v>
      </c>
      <c r="E1504" s="1">
        <f>IFERROR(__xludf.DUMMYFUNCTION("""COMPUTED_VALUE"""),10150.0)</f>
        <v>10150</v>
      </c>
      <c r="F1504" s="1">
        <f>IFERROR(__xludf.DUMMYFUNCTION("""COMPUTED_VALUE"""),15969.0)</f>
        <v>15969</v>
      </c>
    </row>
    <row r="1505">
      <c r="A1505" s="2">
        <f>IFERROR(__xludf.DUMMYFUNCTION("""COMPUTED_VALUE"""),43145.64583333333)</f>
        <v>43145.64583</v>
      </c>
      <c r="B1505" s="1">
        <f>IFERROR(__xludf.DUMMYFUNCTION("""COMPUTED_VALUE"""),10200.0)</f>
        <v>10200</v>
      </c>
      <c r="C1505" s="1">
        <f>IFERROR(__xludf.DUMMYFUNCTION("""COMPUTED_VALUE"""),10350.0)</f>
        <v>10350</v>
      </c>
      <c r="D1505" s="1">
        <f>IFERROR(__xludf.DUMMYFUNCTION("""COMPUTED_VALUE"""),10100.0)</f>
        <v>10100</v>
      </c>
      <c r="E1505" s="1">
        <f>IFERROR(__xludf.DUMMYFUNCTION("""COMPUTED_VALUE"""),10350.0)</f>
        <v>10350</v>
      </c>
      <c r="F1505" s="1">
        <f>IFERROR(__xludf.DUMMYFUNCTION("""COMPUTED_VALUE"""),8613.0)</f>
        <v>8613</v>
      </c>
    </row>
    <row r="1506">
      <c r="A1506" s="2">
        <f>IFERROR(__xludf.DUMMYFUNCTION("""COMPUTED_VALUE"""),43150.64583333333)</f>
        <v>43150.64583</v>
      </c>
      <c r="B1506" s="1">
        <f>IFERROR(__xludf.DUMMYFUNCTION("""COMPUTED_VALUE"""),10550.0)</f>
        <v>10550</v>
      </c>
      <c r="C1506" s="1">
        <f>IFERROR(__xludf.DUMMYFUNCTION("""COMPUTED_VALUE"""),10550.0)</f>
        <v>10550</v>
      </c>
      <c r="D1506" s="1">
        <f>IFERROR(__xludf.DUMMYFUNCTION("""COMPUTED_VALUE"""),10200.0)</f>
        <v>10200</v>
      </c>
      <c r="E1506" s="1">
        <f>IFERROR(__xludf.DUMMYFUNCTION("""COMPUTED_VALUE"""),10300.0)</f>
        <v>10300</v>
      </c>
      <c r="F1506" s="1">
        <f>IFERROR(__xludf.DUMMYFUNCTION("""COMPUTED_VALUE"""),16699.0)</f>
        <v>16699</v>
      </c>
    </row>
    <row r="1507">
      <c r="A1507" s="2">
        <f>IFERROR(__xludf.DUMMYFUNCTION("""COMPUTED_VALUE"""),43151.64583333333)</f>
        <v>43151.64583</v>
      </c>
      <c r="B1507" s="1">
        <f>IFERROR(__xludf.DUMMYFUNCTION("""COMPUTED_VALUE"""),10350.0)</f>
        <v>10350</v>
      </c>
      <c r="C1507" s="1">
        <f>IFERROR(__xludf.DUMMYFUNCTION("""COMPUTED_VALUE"""),10450.0)</f>
        <v>10450</v>
      </c>
      <c r="D1507" s="1">
        <f>IFERROR(__xludf.DUMMYFUNCTION("""COMPUTED_VALUE"""),10000.0)</f>
        <v>10000</v>
      </c>
      <c r="E1507" s="1">
        <f>IFERROR(__xludf.DUMMYFUNCTION("""COMPUTED_VALUE"""),10000.0)</f>
        <v>10000</v>
      </c>
      <c r="F1507" s="1">
        <f>IFERROR(__xludf.DUMMYFUNCTION("""COMPUTED_VALUE"""),46122.0)</f>
        <v>46122</v>
      </c>
    </row>
    <row r="1508">
      <c r="A1508" s="2">
        <f>IFERROR(__xludf.DUMMYFUNCTION("""COMPUTED_VALUE"""),43152.64583333333)</f>
        <v>43152.64583</v>
      </c>
      <c r="B1508" s="1">
        <f>IFERROR(__xludf.DUMMYFUNCTION("""COMPUTED_VALUE"""),10000.0)</f>
        <v>10000</v>
      </c>
      <c r="C1508" s="1">
        <f>IFERROR(__xludf.DUMMYFUNCTION("""COMPUTED_VALUE"""),10200.0)</f>
        <v>10200</v>
      </c>
      <c r="D1508" s="1">
        <f>IFERROR(__xludf.DUMMYFUNCTION("""COMPUTED_VALUE"""),10000.0)</f>
        <v>10000</v>
      </c>
      <c r="E1508" s="1">
        <f>IFERROR(__xludf.DUMMYFUNCTION("""COMPUTED_VALUE"""),10200.0)</f>
        <v>10200</v>
      </c>
      <c r="F1508" s="1">
        <f>IFERROR(__xludf.DUMMYFUNCTION("""COMPUTED_VALUE"""),55366.0)</f>
        <v>55366</v>
      </c>
    </row>
    <row r="1509">
      <c r="A1509" s="2">
        <f>IFERROR(__xludf.DUMMYFUNCTION("""COMPUTED_VALUE"""),43153.64583333333)</f>
        <v>43153.64583</v>
      </c>
      <c r="B1509" s="1">
        <f>IFERROR(__xludf.DUMMYFUNCTION("""COMPUTED_VALUE"""),10050.0)</f>
        <v>10050</v>
      </c>
      <c r="C1509" s="1">
        <f>IFERROR(__xludf.DUMMYFUNCTION("""COMPUTED_VALUE"""),10250.0)</f>
        <v>10250</v>
      </c>
      <c r="D1509" s="1">
        <f>IFERROR(__xludf.DUMMYFUNCTION("""COMPUTED_VALUE"""),10050.0)</f>
        <v>10050</v>
      </c>
      <c r="E1509" s="1">
        <f>IFERROR(__xludf.DUMMYFUNCTION("""COMPUTED_VALUE"""),10100.0)</f>
        <v>10100</v>
      </c>
      <c r="F1509" s="1">
        <f>IFERROR(__xludf.DUMMYFUNCTION("""COMPUTED_VALUE"""),11789.0)</f>
        <v>11789</v>
      </c>
    </row>
    <row r="1510">
      <c r="A1510" s="2">
        <f>IFERROR(__xludf.DUMMYFUNCTION("""COMPUTED_VALUE"""),43154.64583333333)</f>
        <v>43154.64583</v>
      </c>
      <c r="B1510" s="1">
        <f>IFERROR(__xludf.DUMMYFUNCTION("""COMPUTED_VALUE"""),10100.0)</f>
        <v>10100</v>
      </c>
      <c r="C1510" s="1">
        <f>IFERROR(__xludf.DUMMYFUNCTION("""COMPUTED_VALUE"""),10250.0)</f>
        <v>10250</v>
      </c>
      <c r="D1510" s="1">
        <f>IFERROR(__xludf.DUMMYFUNCTION("""COMPUTED_VALUE"""),10000.0)</f>
        <v>10000</v>
      </c>
      <c r="E1510" s="1">
        <f>IFERROR(__xludf.DUMMYFUNCTION("""COMPUTED_VALUE"""),10100.0)</f>
        <v>10100</v>
      </c>
      <c r="F1510" s="1">
        <f>IFERROR(__xludf.DUMMYFUNCTION("""COMPUTED_VALUE"""),27561.0)</f>
        <v>27561</v>
      </c>
    </row>
    <row r="1511">
      <c r="A1511" s="2">
        <f>IFERROR(__xludf.DUMMYFUNCTION("""COMPUTED_VALUE"""),43157.64583333333)</f>
        <v>43157.64583</v>
      </c>
      <c r="B1511" s="1">
        <f>IFERROR(__xludf.DUMMYFUNCTION("""COMPUTED_VALUE"""),10100.0)</f>
        <v>10100</v>
      </c>
      <c r="C1511" s="1">
        <f>IFERROR(__xludf.DUMMYFUNCTION("""COMPUTED_VALUE"""),10250.0)</f>
        <v>10250</v>
      </c>
      <c r="D1511" s="1">
        <f>IFERROR(__xludf.DUMMYFUNCTION("""COMPUTED_VALUE"""),10000.0)</f>
        <v>10000</v>
      </c>
      <c r="E1511" s="1">
        <f>IFERROR(__xludf.DUMMYFUNCTION("""COMPUTED_VALUE"""),10000.0)</f>
        <v>10000</v>
      </c>
      <c r="F1511" s="1">
        <f>IFERROR(__xludf.DUMMYFUNCTION("""COMPUTED_VALUE"""),31184.0)</f>
        <v>31184</v>
      </c>
    </row>
    <row r="1512">
      <c r="A1512" s="2">
        <f>IFERROR(__xludf.DUMMYFUNCTION("""COMPUTED_VALUE"""),43158.64583333333)</f>
        <v>43158.64583</v>
      </c>
      <c r="B1512" s="1">
        <f>IFERROR(__xludf.DUMMYFUNCTION("""COMPUTED_VALUE"""),10050.0)</f>
        <v>10050</v>
      </c>
      <c r="C1512" s="1">
        <f>IFERROR(__xludf.DUMMYFUNCTION("""COMPUTED_VALUE"""),10100.0)</f>
        <v>10100</v>
      </c>
      <c r="D1512" s="1">
        <f>IFERROR(__xludf.DUMMYFUNCTION("""COMPUTED_VALUE"""),9990.0)</f>
        <v>9990</v>
      </c>
      <c r="E1512" s="1">
        <f>IFERROR(__xludf.DUMMYFUNCTION("""COMPUTED_VALUE"""),10000.0)</f>
        <v>10000</v>
      </c>
      <c r="F1512" s="1">
        <f>IFERROR(__xludf.DUMMYFUNCTION("""COMPUTED_VALUE"""),21093.0)</f>
        <v>21093</v>
      </c>
    </row>
    <row r="1513">
      <c r="A1513" s="2">
        <f>IFERROR(__xludf.DUMMYFUNCTION("""COMPUTED_VALUE"""),43159.64583333333)</f>
        <v>43159.64583</v>
      </c>
      <c r="B1513" s="1">
        <f>IFERROR(__xludf.DUMMYFUNCTION("""COMPUTED_VALUE"""),9980.0)</f>
        <v>9980</v>
      </c>
      <c r="C1513" s="1">
        <f>IFERROR(__xludf.DUMMYFUNCTION("""COMPUTED_VALUE"""),10000.0)</f>
        <v>10000</v>
      </c>
      <c r="D1513" s="1">
        <f>IFERROR(__xludf.DUMMYFUNCTION("""COMPUTED_VALUE"""),9840.0)</f>
        <v>9840</v>
      </c>
      <c r="E1513" s="1">
        <f>IFERROR(__xludf.DUMMYFUNCTION("""COMPUTED_VALUE"""),9980.0)</f>
        <v>9980</v>
      </c>
      <c r="F1513" s="1">
        <f>IFERROR(__xludf.DUMMYFUNCTION("""COMPUTED_VALUE"""),25635.0)</f>
        <v>25635</v>
      </c>
    </row>
    <row r="1514">
      <c r="A1514" s="2">
        <f>IFERROR(__xludf.DUMMYFUNCTION("""COMPUTED_VALUE"""),43161.64583333333)</f>
        <v>43161.64583</v>
      </c>
      <c r="B1514" s="1">
        <f>IFERROR(__xludf.DUMMYFUNCTION("""COMPUTED_VALUE"""),9980.0)</f>
        <v>9980</v>
      </c>
      <c r="C1514" s="1">
        <f>IFERROR(__xludf.DUMMYFUNCTION("""COMPUTED_VALUE"""),9980.0)</f>
        <v>9980</v>
      </c>
      <c r="D1514" s="1">
        <f>IFERROR(__xludf.DUMMYFUNCTION("""COMPUTED_VALUE"""),9800.0)</f>
        <v>9800</v>
      </c>
      <c r="E1514" s="1">
        <f>IFERROR(__xludf.DUMMYFUNCTION("""COMPUTED_VALUE"""),9930.0)</f>
        <v>9930</v>
      </c>
      <c r="F1514" s="1">
        <f>IFERROR(__xludf.DUMMYFUNCTION("""COMPUTED_VALUE"""),19463.0)</f>
        <v>19463</v>
      </c>
    </row>
    <row r="1515">
      <c r="A1515" s="2">
        <f>IFERROR(__xludf.DUMMYFUNCTION("""COMPUTED_VALUE"""),43164.64583333333)</f>
        <v>43164.64583</v>
      </c>
      <c r="B1515" s="1">
        <f>IFERROR(__xludf.DUMMYFUNCTION("""COMPUTED_VALUE"""),9930.0)</f>
        <v>9930</v>
      </c>
      <c r="C1515" s="1">
        <f>IFERROR(__xludf.DUMMYFUNCTION("""COMPUTED_VALUE"""),10050.0)</f>
        <v>10050</v>
      </c>
      <c r="D1515" s="1">
        <f>IFERROR(__xludf.DUMMYFUNCTION("""COMPUTED_VALUE"""),9840.0)</f>
        <v>9840</v>
      </c>
      <c r="E1515" s="1">
        <f>IFERROR(__xludf.DUMMYFUNCTION("""COMPUTED_VALUE"""),9880.0)</f>
        <v>9880</v>
      </c>
      <c r="F1515" s="1">
        <f>IFERROR(__xludf.DUMMYFUNCTION("""COMPUTED_VALUE"""),20009.0)</f>
        <v>20009</v>
      </c>
    </row>
    <row r="1516">
      <c r="A1516" s="2">
        <f>IFERROR(__xludf.DUMMYFUNCTION("""COMPUTED_VALUE"""),43165.64583333333)</f>
        <v>43165.64583</v>
      </c>
      <c r="B1516" s="1">
        <f>IFERROR(__xludf.DUMMYFUNCTION("""COMPUTED_VALUE"""),9880.0)</f>
        <v>9880</v>
      </c>
      <c r="C1516" s="1">
        <f>IFERROR(__xludf.DUMMYFUNCTION("""COMPUTED_VALUE"""),10000.0)</f>
        <v>10000</v>
      </c>
      <c r="D1516" s="1">
        <f>IFERROR(__xludf.DUMMYFUNCTION("""COMPUTED_VALUE"""),9850.0)</f>
        <v>9850</v>
      </c>
      <c r="E1516" s="1">
        <f>IFERROR(__xludf.DUMMYFUNCTION("""COMPUTED_VALUE"""),9940.0)</f>
        <v>9940</v>
      </c>
      <c r="F1516" s="1">
        <f>IFERROR(__xludf.DUMMYFUNCTION("""COMPUTED_VALUE"""),21161.0)</f>
        <v>21161</v>
      </c>
    </row>
    <row r="1517">
      <c r="A1517" s="2">
        <f>IFERROR(__xludf.DUMMYFUNCTION("""COMPUTED_VALUE"""),43166.64583333333)</f>
        <v>43166.64583</v>
      </c>
      <c r="B1517" s="1">
        <f>IFERROR(__xludf.DUMMYFUNCTION("""COMPUTED_VALUE"""),9940.0)</f>
        <v>9940</v>
      </c>
      <c r="C1517" s="1">
        <f>IFERROR(__xludf.DUMMYFUNCTION("""COMPUTED_VALUE"""),10050.0)</f>
        <v>10050</v>
      </c>
      <c r="D1517" s="1">
        <f>IFERROR(__xludf.DUMMYFUNCTION("""COMPUTED_VALUE"""),9670.0)</f>
        <v>9670</v>
      </c>
      <c r="E1517" s="1">
        <f>IFERROR(__xludf.DUMMYFUNCTION("""COMPUTED_VALUE"""),9870.0)</f>
        <v>9870</v>
      </c>
      <c r="F1517" s="1">
        <f>IFERROR(__xludf.DUMMYFUNCTION("""COMPUTED_VALUE"""),11162.0)</f>
        <v>11162</v>
      </c>
    </row>
    <row r="1518">
      <c r="A1518" s="2">
        <f>IFERROR(__xludf.DUMMYFUNCTION("""COMPUTED_VALUE"""),43167.64583333333)</f>
        <v>43167.64583</v>
      </c>
      <c r="B1518" s="1">
        <f>IFERROR(__xludf.DUMMYFUNCTION("""COMPUTED_VALUE"""),9900.0)</f>
        <v>9900</v>
      </c>
      <c r="C1518" s="1">
        <f>IFERROR(__xludf.DUMMYFUNCTION("""COMPUTED_VALUE"""),9970.0)</f>
        <v>9970</v>
      </c>
      <c r="D1518" s="1">
        <f>IFERROR(__xludf.DUMMYFUNCTION("""COMPUTED_VALUE"""),9740.0)</f>
        <v>9740</v>
      </c>
      <c r="E1518" s="1">
        <f>IFERROR(__xludf.DUMMYFUNCTION("""COMPUTED_VALUE"""),9950.0)</f>
        <v>9950</v>
      </c>
      <c r="F1518" s="1">
        <f>IFERROR(__xludf.DUMMYFUNCTION("""COMPUTED_VALUE"""),40636.0)</f>
        <v>40636</v>
      </c>
    </row>
    <row r="1519">
      <c r="A1519" s="2">
        <f>IFERROR(__xludf.DUMMYFUNCTION("""COMPUTED_VALUE"""),43168.64583333333)</f>
        <v>43168.64583</v>
      </c>
      <c r="B1519" s="1">
        <f>IFERROR(__xludf.DUMMYFUNCTION("""COMPUTED_VALUE"""),10050.0)</f>
        <v>10050</v>
      </c>
      <c r="C1519" s="1">
        <f>IFERROR(__xludf.DUMMYFUNCTION("""COMPUTED_VALUE"""),10150.0)</f>
        <v>10150</v>
      </c>
      <c r="D1519" s="1">
        <f>IFERROR(__xludf.DUMMYFUNCTION("""COMPUTED_VALUE"""),9950.0)</f>
        <v>9950</v>
      </c>
      <c r="E1519" s="1">
        <f>IFERROR(__xludf.DUMMYFUNCTION("""COMPUTED_VALUE"""),10000.0)</f>
        <v>10000</v>
      </c>
      <c r="F1519" s="1">
        <f>IFERROR(__xludf.DUMMYFUNCTION("""COMPUTED_VALUE"""),30598.0)</f>
        <v>30598</v>
      </c>
    </row>
    <row r="1520">
      <c r="A1520" s="2">
        <f>IFERROR(__xludf.DUMMYFUNCTION("""COMPUTED_VALUE"""),43171.64583333333)</f>
        <v>43171.64583</v>
      </c>
      <c r="B1520" s="1">
        <f>IFERROR(__xludf.DUMMYFUNCTION("""COMPUTED_VALUE"""),10100.0)</f>
        <v>10100</v>
      </c>
      <c r="C1520" s="1">
        <f>IFERROR(__xludf.DUMMYFUNCTION("""COMPUTED_VALUE"""),10250.0)</f>
        <v>10250</v>
      </c>
      <c r="D1520" s="1">
        <f>IFERROR(__xludf.DUMMYFUNCTION("""COMPUTED_VALUE"""),9980.0)</f>
        <v>9980</v>
      </c>
      <c r="E1520" s="1">
        <f>IFERROR(__xludf.DUMMYFUNCTION("""COMPUTED_VALUE"""),10200.0)</f>
        <v>10200</v>
      </c>
      <c r="F1520" s="1">
        <f>IFERROR(__xludf.DUMMYFUNCTION("""COMPUTED_VALUE"""),21073.0)</f>
        <v>21073</v>
      </c>
    </row>
    <row r="1521">
      <c r="A1521" s="2">
        <f>IFERROR(__xludf.DUMMYFUNCTION("""COMPUTED_VALUE"""),43172.64583333333)</f>
        <v>43172.64583</v>
      </c>
      <c r="B1521" s="1">
        <f>IFERROR(__xludf.DUMMYFUNCTION("""COMPUTED_VALUE"""),10200.0)</f>
        <v>10200</v>
      </c>
      <c r="C1521" s="1">
        <f>IFERROR(__xludf.DUMMYFUNCTION("""COMPUTED_VALUE"""),10250.0)</f>
        <v>10250</v>
      </c>
      <c r="D1521" s="1">
        <f>IFERROR(__xludf.DUMMYFUNCTION("""COMPUTED_VALUE"""),10100.0)</f>
        <v>10100</v>
      </c>
      <c r="E1521" s="1">
        <f>IFERROR(__xludf.DUMMYFUNCTION("""COMPUTED_VALUE"""),10200.0)</f>
        <v>10200</v>
      </c>
      <c r="F1521" s="1">
        <f>IFERROR(__xludf.DUMMYFUNCTION("""COMPUTED_VALUE"""),9619.0)</f>
        <v>9619</v>
      </c>
    </row>
    <row r="1522">
      <c r="A1522" s="2">
        <f>IFERROR(__xludf.DUMMYFUNCTION("""COMPUTED_VALUE"""),43173.64583333333)</f>
        <v>43173.64583</v>
      </c>
      <c r="B1522" s="1">
        <f>IFERROR(__xludf.DUMMYFUNCTION("""COMPUTED_VALUE"""),10200.0)</f>
        <v>10200</v>
      </c>
      <c r="C1522" s="1">
        <f>IFERROR(__xludf.DUMMYFUNCTION("""COMPUTED_VALUE"""),10200.0)</f>
        <v>10200</v>
      </c>
      <c r="D1522" s="1">
        <f>IFERROR(__xludf.DUMMYFUNCTION("""COMPUTED_VALUE"""),10000.0)</f>
        <v>10000</v>
      </c>
      <c r="E1522" s="1">
        <f>IFERROR(__xludf.DUMMYFUNCTION("""COMPUTED_VALUE"""),10100.0)</f>
        <v>10100</v>
      </c>
      <c r="F1522" s="1">
        <f>IFERROR(__xludf.DUMMYFUNCTION("""COMPUTED_VALUE"""),9782.0)</f>
        <v>9782</v>
      </c>
    </row>
    <row r="1523">
      <c r="A1523" s="2">
        <f>IFERROR(__xludf.DUMMYFUNCTION("""COMPUTED_VALUE"""),43174.64583333333)</f>
        <v>43174.64583</v>
      </c>
      <c r="B1523" s="1">
        <f>IFERROR(__xludf.DUMMYFUNCTION("""COMPUTED_VALUE"""),10000.0)</f>
        <v>10000</v>
      </c>
      <c r="C1523" s="1">
        <f>IFERROR(__xludf.DUMMYFUNCTION("""COMPUTED_VALUE"""),10050.0)</f>
        <v>10050</v>
      </c>
      <c r="D1523" s="1">
        <f>IFERROR(__xludf.DUMMYFUNCTION("""COMPUTED_VALUE"""),9800.0)</f>
        <v>9800</v>
      </c>
      <c r="E1523" s="1">
        <f>IFERROR(__xludf.DUMMYFUNCTION("""COMPUTED_VALUE"""),9920.0)</f>
        <v>9920</v>
      </c>
      <c r="F1523" s="1">
        <f>IFERROR(__xludf.DUMMYFUNCTION("""COMPUTED_VALUE"""),49620.0)</f>
        <v>49620</v>
      </c>
    </row>
    <row r="1524">
      <c r="A1524" s="2">
        <f>IFERROR(__xludf.DUMMYFUNCTION("""COMPUTED_VALUE"""),43175.64583333333)</f>
        <v>43175.64583</v>
      </c>
      <c r="B1524" s="1">
        <f>IFERROR(__xludf.DUMMYFUNCTION("""COMPUTED_VALUE"""),9920.0)</f>
        <v>9920</v>
      </c>
      <c r="C1524" s="1">
        <f>IFERROR(__xludf.DUMMYFUNCTION("""COMPUTED_VALUE"""),10150.0)</f>
        <v>10150</v>
      </c>
      <c r="D1524" s="1">
        <f>IFERROR(__xludf.DUMMYFUNCTION("""COMPUTED_VALUE"""),9850.0)</f>
        <v>9850</v>
      </c>
      <c r="E1524" s="1">
        <f>IFERROR(__xludf.DUMMYFUNCTION("""COMPUTED_VALUE"""),10150.0)</f>
        <v>10150</v>
      </c>
      <c r="F1524" s="1">
        <f>IFERROR(__xludf.DUMMYFUNCTION("""COMPUTED_VALUE"""),30429.0)</f>
        <v>30429</v>
      </c>
    </row>
    <row r="1525">
      <c r="A1525" s="2">
        <f>IFERROR(__xludf.DUMMYFUNCTION("""COMPUTED_VALUE"""),43178.64583333333)</f>
        <v>43178.64583</v>
      </c>
      <c r="B1525" s="1">
        <f>IFERROR(__xludf.DUMMYFUNCTION("""COMPUTED_VALUE"""),10100.0)</f>
        <v>10100</v>
      </c>
      <c r="C1525" s="1">
        <f>IFERROR(__xludf.DUMMYFUNCTION("""COMPUTED_VALUE"""),10200.0)</f>
        <v>10200</v>
      </c>
      <c r="D1525" s="1">
        <f>IFERROR(__xludf.DUMMYFUNCTION("""COMPUTED_VALUE"""),9910.0)</f>
        <v>9910</v>
      </c>
      <c r="E1525" s="1">
        <f>IFERROR(__xludf.DUMMYFUNCTION("""COMPUTED_VALUE"""),10050.0)</f>
        <v>10050</v>
      </c>
      <c r="F1525" s="1">
        <f>IFERROR(__xludf.DUMMYFUNCTION("""COMPUTED_VALUE"""),12325.0)</f>
        <v>12325</v>
      </c>
    </row>
    <row r="1526">
      <c r="A1526" s="2">
        <f>IFERROR(__xludf.DUMMYFUNCTION("""COMPUTED_VALUE"""),43179.64583333333)</f>
        <v>43179.64583</v>
      </c>
      <c r="B1526" s="1">
        <f>IFERROR(__xludf.DUMMYFUNCTION("""COMPUTED_VALUE"""),9960.0)</f>
        <v>9960</v>
      </c>
      <c r="C1526" s="1">
        <f>IFERROR(__xludf.DUMMYFUNCTION("""COMPUTED_VALUE"""),9990.0)</f>
        <v>9990</v>
      </c>
      <c r="D1526" s="1">
        <f>IFERROR(__xludf.DUMMYFUNCTION("""COMPUTED_VALUE"""),9910.0)</f>
        <v>9910</v>
      </c>
      <c r="E1526" s="1">
        <f>IFERROR(__xludf.DUMMYFUNCTION("""COMPUTED_VALUE"""),9970.0)</f>
        <v>9970</v>
      </c>
      <c r="F1526" s="1">
        <f>IFERROR(__xludf.DUMMYFUNCTION("""COMPUTED_VALUE"""),10965.0)</f>
        <v>10965</v>
      </c>
    </row>
    <row r="1527">
      <c r="A1527" s="2">
        <f>IFERROR(__xludf.DUMMYFUNCTION("""COMPUTED_VALUE"""),43180.64583333333)</f>
        <v>43180.64583</v>
      </c>
      <c r="B1527" s="1">
        <f>IFERROR(__xludf.DUMMYFUNCTION("""COMPUTED_VALUE"""),9970.0)</f>
        <v>9970</v>
      </c>
      <c r="C1527" s="1">
        <f>IFERROR(__xludf.DUMMYFUNCTION("""COMPUTED_VALUE"""),10150.0)</f>
        <v>10150</v>
      </c>
      <c r="D1527" s="1">
        <f>IFERROR(__xludf.DUMMYFUNCTION("""COMPUTED_VALUE"""),9870.0)</f>
        <v>9870</v>
      </c>
      <c r="E1527" s="1">
        <f>IFERROR(__xludf.DUMMYFUNCTION("""COMPUTED_VALUE"""),9880.0)</f>
        <v>9880</v>
      </c>
      <c r="F1527" s="1">
        <f>IFERROR(__xludf.DUMMYFUNCTION("""COMPUTED_VALUE"""),20222.0)</f>
        <v>20222</v>
      </c>
    </row>
    <row r="1528">
      <c r="A1528" s="2">
        <f>IFERROR(__xludf.DUMMYFUNCTION("""COMPUTED_VALUE"""),43181.64583333333)</f>
        <v>43181.64583</v>
      </c>
      <c r="B1528" s="1">
        <f>IFERROR(__xludf.DUMMYFUNCTION("""COMPUTED_VALUE"""),9990.0)</f>
        <v>9990</v>
      </c>
      <c r="C1528" s="1">
        <f>IFERROR(__xludf.DUMMYFUNCTION("""COMPUTED_VALUE"""),9990.0)</f>
        <v>9990</v>
      </c>
      <c r="D1528" s="1">
        <f>IFERROR(__xludf.DUMMYFUNCTION("""COMPUTED_VALUE"""),9730.0)</f>
        <v>9730</v>
      </c>
      <c r="E1528" s="1">
        <f>IFERROR(__xludf.DUMMYFUNCTION("""COMPUTED_VALUE"""),9940.0)</f>
        <v>9940</v>
      </c>
      <c r="F1528" s="1">
        <f>IFERROR(__xludf.DUMMYFUNCTION("""COMPUTED_VALUE"""),20490.0)</f>
        <v>20490</v>
      </c>
    </row>
    <row r="1529">
      <c r="A1529" s="2">
        <f>IFERROR(__xludf.DUMMYFUNCTION("""COMPUTED_VALUE"""),43182.64583333333)</f>
        <v>43182.64583</v>
      </c>
      <c r="B1529" s="1">
        <f>IFERROR(__xludf.DUMMYFUNCTION("""COMPUTED_VALUE"""),9890.0)</f>
        <v>9890</v>
      </c>
      <c r="C1529" s="1">
        <f>IFERROR(__xludf.DUMMYFUNCTION("""COMPUTED_VALUE"""),9960.0)</f>
        <v>9960</v>
      </c>
      <c r="D1529" s="1">
        <f>IFERROR(__xludf.DUMMYFUNCTION("""COMPUTED_VALUE"""),9600.0)</f>
        <v>9600</v>
      </c>
      <c r="E1529" s="1">
        <f>IFERROR(__xludf.DUMMYFUNCTION("""COMPUTED_VALUE"""),9630.0)</f>
        <v>9630</v>
      </c>
      <c r="F1529" s="1">
        <f>IFERROR(__xludf.DUMMYFUNCTION("""COMPUTED_VALUE"""),27561.0)</f>
        <v>27561</v>
      </c>
    </row>
    <row r="1530">
      <c r="A1530" s="2">
        <f>IFERROR(__xludf.DUMMYFUNCTION("""COMPUTED_VALUE"""),43185.64583333333)</f>
        <v>43185.64583</v>
      </c>
      <c r="B1530" s="1">
        <f>IFERROR(__xludf.DUMMYFUNCTION("""COMPUTED_VALUE"""),9650.0)</f>
        <v>9650</v>
      </c>
      <c r="C1530" s="1">
        <f>IFERROR(__xludf.DUMMYFUNCTION("""COMPUTED_VALUE"""),9670.0)</f>
        <v>9670</v>
      </c>
      <c r="D1530" s="1">
        <f>IFERROR(__xludf.DUMMYFUNCTION("""COMPUTED_VALUE"""),9540.0)</f>
        <v>9540</v>
      </c>
      <c r="E1530" s="1">
        <f>IFERROR(__xludf.DUMMYFUNCTION("""COMPUTED_VALUE"""),9660.0)</f>
        <v>9660</v>
      </c>
      <c r="F1530" s="1">
        <f>IFERROR(__xludf.DUMMYFUNCTION("""COMPUTED_VALUE"""),14907.0)</f>
        <v>14907</v>
      </c>
    </row>
    <row r="1531">
      <c r="A1531" s="2">
        <f>IFERROR(__xludf.DUMMYFUNCTION("""COMPUTED_VALUE"""),43186.64583333333)</f>
        <v>43186.64583</v>
      </c>
      <c r="B1531" s="1">
        <f>IFERROR(__xludf.DUMMYFUNCTION("""COMPUTED_VALUE"""),9630.0)</f>
        <v>9630</v>
      </c>
      <c r="C1531" s="1">
        <f>IFERROR(__xludf.DUMMYFUNCTION("""COMPUTED_VALUE"""),9800.0)</f>
        <v>9800</v>
      </c>
      <c r="D1531" s="1">
        <f>IFERROR(__xludf.DUMMYFUNCTION("""COMPUTED_VALUE"""),9590.0)</f>
        <v>9590</v>
      </c>
      <c r="E1531" s="1">
        <f>IFERROR(__xludf.DUMMYFUNCTION("""COMPUTED_VALUE"""),9720.0)</f>
        <v>9720</v>
      </c>
      <c r="F1531" s="1">
        <f>IFERROR(__xludf.DUMMYFUNCTION("""COMPUTED_VALUE"""),32197.0)</f>
        <v>32197</v>
      </c>
    </row>
    <row r="1532">
      <c r="A1532" s="2">
        <f>IFERROR(__xludf.DUMMYFUNCTION("""COMPUTED_VALUE"""),43187.64583333333)</f>
        <v>43187.64583</v>
      </c>
      <c r="B1532" s="1">
        <f>IFERROR(__xludf.DUMMYFUNCTION("""COMPUTED_VALUE"""),9720.0)</f>
        <v>9720</v>
      </c>
      <c r="C1532" s="1">
        <f>IFERROR(__xludf.DUMMYFUNCTION("""COMPUTED_VALUE"""),9720.0)</f>
        <v>9720</v>
      </c>
      <c r="D1532" s="1">
        <f>IFERROR(__xludf.DUMMYFUNCTION("""COMPUTED_VALUE"""),9550.0)</f>
        <v>9550</v>
      </c>
      <c r="E1532" s="1">
        <f>IFERROR(__xludf.DUMMYFUNCTION("""COMPUTED_VALUE"""),9630.0)</f>
        <v>9630</v>
      </c>
      <c r="F1532" s="1">
        <f>IFERROR(__xludf.DUMMYFUNCTION("""COMPUTED_VALUE"""),8412.0)</f>
        <v>8412</v>
      </c>
    </row>
    <row r="1533">
      <c r="A1533" s="2">
        <f>IFERROR(__xludf.DUMMYFUNCTION("""COMPUTED_VALUE"""),43188.64583333333)</f>
        <v>43188.64583</v>
      </c>
      <c r="B1533" s="1">
        <f>IFERROR(__xludf.DUMMYFUNCTION("""COMPUTED_VALUE"""),9630.0)</f>
        <v>9630</v>
      </c>
      <c r="C1533" s="1">
        <f>IFERROR(__xludf.DUMMYFUNCTION("""COMPUTED_VALUE"""),9630.0)</f>
        <v>9630</v>
      </c>
      <c r="D1533" s="1">
        <f>IFERROR(__xludf.DUMMYFUNCTION("""COMPUTED_VALUE"""),9500.0)</f>
        <v>9500</v>
      </c>
      <c r="E1533" s="1">
        <f>IFERROR(__xludf.DUMMYFUNCTION("""COMPUTED_VALUE"""),9550.0)</f>
        <v>9550</v>
      </c>
      <c r="F1533" s="1">
        <f>IFERROR(__xludf.DUMMYFUNCTION("""COMPUTED_VALUE"""),22491.0)</f>
        <v>22491</v>
      </c>
    </row>
    <row r="1534">
      <c r="A1534" s="2">
        <f>IFERROR(__xludf.DUMMYFUNCTION("""COMPUTED_VALUE"""),43189.64583333333)</f>
        <v>43189.64583</v>
      </c>
      <c r="B1534" s="1">
        <f>IFERROR(__xludf.DUMMYFUNCTION("""COMPUTED_VALUE"""),9550.0)</f>
        <v>9550</v>
      </c>
      <c r="C1534" s="1">
        <f>IFERROR(__xludf.DUMMYFUNCTION("""COMPUTED_VALUE"""),9600.0)</f>
        <v>9600</v>
      </c>
      <c r="D1534" s="1">
        <f>IFERROR(__xludf.DUMMYFUNCTION("""COMPUTED_VALUE"""),9390.0)</f>
        <v>9390</v>
      </c>
      <c r="E1534" s="1">
        <f>IFERROR(__xludf.DUMMYFUNCTION("""COMPUTED_VALUE"""),9560.0)</f>
        <v>9560</v>
      </c>
      <c r="F1534" s="1">
        <f>IFERROR(__xludf.DUMMYFUNCTION("""COMPUTED_VALUE"""),18913.0)</f>
        <v>18913</v>
      </c>
    </row>
    <row r="1535">
      <c r="A1535" s="2">
        <f>IFERROR(__xludf.DUMMYFUNCTION("""COMPUTED_VALUE"""),43192.64583333333)</f>
        <v>43192.64583</v>
      </c>
      <c r="B1535" s="1">
        <f>IFERROR(__xludf.DUMMYFUNCTION("""COMPUTED_VALUE"""),9560.0)</f>
        <v>9560</v>
      </c>
      <c r="C1535" s="1">
        <f>IFERROR(__xludf.DUMMYFUNCTION("""COMPUTED_VALUE"""),9780.0)</f>
        <v>9780</v>
      </c>
      <c r="D1535" s="1">
        <f>IFERROR(__xludf.DUMMYFUNCTION("""COMPUTED_VALUE"""),9500.0)</f>
        <v>9500</v>
      </c>
      <c r="E1535" s="1">
        <f>IFERROR(__xludf.DUMMYFUNCTION("""COMPUTED_VALUE"""),9650.0)</f>
        <v>9650</v>
      </c>
      <c r="F1535" s="1">
        <f>IFERROR(__xludf.DUMMYFUNCTION("""COMPUTED_VALUE"""),33932.0)</f>
        <v>33932</v>
      </c>
    </row>
    <row r="1536">
      <c r="A1536" s="2">
        <f>IFERROR(__xludf.DUMMYFUNCTION("""COMPUTED_VALUE"""),43193.64583333333)</f>
        <v>43193.64583</v>
      </c>
      <c r="B1536" s="1">
        <f>IFERROR(__xludf.DUMMYFUNCTION("""COMPUTED_VALUE"""),9600.0)</f>
        <v>9600</v>
      </c>
      <c r="C1536" s="1">
        <f>IFERROR(__xludf.DUMMYFUNCTION("""COMPUTED_VALUE"""),9670.0)</f>
        <v>9670</v>
      </c>
      <c r="D1536" s="1">
        <f>IFERROR(__xludf.DUMMYFUNCTION("""COMPUTED_VALUE"""),9500.0)</f>
        <v>9500</v>
      </c>
      <c r="E1536" s="1">
        <f>IFERROR(__xludf.DUMMYFUNCTION("""COMPUTED_VALUE"""),9590.0)</f>
        <v>9590</v>
      </c>
      <c r="F1536" s="1">
        <f>IFERROR(__xludf.DUMMYFUNCTION("""COMPUTED_VALUE"""),11250.0)</f>
        <v>11250</v>
      </c>
    </row>
    <row r="1537">
      <c r="A1537" s="2">
        <f>IFERROR(__xludf.DUMMYFUNCTION("""COMPUTED_VALUE"""),43194.64583333333)</f>
        <v>43194.64583</v>
      </c>
      <c r="B1537" s="1">
        <f>IFERROR(__xludf.DUMMYFUNCTION("""COMPUTED_VALUE"""),9680.0)</f>
        <v>9680</v>
      </c>
      <c r="C1537" s="1">
        <f>IFERROR(__xludf.DUMMYFUNCTION("""COMPUTED_VALUE"""),9680.0)</f>
        <v>9680</v>
      </c>
      <c r="D1537" s="1">
        <f>IFERROR(__xludf.DUMMYFUNCTION("""COMPUTED_VALUE"""),9400.0)</f>
        <v>9400</v>
      </c>
      <c r="E1537" s="1">
        <f>IFERROR(__xludf.DUMMYFUNCTION("""COMPUTED_VALUE"""),9550.0)</f>
        <v>9550</v>
      </c>
      <c r="F1537" s="1">
        <f>IFERROR(__xludf.DUMMYFUNCTION("""COMPUTED_VALUE"""),20419.0)</f>
        <v>20419</v>
      </c>
    </row>
    <row r="1538">
      <c r="A1538" s="2">
        <f>IFERROR(__xludf.DUMMYFUNCTION("""COMPUTED_VALUE"""),43195.64583333333)</f>
        <v>43195.64583</v>
      </c>
      <c r="B1538" s="1">
        <f>IFERROR(__xludf.DUMMYFUNCTION("""COMPUTED_VALUE"""),9550.0)</f>
        <v>9550</v>
      </c>
      <c r="C1538" s="1">
        <f>IFERROR(__xludf.DUMMYFUNCTION("""COMPUTED_VALUE"""),9550.0)</f>
        <v>9550</v>
      </c>
      <c r="D1538" s="1">
        <f>IFERROR(__xludf.DUMMYFUNCTION("""COMPUTED_VALUE"""),9390.0)</f>
        <v>9390</v>
      </c>
      <c r="E1538" s="1">
        <f>IFERROR(__xludf.DUMMYFUNCTION("""COMPUTED_VALUE"""),9470.0)</f>
        <v>9470</v>
      </c>
      <c r="F1538" s="1">
        <f>IFERROR(__xludf.DUMMYFUNCTION("""COMPUTED_VALUE"""),18114.0)</f>
        <v>18114</v>
      </c>
    </row>
    <row r="1539">
      <c r="A1539" s="2">
        <f>IFERROR(__xludf.DUMMYFUNCTION("""COMPUTED_VALUE"""),43196.64583333333)</f>
        <v>43196.64583</v>
      </c>
      <c r="B1539" s="1">
        <f>IFERROR(__xludf.DUMMYFUNCTION("""COMPUTED_VALUE"""),9470.0)</f>
        <v>9470</v>
      </c>
      <c r="C1539" s="1">
        <f>IFERROR(__xludf.DUMMYFUNCTION("""COMPUTED_VALUE"""),9470.0)</f>
        <v>9470</v>
      </c>
      <c r="D1539" s="1">
        <f>IFERROR(__xludf.DUMMYFUNCTION("""COMPUTED_VALUE"""),9320.0)</f>
        <v>9320</v>
      </c>
      <c r="E1539" s="1">
        <f>IFERROR(__xludf.DUMMYFUNCTION("""COMPUTED_VALUE"""),9400.0)</f>
        <v>9400</v>
      </c>
      <c r="F1539" s="1">
        <f>IFERROR(__xludf.DUMMYFUNCTION("""COMPUTED_VALUE"""),11174.0)</f>
        <v>11174</v>
      </c>
    </row>
    <row r="1540">
      <c r="A1540" s="2">
        <f>IFERROR(__xludf.DUMMYFUNCTION("""COMPUTED_VALUE"""),43199.64583333333)</f>
        <v>43199.64583</v>
      </c>
      <c r="B1540" s="1">
        <f>IFERROR(__xludf.DUMMYFUNCTION("""COMPUTED_VALUE"""),9390.0)</f>
        <v>9390</v>
      </c>
      <c r="C1540" s="1">
        <f>IFERROR(__xludf.DUMMYFUNCTION("""COMPUTED_VALUE"""),9400.0)</f>
        <v>9400</v>
      </c>
      <c r="D1540" s="1">
        <f>IFERROR(__xludf.DUMMYFUNCTION("""COMPUTED_VALUE"""),9250.0)</f>
        <v>9250</v>
      </c>
      <c r="E1540" s="1">
        <f>IFERROR(__xludf.DUMMYFUNCTION("""COMPUTED_VALUE"""),9400.0)</f>
        <v>9400</v>
      </c>
      <c r="F1540" s="1">
        <f>IFERROR(__xludf.DUMMYFUNCTION("""COMPUTED_VALUE"""),11999.0)</f>
        <v>11999</v>
      </c>
    </row>
    <row r="1541">
      <c r="A1541" s="2">
        <f>IFERROR(__xludf.DUMMYFUNCTION("""COMPUTED_VALUE"""),43200.64583333333)</f>
        <v>43200.64583</v>
      </c>
      <c r="B1541" s="1">
        <f>IFERROR(__xludf.DUMMYFUNCTION("""COMPUTED_VALUE"""),9400.0)</f>
        <v>9400</v>
      </c>
      <c r="C1541" s="1">
        <f>IFERROR(__xludf.DUMMYFUNCTION("""COMPUTED_VALUE"""),9460.0)</f>
        <v>9460</v>
      </c>
      <c r="D1541" s="1">
        <f>IFERROR(__xludf.DUMMYFUNCTION("""COMPUTED_VALUE"""),9240.0)</f>
        <v>9240</v>
      </c>
      <c r="E1541" s="1">
        <f>IFERROR(__xludf.DUMMYFUNCTION("""COMPUTED_VALUE"""),9460.0)</f>
        <v>9460</v>
      </c>
      <c r="F1541" s="1">
        <f>IFERROR(__xludf.DUMMYFUNCTION("""COMPUTED_VALUE"""),14560.0)</f>
        <v>14560</v>
      </c>
    </row>
    <row r="1542">
      <c r="A1542" s="2">
        <f>IFERROR(__xludf.DUMMYFUNCTION("""COMPUTED_VALUE"""),43201.64583333333)</f>
        <v>43201.64583</v>
      </c>
      <c r="B1542" s="1">
        <f>IFERROR(__xludf.DUMMYFUNCTION("""COMPUTED_VALUE"""),9460.0)</f>
        <v>9460</v>
      </c>
      <c r="C1542" s="1">
        <f>IFERROR(__xludf.DUMMYFUNCTION("""COMPUTED_VALUE"""),9510.0)</f>
        <v>9510</v>
      </c>
      <c r="D1542" s="1">
        <f>IFERROR(__xludf.DUMMYFUNCTION("""COMPUTED_VALUE"""),9330.0)</f>
        <v>9330</v>
      </c>
      <c r="E1542" s="1">
        <f>IFERROR(__xludf.DUMMYFUNCTION("""COMPUTED_VALUE"""),9450.0)</f>
        <v>9450</v>
      </c>
      <c r="F1542" s="1">
        <f>IFERROR(__xludf.DUMMYFUNCTION("""COMPUTED_VALUE"""),13115.0)</f>
        <v>13115</v>
      </c>
    </row>
    <row r="1543">
      <c r="A1543" s="2">
        <f>IFERROR(__xludf.DUMMYFUNCTION("""COMPUTED_VALUE"""),43202.64583333333)</f>
        <v>43202.64583</v>
      </c>
      <c r="B1543" s="1">
        <f>IFERROR(__xludf.DUMMYFUNCTION("""COMPUTED_VALUE"""),9460.0)</f>
        <v>9460</v>
      </c>
      <c r="C1543" s="1">
        <f>IFERROR(__xludf.DUMMYFUNCTION("""COMPUTED_VALUE"""),9520.0)</f>
        <v>9520</v>
      </c>
      <c r="D1543" s="1">
        <f>IFERROR(__xludf.DUMMYFUNCTION("""COMPUTED_VALUE"""),9350.0)</f>
        <v>9350</v>
      </c>
      <c r="E1543" s="1">
        <f>IFERROR(__xludf.DUMMYFUNCTION("""COMPUTED_VALUE"""),9490.0)</f>
        <v>9490</v>
      </c>
      <c r="F1543" s="1">
        <f>IFERROR(__xludf.DUMMYFUNCTION("""COMPUTED_VALUE"""),14148.0)</f>
        <v>14148</v>
      </c>
    </row>
    <row r="1544">
      <c r="A1544" s="2">
        <f>IFERROR(__xludf.DUMMYFUNCTION("""COMPUTED_VALUE"""),43203.64583333333)</f>
        <v>43203.64583</v>
      </c>
      <c r="B1544" s="1">
        <f>IFERROR(__xludf.DUMMYFUNCTION("""COMPUTED_VALUE"""),9510.0)</f>
        <v>9510</v>
      </c>
      <c r="C1544" s="1">
        <f>IFERROR(__xludf.DUMMYFUNCTION("""COMPUTED_VALUE"""),9510.0)</f>
        <v>9510</v>
      </c>
      <c r="D1544" s="1">
        <f>IFERROR(__xludf.DUMMYFUNCTION("""COMPUTED_VALUE"""),9350.0)</f>
        <v>9350</v>
      </c>
      <c r="E1544" s="1">
        <f>IFERROR(__xludf.DUMMYFUNCTION("""COMPUTED_VALUE"""),9430.0)</f>
        <v>9430</v>
      </c>
      <c r="F1544" s="1">
        <f>IFERROR(__xludf.DUMMYFUNCTION("""COMPUTED_VALUE"""),12795.0)</f>
        <v>12795</v>
      </c>
    </row>
    <row r="1545">
      <c r="A1545" s="2">
        <f>IFERROR(__xludf.DUMMYFUNCTION("""COMPUTED_VALUE"""),43206.64583333333)</f>
        <v>43206.64583</v>
      </c>
      <c r="B1545" s="1">
        <f>IFERROR(__xludf.DUMMYFUNCTION("""COMPUTED_VALUE"""),9410.0)</f>
        <v>9410</v>
      </c>
      <c r="C1545" s="1">
        <f>IFERROR(__xludf.DUMMYFUNCTION("""COMPUTED_VALUE"""),9410.0)</f>
        <v>9410</v>
      </c>
      <c r="D1545" s="1">
        <f>IFERROR(__xludf.DUMMYFUNCTION("""COMPUTED_VALUE"""),9250.0)</f>
        <v>9250</v>
      </c>
      <c r="E1545" s="1">
        <f>IFERROR(__xludf.DUMMYFUNCTION("""COMPUTED_VALUE"""),9270.0)</f>
        <v>9270</v>
      </c>
      <c r="F1545" s="1">
        <f>IFERROR(__xludf.DUMMYFUNCTION("""COMPUTED_VALUE"""),23081.0)</f>
        <v>23081</v>
      </c>
    </row>
    <row r="1546">
      <c r="A1546" s="2">
        <f>IFERROR(__xludf.DUMMYFUNCTION("""COMPUTED_VALUE"""),43207.64583333333)</f>
        <v>43207.64583</v>
      </c>
      <c r="B1546" s="1">
        <f>IFERROR(__xludf.DUMMYFUNCTION("""COMPUTED_VALUE"""),9320.0)</f>
        <v>9320</v>
      </c>
      <c r="C1546" s="1">
        <f>IFERROR(__xludf.DUMMYFUNCTION("""COMPUTED_VALUE"""),9320.0)</f>
        <v>9320</v>
      </c>
      <c r="D1546" s="1">
        <f>IFERROR(__xludf.DUMMYFUNCTION("""COMPUTED_VALUE"""),9210.0)</f>
        <v>9210</v>
      </c>
      <c r="E1546" s="1">
        <f>IFERROR(__xludf.DUMMYFUNCTION("""COMPUTED_VALUE"""),9250.0)</f>
        <v>9250</v>
      </c>
      <c r="F1546" s="1">
        <f>IFERROR(__xludf.DUMMYFUNCTION("""COMPUTED_VALUE"""),16458.0)</f>
        <v>16458</v>
      </c>
    </row>
    <row r="1547">
      <c r="A1547" s="2">
        <f>IFERROR(__xludf.DUMMYFUNCTION("""COMPUTED_VALUE"""),43208.64583333333)</f>
        <v>43208.64583</v>
      </c>
      <c r="B1547" s="1">
        <f>IFERROR(__xludf.DUMMYFUNCTION("""COMPUTED_VALUE"""),9270.0)</f>
        <v>9270</v>
      </c>
      <c r="C1547" s="1">
        <f>IFERROR(__xludf.DUMMYFUNCTION("""COMPUTED_VALUE"""),9320.0)</f>
        <v>9320</v>
      </c>
      <c r="D1547" s="1">
        <f>IFERROR(__xludf.DUMMYFUNCTION("""COMPUTED_VALUE"""),9190.0)</f>
        <v>9190</v>
      </c>
      <c r="E1547" s="1">
        <f>IFERROR(__xludf.DUMMYFUNCTION("""COMPUTED_VALUE"""),9290.0)</f>
        <v>9290</v>
      </c>
      <c r="F1547" s="1">
        <f>IFERROR(__xludf.DUMMYFUNCTION("""COMPUTED_VALUE"""),14066.0)</f>
        <v>14066</v>
      </c>
    </row>
    <row r="1548">
      <c r="A1548" s="2">
        <f>IFERROR(__xludf.DUMMYFUNCTION("""COMPUTED_VALUE"""),43209.64583333333)</f>
        <v>43209.64583</v>
      </c>
      <c r="B1548" s="1">
        <f>IFERROR(__xludf.DUMMYFUNCTION("""COMPUTED_VALUE"""),9310.0)</f>
        <v>9310</v>
      </c>
      <c r="C1548" s="1">
        <f>IFERROR(__xludf.DUMMYFUNCTION("""COMPUTED_VALUE"""),9340.0)</f>
        <v>9340</v>
      </c>
      <c r="D1548" s="1">
        <f>IFERROR(__xludf.DUMMYFUNCTION("""COMPUTED_VALUE"""),9220.0)</f>
        <v>9220</v>
      </c>
      <c r="E1548" s="1">
        <f>IFERROR(__xludf.DUMMYFUNCTION("""COMPUTED_VALUE"""),9300.0)</f>
        <v>9300</v>
      </c>
      <c r="F1548" s="1">
        <f>IFERROR(__xludf.DUMMYFUNCTION("""COMPUTED_VALUE"""),11881.0)</f>
        <v>11881</v>
      </c>
    </row>
    <row r="1549">
      <c r="A1549" s="2">
        <f>IFERROR(__xludf.DUMMYFUNCTION("""COMPUTED_VALUE"""),43210.64583333333)</f>
        <v>43210.64583</v>
      </c>
      <c r="B1549" s="1">
        <f>IFERROR(__xludf.DUMMYFUNCTION("""COMPUTED_VALUE"""),9340.0)</f>
        <v>9340</v>
      </c>
      <c r="C1549" s="1">
        <f>IFERROR(__xludf.DUMMYFUNCTION("""COMPUTED_VALUE"""),9390.0)</f>
        <v>9390</v>
      </c>
      <c r="D1549" s="1">
        <f>IFERROR(__xludf.DUMMYFUNCTION("""COMPUTED_VALUE"""),9210.0)</f>
        <v>9210</v>
      </c>
      <c r="E1549" s="1">
        <f>IFERROR(__xludf.DUMMYFUNCTION("""COMPUTED_VALUE"""),9350.0)</f>
        <v>9350</v>
      </c>
      <c r="F1549" s="1">
        <f>IFERROR(__xludf.DUMMYFUNCTION("""COMPUTED_VALUE"""),12710.0)</f>
        <v>12710</v>
      </c>
    </row>
    <row r="1550">
      <c r="A1550" s="2">
        <f>IFERROR(__xludf.DUMMYFUNCTION("""COMPUTED_VALUE"""),43213.64583333333)</f>
        <v>43213.64583</v>
      </c>
      <c r="B1550" s="1">
        <f>IFERROR(__xludf.DUMMYFUNCTION("""COMPUTED_VALUE"""),9370.0)</f>
        <v>9370</v>
      </c>
      <c r="C1550" s="1">
        <f>IFERROR(__xludf.DUMMYFUNCTION("""COMPUTED_VALUE"""),9370.0)</f>
        <v>9370</v>
      </c>
      <c r="D1550" s="1">
        <f>IFERROR(__xludf.DUMMYFUNCTION("""COMPUTED_VALUE"""),9150.0)</f>
        <v>9150</v>
      </c>
      <c r="E1550" s="1">
        <f>IFERROR(__xludf.DUMMYFUNCTION("""COMPUTED_VALUE"""),9170.0)</f>
        <v>9170</v>
      </c>
      <c r="F1550" s="1">
        <f>IFERROR(__xludf.DUMMYFUNCTION("""COMPUTED_VALUE"""),26575.0)</f>
        <v>26575</v>
      </c>
    </row>
    <row r="1551">
      <c r="A1551" s="2">
        <f>IFERROR(__xludf.DUMMYFUNCTION("""COMPUTED_VALUE"""),43214.64583333333)</f>
        <v>43214.64583</v>
      </c>
      <c r="B1551" s="1">
        <f>IFERROR(__xludf.DUMMYFUNCTION("""COMPUTED_VALUE"""),9150.0)</f>
        <v>9150</v>
      </c>
      <c r="C1551" s="1">
        <f>IFERROR(__xludf.DUMMYFUNCTION("""COMPUTED_VALUE"""),9270.0)</f>
        <v>9270</v>
      </c>
      <c r="D1551" s="1">
        <f>IFERROR(__xludf.DUMMYFUNCTION("""COMPUTED_VALUE"""),9120.0)</f>
        <v>9120</v>
      </c>
      <c r="E1551" s="1">
        <f>IFERROR(__xludf.DUMMYFUNCTION("""COMPUTED_VALUE"""),9200.0)</f>
        <v>9200</v>
      </c>
      <c r="F1551" s="1">
        <f>IFERROR(__xludf.DUMMYFUNCTION("""COMPUTED_VALUE"""),15841.0)</f>
        <v>15841</v>
      </c>
    </row>
    <row r="1552">
      <c r="A1552" s="2">
        <f>IFERROR(__xludf.DUMMYFUNCTION("""COMPUTED_VALUE"""),43215.64583333333)</f>
        <v>43215.64583</v>
      </c>
      <c r="B1552" s="1">
        <f>IFERROR(__xludf.DUMMYFUNCTION("""COMPUTED_VALUE"""),9240.0)</f>
        <v>9240</v>
      </c>
      <c r="C1552" s="1">
        <f>IFERROR(__xludf.DUMMYFUNCTION("""COMPUTED_VALUE"""),9250.0)</f>
        <v>9250</v>
      </c>
      <c r="D1552" s="1">
        <f>IFERROR(__xludf.DUMMYFUNCTION("""COMPUTED_VALUE"""),9110.0)</f>
        <v>9110</v>
      </c>
      <c r="E1552" s="1">
        <f>IFERROR(__xludf.DUMMYFUNCTION("""COMPUTED_VALUE"""),9180.0)</f>
        <v>9180</v>
      </c>
      <c r="F1552" s="1">
        <f>IFERROR(__xludf.DUMMYFUNCTION("""COMPUTED_VALUE"""),15198.0)</f>
        <v>15198</v>
      </c>
    </row>
    <row r="1553">
      <c r="A1553" s="2">
        <f>IFERROR(__xludf.DUMMYFUNCTION("""COMPUTED_VALUE"""),43216.64583333333)</f>
        <v>43216.64583</v>
      </c>
      <c r="B1553" s="1">
        <f>IFERROR(__xludf.DUMMYFUNCTION("""COMPUTED_VALUE"""),9120.0)</f>
        <v>9120</v>
      </c>
      <c r="C1553" s="1">
        <f>IFERROR(__xludf.DUMMYFUNCTION("""COMPUTED_VALUE"""),9230.0)</f>
        <v>9230</v>
      </c>
      <c r="D1553" s="1">
        <f>IFERROR(__xludf.DUMMYFUNCTION("""COMPUTED_VALUE"""),9120.0)</f>
        <v>9120</v>
      </c>
      <c r="E1553" s="1">
        <f>IFERROR(__xludf.DUMMYFUNCTION("""COMPUTED_VALUE"""),9180.0)</f>
        <v>9180</v>
      </c>
      <c r="F1553" s="1">
        <f>IFERROR(__xludf.DUMMYFUNCTION("""COMPUTED_VALUE"""),15808.0)</f>
        <v>15808</v>
      </c>
    </row>
    <row r="1554">
      <c r="A1554" s="2">
        <f>IFERROR(__xludf.DUMMYFUNCTION("""COMPUTED_VALUE"""),43217.64583333333)</f>
        <v>43217.64583</v>
      </c>
      <c r="B1554" s="1">
        <f>IFERROR(__xludf.DUMMYFUNCTION("""COMPUTED_VALUE"""),9240.0)</f>
        <v>9240</v>
      </c>
      <c r="C1554" s="1">
        <f>IFERROR(__xludf.DUMMYFUNCTION("""COMPUTED_VALUE"""),9240.0)</f>
        <v>9240</v>
      </c>
      <c r="D1554" s="1">
        <f>IFERROR(__xludf.DUMMYFUNCTION("""COMPUTED_VALUE"""),9130.0)</f>
        <v>9130</v>
      </c>
      <c r="E1554" s="1">
        <f>IFERROR(__xludf.DUMMYFUNCTION("""COMPUTED_VALUE"""),9210.0)</f>
        <v>9210</v>
      </c>
      <c r="F1554" s="1">
        <f>IFERROR(__xludf.DUMMYFUNCTION("""COMPUTED_VALUE"""),4250.0)</f>
        <v>4250</v>
      </c>
    </row>
    <row r="1555">
      <c r="A1555" s="2">
        <f>IFERROR(__xludf.DUMMYFUNCTION("""COMPUTED_VALUE"""),43220.64583333333)</f>
        <v>43220.64583</v>
      </c>
      <c r="B1555" s="1">
        <f>IFERROR(__xludf.DUMMYFUNCTION("""COMPUTED_VALUE"""),9240.0)</f>
        <v>9240</v>
      </c>
      <c r="C1555" s="1">
        <f>IFERROR(__xludf.DUMMYFUNCTION("""COMPUTED_VALUE"""),9470.0)</f>
        <v>9470</v>
      </c>
      <c r="D1555" s="1">
        <f>IFERROR(__xludf.DUMMYFUNCTION("""COMPUTED_VALUE"""),9150.0)</f>
        <v>9150</v>
      </c>
      <c r="E1555" s="1">
        <f>IFERROR(__xludf.DUMMYFUNCTION("""COMPUTED_VALUE"""),9450.0)</f>
        <v>9450</v>
      </c>
      <c r="F1555" s="1">
        <f>IFERROR(__xludf.DUMMYFUNCTION("""COMPUTED_VALUE"""),20906.0)</f>
        <v>20906</v>
      </c>
    </row>
    <row r="1556">
      <c r="A1556" s="2">
        <f>IFERROR(__xludf.DUMMYFUNCTION("""COMPUTED_VALUE"""),43222.64583333333)</f>
        <v>43222.64583</v>
      </c>
      <c r="B1556" s="1">
        <f>IFERROR(__xludf.DUMMYFUNCTION("""COMPUTED_VALUE"""),9450.0)</f>
        <v>9450</v>
      </c>
      <c r="C1556" s="1">
        <f>IFERROR(__xludf.DUMMYFUNCTION("""COMPUTED_VALUE"""),9450.0)</f>
        <v>9450</v>
      </c>
      <c r="D1556" s="1">
        <f>IFERROR(__xludf.DUMMYFUNCTION("""COMPUTED_VALUE"""),9240.0)</f>
        <v>9240</v>
      </c>
      <c r="E1556" s="1">
        <f>IFERROR(__xludf.DUMMYFUNCTION("""COMPUTED_VALUE"""),9420.0)</f>
        <v>9420</v>
      </c>
      <c r="F1556" s="1">
        <f>IFERROR(__xludf.DUMMYFUNCTION("""COMPUTED_VALUE"""),25165.0)</f>
        <v>25165</v>
      </c>
    </row>
    <row r="1557">
      <c r="A1557" s="2">
        <f>IFERROR(__xludf.DUMMYFUNCTION("""COMPUTED_VALUE"""),43223.64583333333)</f>
        <v>43223.64583</v>
      </c>
      <c r="B1557" s="1">
        <f>IFERROR(__xludf.DUMMYFUNCTION("""COMPUTED_VALUE"""),9420.0)</f>
        <v>9420</v>
      </c>
      <c r="C1557" s="1">
        <f>IFERROR(__xludf.DUMMYFUNCTION("""COMPUTED_VALUE"""),9480.0)</f>
        <v>9480</v>
      </c>
      <c r="D1557" s="1">
        <f>IFERROR(__xludf.DUMMYFUNCTION("""COMPUTED_VALUE"""),9260.0)</f>
        <v>9260</v>
      </c>
      <c r="E1557" s="1">
        <f>IFERROR(__xludf.DUMMYFUNCTION("""COMPUTED_VALUE"""),9310.0)</f>
        <v>9310</v>
      </c>
      <c r="F1557" s="1">
        <f>IFERROR(__xludf.DUMMYFUNCTION("""COMPUTED_VALUE"""),17721.0)</f>
        <v>17721</v>
      </c>
    </row>
    <row r="1558">
      <c r="A1558" s="2">
        <f>IFERROR(__xludf.DUMMYFUNCTION("""COMPUTED_VALUE"""),43224.64583333333)</f>
        <v>43224.64583</v>
      </c>
      <c r="B1558" s="1">
        <f>IFERROR(__xludf.DUMMYFUNCTION("""COMPUTED_VALUE"""),9310.0)</f>
        <v>9310</v>
      </c>
      <c r="C1558" s="1">
        <f>IFERROR(__xludf.DUMMYFUNCTION("""COMPUTED_VALUE"""),9570.0)</f>
        <v>9570</v>
      </c>
      <c r="D1558" s="1">
        <f>IFERROR(__xludf.DUMMYFUNCTION("""COMPUTED_VALUE"""),9310.0)</f>
        <v>9310</v>
      </c>
      <c r="E1558" s="1">
        <f>IFERROR(__xludf.DUMMYFUNCTION("""COMPUTED_VALUE"""),9410.0)</f>
        <v>9410</v>
      </c>
      <c r="F1558" s="1">
        <f>IFERROR(__xludf.DUMMYFUNCTION("""COMPUTED_VALUE"""),23117.0)</f>
        <v>23117</v>
      </c>
    </row>
    <row r="1559">
      <c r="A1559" s="2">
        <f>IFERROR(__xludf.DUMMYFUNCTION("""COMPUTED_VALUE"""),43228.64583333333)</f>
        <v>43228.64583</v>
      </c>
      <c r="B1559" s="1">
        <f>IFERROR(__xludf.DUMMYFUNCTION("""COMPUTED_VALUE"""),9410.0)</f>
        <v>9410</v>
      </c>
      <c r="C1559" s="1">
        <f>IFERROR(__xludf.DUMMYFUNCTION("""COMPUTED_VALUE"""),9460.0)</f>
        <v>9460</v>
      </c>
      <c r="D1559" s="1">
        <f>IFERROR(__xludf.DUMMYFUNCTION("""COMPUTED_VALUE"""),9310.0)</f>
        <v>9310</v>
      </c>
      <c r="E1559" s="1">
        <f>IFERROR(__xludf.DUMMYFUNCTION("""COMPUTED_VALUE"""),9390.0)</f>
        <v>9390</v>
      </c>
      <c r="F1559" s="1">
        <f>IFERROR(__xludf.DUMMYFUNCTION("""COMPUTED_VALUE"""),11514.0)</f>
        <v>11514</v>
      </c>
    </row>
    <row r="1560">
      <c r="A1560" s="2">
        <f>IFERROR(__xludf.DUMMYFUNCTION("""COMPUTED_VALUE"""),43229.64583333333)</f>
        <v>43229.64583</v>
      </c>
      <c r="B1560" s="1">
        <f>IFERROR(__xludf.DUMMYFUNCTION("""COMPUTED_VALUE"""),9250.0)</f>
        <v>9250</v>
      </c>
      <c r="C1560" s="1">
        <f>IFERROR(__xludf.DUMMYFUNCTION("""COMPUTED_VALUE"""),9390.0)</f>
        <v>9390</v>
      </c>
      <c r="D1560" s="1">
        <f>IFERROR(__xludf.DUMMYFUNCTION("""COMPUTED_VALUE"""),9170.0)</f>
        <v>9170</v>
      </c>
      <c r="E1560" s="1">
        <f>IFERROR(__xludf.DUMMYFUNCTION("""COMPUTED_VALUE"""),9280.0)</f>
        <v>9280</v>
      </c>
      <c r="F1560" s="1">
        <f>IFERROR(__xludf.DUMMYFUNCTION("""COMPUTED_VALUE"""),20484.0)</f>
        <v>20484</v>
      </c>
    </row>
    <row r="1561">
      <c r="A1561" s="2">
        <f>IFERROR(__xludf.DUMMYFUNCTION("""COMPUTED_VALUE"""),43230.64583333333)</f>
        <v>43230.64583</v>
      </c>
      <c r="B1561" s="1">
        <f>IFERROR(__xludf.DUMMYFUNCTION("""COMPUTED_VALUE"""),9300.0)</f>
        <v>9300</v>
      </c>
      <c r="C1561" s="1">
        <f>IFERROR(__xludf.DUMMYFUNCTION("""COMPUTED_VALUE"""),9380.0)</f>
        <v>9380</v>
      </c>
      <c r="D1561" s="1">
        <f>IFERROR(__xludf.DUMMYFUNCTION("""COMPUTED_VALUE"""),9170.0)</f>
        <v>9170</v>
      </c>
      <c r="E1561" s="1">
        <f>IFERROR(__xludf.DUMMYFUNCTION("""COMPUTED_VALUE"""),9250.0)</f>
        <v>9250</v>
      </c>
      <c r="F1561" s="1">
        <f>IFERROR(__xludf.DUMMYFUNCTION("""COMPUTED_VALUE"""),15928.0)</f>
        <v>15928</v>
      </c>
    </row>
    <row r="1562">
      <c r="A1562" s="2">
        <f>IFERROR(__xludf.DUMMYFUNCTION("""COMPUTED_VALUE"""),43231.64583333333)</f>
        <v>43231.64583</v>
      </c>
      <c r="B1562" s="1">
        <f>IFERROR(__xludf.DUMMYFUNCTION("""COMPUTED_VALUE"""),9280.0)</f>
        <v>9280</v>
      </c>
      <c r="C1562" s="1">
        <f>IFERROR(__xludf.DUMMYFUNCTION("""COMPUTED_VALUE"""),9300.0)</f>
        <v>9300</v>
      </c>
      <c r="D1562" s="1">
        <f>IFERROR(__xludf.DUMMYFUNCTION("""COMPUTED_VALUE"""),9200.0)</f>
        <v>9200</v>
      </c>
      <c r="E1562" s="1">
        <f>IFERROR(__xludf.DUMMYFUNCTION("""COMPUTED_VALUE"""),9300.0)</f>
        <v>9300</v>
      </c>
      <c r="F1562" s="1">
        <f>IFERROR(__xludf.DUMMYFUNCTION("""COMPUTED_VALUE"""),11223.0)</f>
        <v>11223</v>
      </c>
    </row>
    <row r="1563">
      <c r="A1563" s="2">
        <f>IFERROR(__xludf.DUMMYFUNCTION("""COMPUTED_VALUE"""),43234.64583333333)</f>
        <v>43234.64583</v>
      </c>
      <c r="B1563" s="1">
        <f>IFERROR(__xludf.DUMMYFUNCTION("""COMPUTED_VALUE"""),9300.0)</f>
        <v>9300</v>
      </c>
      <c r="C1563" s="1">
        <f>IFERROR(__xludf.DUMMYFUNCTION("""COMPUTED_VALUE"""),9340.0)</f>
        <v>9340</v>
      </c>
      <c r="D1563" s="1">
        <f>IFERROR(__xludf.DUMMYFUNCTION("""COMPUTED_VALUE"""),9230.0)</f>
        <v>9230</v>
      </c>
      <c r="E1563" s="1">
        <f>IFERROR(__xludf.DUMMYFUNCTION("""COMPUTED_VALUE"""),9320.0)</f>
        <v>9320</v>
      </c>
      <c r="F1563" s="1">
        <f>IFERROR(__xludf.DUMMYFUNCTION("""COMPUTED_VALUE"""),9546.0)</f>
        <v>9546</v>
      </c>
    </row>
    <row r="1564">
      <c r="A1564" s="2">
        <f>IFERROR(__xludf.DUMMYFUNCTION("""COMPUTED_VALUE"""),43235.64583333333)</f>
        <v>43235.64583</v>
      </c>
      <c r="B1564" s="1">
        <f>IFERROR(__xludf.DUMMYFUNCTION("""COMPUTED_VALUE"""),9330.0)</f>
        <v>9330</v>
      </c>
      <c r="C1564" s="1">
        <f>IFERROR(__xludf.DUMMYFUNCTION("""COMPUTED_VALUE"""),9420.0)</f>
        <v>9420</v>
      </c>
      <c r="D1564" s="1">
        <f>IFERROR(__xludf.DUMMYFUNCTION("""COMPUTED_VALUE"""),9200.0)</f>
        <v>9200</v>
      </c>
      <c r="E1564" s="1">
        <f>IFERROR(__xludf.DUMMYFUNCTION("""COMPUTED_VALUE"""),9210.0)</f>
        <v>9210</v>
      </c>
      <c r="F1564" s="1">
        <f>IFERROR(__xludf.DUMMYFUNCTION("""COMPUTED_VALUE"""),12506.0)</f>
        <v>12506</v>
      </c>
    </row>
    <row r="1565">
      <c r="A1565" s="2">
        <f>IFERROR(__xludf.DUMMYFUNCTION("""COMPUTED_VALUE"""),43236.64583333333)</f>
        <v>43236.64583</v>
      </c>
      <c r="B1565" s="1">
        <f>IFERROR(__xludf.DUMMYFUNCTION("""COMPUTED_VALUE"""),9190.0)</f>
        <v>9190</v>
      </c>
      <c r="C1565" s="1">
        <f>IFERROR(__xludf.DUMMYFUNCTION("""COMPUTED_VALUE"""),9200.0)</f>
        <v>9200</v>
      </c>
      <c r="D1565" s="1">
        <f>IFERROR(__xludf.DUMMYFUNCTION("""COMPUTED_VALUE"""),8850.0)</f>
        <v>8850</v>
      </c>
      <c r="E1565" s="1">
        <f>IFERROR(__xludf.DUMMYFUNCTION("""COMPUTED_VALUE"""),8850.0)</f>
        <v>8850</v>
      </c>
      <c r="F1565" s="1">
        <f>IFERROR(__xludf.DUMMYFUNCTION("""COMPUTED_VALUE"""),41612.0)</f>
        <v>41612</v>
      </c>
    </row>
    <row r="1566">
      <c r="A1566" s="2">
        <f>IFERROR(__xludf.DUMMYFUNCTION("""COMPUTED_VALUE"""),43237.64583333333)</f>
        <v>43237.64583</v>
      </c>
      <c r="B1566" s="1">
        <f>IFERROR(__xludf.DUMMYFUNCTION("""COMPUTED_VALUE"""),8870.0)</f>
        <v>8870</v>
      </c>
      <c r="C1566" s="1">
        <f>IFERROR(__xludf.DUMMYFUNCTION("""COMPUTED_VALUE"""),9100.0)</f>
        <v>9100</v>
      </c>
      <c r="D1566" s="1">
        <f>IFERROR(__xludf.DUMMYFUNCTION("""COMPUTED_VALUE"""),8820.0)</f>
        <v>8820</v>
      </c>
      <c r="E1566" s="1">
        <f>IFERROR(__xludf.DUMMYFUNCTION("""COMPUTED_VALUE"""),8880.0)</f>
        <v>8880</v>
      </c>
      <c r="F1566" s="1">
        <f>IFERROR(__xludf.DUMMYFUNCTION("""COMPUTED_VALUE"""),26751.0)</f>
        <v>26751</v>
      </c>
    </row>
    <row r="1567">
      <c r="A1567" s="2">
        <f>IFERROR(__xludf.DUMMYFUNCTION("""COMPUTED_VALUE"""),43238.64583333333)</f>
        <v>43238.64583</v>
      </c>
      <c r="B1567" s="1">
        <f>IFERROR(__xludf.DUMMYFUNCTION("""COMPUTED_VALUE"""),8880.0)</f>
        <v>8880</v>
      </c>
      <c r="C1567" s="1">
        <f>IFERROR(__xludf.DUMMYFUNCTION("""COMPUTED_VALUE"""),8910.0)</f>
        <v>8910</v>
      </c>
      <c r="D1567" s="1">
        <f>IFERROR(__xludf.DUMMYFUNCTION("""COMPUTED_VALUE"""),8790.0)</f>
        <v>8790</v>
      </c>
      <c r="E1567" s="1">
        <f>IFERROR(__xludf.DUMMYFUNCTION("""COMPUTED_VALUE"""),8810.0)</f>
        <v>8810</v>
      </c>
      <c r="F1567" s="1">
        <f>IFERROR(__xludf.DUMMYFUNCTION("""COMPUTED_VALUE"""),17892.0)</f>
        <v>17892</v>
      </c>
    </row>
    <row r="1568">
      <c r="A1568" s="2">
        <f>IFERROR(__xludf.DUMMYFUNCTION("""COMPUTED_VALUE"""),43241.64583333333)</f>
        <v>43241.64583</v>
      </c>
      <c r="B1568" s="1">
        <f>IFERROR(__xludf.DUMMYFUNCTION("""COMPUTED_VALUE"""),8900.0)</f>
        <v>8900</v>
      </c>
      <c r="C1568" s="1">
        <f>IFERROR(__xludf.DUMMYFUNCTION("""COMPUTED_VALUE"""),8950.0)</f>
        <v>8950</v>
      </c>
      <c r="D1568" s="1">
        <f>IFERROR(__xludf.DUMMYFUNCTION("""COMPUTED_VALUE"""),8780.0)</f>
        <v>8780</v>
      </c>
      <c r="E1568" s="1">
        <f>IFERROR(__xludf.DUMMYFUNCTION("""COMPUTED_VALUE"""),8950.0)</f>
        <v>8950</v>
      </c>
      <c r="F1568" s="1">
        <f>IFERROR(__xludf.DUMMYFUNCTION("""COMPUTED_VALUE"""),10838.0)</f>
        <v>10838</v>
      </c>
    </row>
    <row r="1569">
      <c r="A1569" s="2">
        <f>IFERROR(__xludf.DUMMYFUNCTION("""COMPUTED_VALUE"""),43243.64583333333)</f>
        <v>43243.64583</v>
      </c>
      <c r="B1569" s="1">
        <f>IFERROR(__xludf.DUMMYFUNCTION("""COMPUTED_VALUE"""),8950.0)</f>
        <v>8950</v>
      </c>
      <c r="C1569" s="1">
        <f>IFERROR(__xludf.DUMMYFUNCTION("""COMPUTED_VALUE"""),9180.0)</f>
        <v>9180</v>
      </c>
      <c r="D1569" s="1">
        <f>IFERROR(__xludf.DUMMYFUNCTION("""COMPUTED_VALUE"""),8900.0)</f>
        <v>8900</v>
      </c>
      <c r="E1569" s="1">
        <f>IFERROR(__xludf.DUMMYFUNCTION("""COMPUTED_VALUE"""),9090.0)</f>
        <v>9090</v>
      </c>
      <c r="F1569" s="1">
        <f>IFERROR(__xludf.DUMMYFUNCTION("""COMPUTED_VALUE"""),29997.0)</f>
        <v>29997</v>
      </c>
    </row>
    <row r="1570">
      <c r="A1570" s="2">
        <f>IFERROR(__xludf.DUMMYFUNCTION("""COMPUTED_VALUE"""),43244.64583333333)</f>
        <v>43244.64583</v>
      </c>
      <c r="B1570" s="1">
        <f>IFERROR(__xludf.DUMMYFUNCTION("""COMPUTED_VALUE"""),9100.0)</f>
        <v>9100</v>
      </c>
      <c r="C1570" s="1">
        <f>IFERROR(__xludf.DUMMYFUNCTION("""COMPUTED_VALUE"""),9150.0)</f>
        <v>9150</v>
      </c>
      <c r="D1570" s="1">
        <f>IFERROR(__xludf.DUMMYFUNCTION("""COMPUTED_VALUE"""),9040.0)</f>
        <v>9040</v>
      </c>
      <c r="E1570" s="1">
        <f>IFERROR(__xludf.DUMMYFUNCTION("""COMPUTED_VALUE"""),9090.0)</f>
        <v>9090</v>
      </c>
      <c r="F1570" s="1">
        <f>IFERROR(__xludf.DUMMYFUNCTION("""COMPUTED_VALUE"""),4297.0)</f>
        <v>4297</v>
      </c>
    </row>
    <row r="1571">
      <c r="A1571" s="2">
        <f>IFERROR(__xludf.DUMMYFUNCTION("""COMPUTED_VALUE"""),43245.64583333333)</f>
        <v>43245.64583</v>
      </c>
      <c r="B1571" s="1">
        <f>IFERROR(__xludf.DUMMYFUNCTION("""COMPUTED_VALUE"""),9090.0)</f>
        <v>9090</v>
      </c>
      <c r="C1571" s="1">
        <f>IFERROR(__xludf.DUMMYFUNCTION("""COMPUTED_VALUE"""),9090.0)</f>
        <v>9090</v>
      </c>
      <c r="D1571" s="1">
        <f>IFERROR(__xludf.DUMMYFUNCTION("""COMPUTED_VALUE"""),8880.0)</f>
        <v>8880</v>
      </c>
      <c r="E1571" s="1">
        <f>IFERROR(__xludf.DUMMYFUNCTION("""COMPUTED_VALUE"""),9030.0)</f>
        <v>9030</v>
      </c>
      <c r="F1571" s="1">
        <f>IFERROR(__xludf.DUMMYFUNCTION("""COMPUTED_VALUE"""),17923.0)</f>
        <v>17923</v>
      </c>
    </row>
    <row r="1572">
      <c r="A1572" s="2">
        <f>IFERROR(__xludf.DUMMYFUNCTION("""COMPUTED_VALUE"""),43248.64583333333)</f>
        <v>43248.64583</v>
      </c>
      <c r="B1572" s="1">
        <f>IFERROR(__xludf.DUMMYFUNCTION("""COMPUTED_VALUE"""),8910.0)</f>
        <v>8910</v>
      </c>
      <c r="C1572" s="1">
        <f>IFERROR(__xludf.DUMMYFUNCTION("""COMPUTED_VALUE"""),9780.0)</f>
        <v>9780</v>
      </c>
      <c r="D1572" s="1">
        <f>IFERROR(__xludf.DUMMYFUNCTION("""COMPUTED_VALUE"""),8890.0)</f>
        <v>8890</v>
      </c>
      <c r="E1572" s="1">
        <f>IFERROR(__xludf.DUMMYFUNCTION("""COMPUTED_VALUE"""),9640.0)</f>
        <v>9640</v>
      </c>
      <c r="F1572" s="1">
        <f>IFERROR(__xludf.DUMMYFUNCTION("""COMPUTED_VALUE"""),195448.0)</f>
        <v>195448</v>
      </c>
    </row>
    <row r="1573">
      <c r="A1573" s="2">
        <f>IFERROR(__xludf.DUMMYFUNCTION("""COMPUTED_VALUE"""),43249.64583333333)</f>
        <v>43249.64583</v>
      </c>
      <c r="B1573" s="1">
        <f>IFERROR(__xludf.DUMMYFUNCTION("""COMPUTED_VALUE"""),9700.0)</f>
        <v>9700</v>
      </c>
      <c r="C1573" s="1">
        <f>IFERROR(__xludf.DUMMYFUNCTION("""COMPUTED_VALUE"""),10350.0)</f>
        <v>10350</v>
      </c>
      <c r="D1573" s="1">
        <f>IFERROR(__xludf.DUMMYFUNCTION("""COMPUTED_VALUE"""),9650.0)</f>
        <v>9650</v>
      </c>
      <c r="E1573" s="1">
        <f>IFERROR(__xludf.DUMMYFUNCTION("""COMPUTED_VALUE"""),10150.0)</f>
        <v>10150</v>
      </c>
      <c r="F1573" s="1">
        <f>IFERROR(__xludf.DUMMYFUNCTION("""COMPUTED_VALUE"""),258881.0)</f>
        <v>258881</v>
      </c>
    </row>
    <row r="1574">
      <c r="A1574" s="2">
        <f>IFERROR(__xludf.DUMMYFUNCTION("""COMPUTED_VALUE"""),43250.64583333333)</f>
        <v>43250.64583</v>
      </c>
      <c r="B1574" s="1">
        <f>IFERROR(__xludf.DUMMYFUNCTION("""COMPUTED_VALUE"""),10100.0)</f>
        <v>10100</v>
      </c>
      <c r="C1574" s="1">
        <f>IFERROR(__xludf.DUMMYFUNCTION("""COMPUTED_VALUE"""),10700.0)</f>
        <v>10700</v>
      </c>
      <c r="D1574" s="1">
        <f>IFERROR(__xludf.DUMMYFUNCTION("""COMPUTED_VALUE"""),10000.0)</f>
        <v>10000</v>
      </c>
      <c r="E1574" s="1">
        <f>IFERROR(__xludf.DUMMYFUNCTION("""COMPUTED_VALUE"""),10450.0)</f>
        <v>10450</v>
      </c>
      <c r="F1574" s="1">
        <f>IFERROR(__xludf.DUMMYFUNCTION("""COMPUTED_VALUE"""),198371.0)</f>
        <v>198371</v>
      </c>
    </row>
    <row r="1575">
      <c r="A1575" s="2">
        <f>IFERROR(__xludf.DUMMYFUNCTION("""COMPUTED_VALUE"""),43251.64583333333)</f>
        <v>43251.64583</v>
      </c>
      <c r="B1575" s="1">
        <f>IFERROR(__xludf.DUMMYFUNCTION("""COMPUTED_VALUE"""),10400.0)</f>
        <v>10400</v>
      </c>
      <c r="C1575" s="1">
        <f>IFERROR(__xludf.DUMMYFUNCTION("""COMPUTED_VALUE"""),10700.0)</f>
        <v>10700</v>
      </c>
      <c r="D1575" s="1">
        <f>IFERROR(__xludf.DUMMYFUNCTION("""COMPUTED_VALUE"""),10200.0)</f>
        <v>10200</v>
      </c>
      <c r="E1575" s="1">
        <f>IFERROR(__xludf.DUMMYFUNCTION("""COMPUTED_VALUE"""),10550.0)</f>
        <v>10550</v>
      </c>
      <c r="F1575" s="1">
        <f>IFERROR(__xludf.DUMMYFUNCTION("""COMPUTED_VALUE"""),81890.0)</f>
        <v>81890</v>
      </c>
    </row>
    <row r="1576">
      <c r="A1576" s="2">
        <f>IFERROR(__xludf.DUMMYFUNCTION("""COMPUTED_VALUE"""),43252.64583333333)</f>
        <v>43252.64583</v>
      </c>
      <c r="B1576" s="1">
        <f>IFERROR(__xludf.DUMMYFUNCTION("""COMPUTED_VALUE"""),10350.0)</f>
        <v>10350</v>
      </c>
      <c r="C1576" s="1">
        <f>IFERROR(__xludf.DUMMYFUNCTION("""COMPUTED_VALUE"""),10450.0)</f>
        <v>10450</v>
      </c>
      <c r="D1576" s="1">
        <f>IFERROR(__xludf.DUMMYFUNCTION("""COMPUTED_VALUE"""),10050.0)</f>
        <v>10050</v>
      </c>
      <c r="E1576" s="1">
        <f>IFERROR(__xludf.DUMMYFUNCTION("""COMPUTED_VALUE"""),10100.0)</f>
        <v>10100</v>
      </c>
      <c r="F1576" s="1">
        <f>IFERROR(__xludf.DUMMYFUNCTION("""COMPUTED_VALUE"""),87236.0)</f>
        <v>87236</v>
      </c>
    </row>
    <row r="1577">
      <c r="A1577" s="2">
        <f>IFERROR(__xludf.DUMMYFUNCTION("""COMPUTED_VALUE"""),43255.64583333333)</f>
        <v>43255.64583</v>
      </c>
      <c r="B1577" s="1">
        <f>IFERROR(__xludf.DUMMYFUNCTION("""COMPUTED_VALUE"""),10100.0)</f>
        <v>10100</v>
      </c>
      <c r="C1577" s="1">
        <f>IFERROR(__xludf.DUMMYFUNCTION("""COMPUTED_VALUE"""),10300.0)</f>
        <v>10300</v>
      </c>
      <c r="D1577" s="1">
        <f>IFERROR(__xludf.DUMMYFUNCTION("""COMPUTED_VALUE"""),9940.0)</f>
        <v>9940</v>
      </c>
      <c r="E1577" s="1">
        <f>IFERROR(__xludf.DUMMYFUNCTION("""COMPUTED_VALUE"""),10100.0)</f>
        <v>10100</v>
      </c>
      <c r="F1577" s="1">
        <f>IFERROR(__xludf.DUMMYFUNCTION("""COMPUTED_VALUE"""),91126.0)</f>
        <v>91126</v>
      </c>
    </row>
    <row r="1578">
      <c r="A1578" s="2">
        <f>IFERROR(__xludf.DUMMYFUNCTION("""COMPUTED_VALUE"""),43256.64583333333)</f>
        <v>43256.64583</v>
      </c>
      <c r="B1578" s="1">
        <f>IFERROR(__xludf.DUMMYFUNCTION("""COMPUTED_VALUE"""),10100.0)</f>
        <v>10100</v>
      </c>
      <c r="C1578" s="1">
        <f>IFERROR(__xludf.DUMMYFUNCTION("""COMPUTED_VALUE"""),10250.0)</f>
        <v>10250</v>
      </c>
      <c r="D1578" s="1">
        <f>IFERROR(__xludf.DUMMYFUNCTION("""COMPUTED_VALUE"""),9840.0)</f>
        <v>9840</v>
      </c>
      <c r="E1578" s="1">
        <f>IFERROR(__xludf.DUMMYFUNCTION("""COMPUTED_VALUE"""),9900.0)</f>
        <v>9900</v>
      </c>
      <c r="F1578" s="1">
        <f>IFERROR(__xludf.DUMMYFUNCTION("""COMPUTED_VALUE"""),93673.0)</f>
        <v>93673</v>
      </c>
    </row>
    <row r="1579">
      <c r="A1579" s="2">
        <f>IFERROR(__xludf.DUMMYFUNCTION("""COMPUTED_VALUE"""),43258.64583333333)</f>
        <v>43258.64583</v>
      </c>
      <c r="B1579" s="1">
        <f>IFERROR(__xludf.DUMMYFUNCTION("""COMPUTED_VALUE"""),9990.0)</f>
        <v>9990</v>
      </c>
      <c r="C1579" s="1">
        <f>IFERROR(__xludf.DUMMYFUNCTION("""COMPUTED_VALUE"""),10100.0)</f>
        <v>10100</v>
      </c>
      <c r="D1579" s="1">
        <f>IFERROR(__xludf.DUMMYFUNCTION("""COMPUTED_VALUE"""),9740.0)</f>
        <v>9740</v>
      </c>
      <c r="E1579" s="1">
        <f>IFERROR(__xludf.DUMMYFUNCTION("""COMPUTED_VALUE"""),10050.0)</f>
        <v>10050</v>
      </c>
      <c r="F1579" s="1">
        <f>IFERROR(__xludf.DUMMYFUNCTION("""COMPUTED_VALUE"""),57040.0)</f>
        <v>57040</v>
      </c>
    </row>
    <row r="1580">
      <c r="A1580" s="2">
        <f>IFERROR(__xludf.DUMMYFUNCTION("""COMPUTED_VALUE"""),43259.64583333333)</f>
        <v>43259.64583</v>
      </c>
      <c r="B1580" s="1">
        <f>IFERROR(__xludf.DUMMYFUNCTION("""COMPUTED_VALUE"""),10050.0)</f>
        <v>10050</v>
      </c>
      <c r="C1580" s="1">
        <f>IFERROR(__xludf.DUMMYFUNCTION("""COMPUTED_VALUE"""),10650.0)</f>
        <v>10650</v>
      </c>
      <c r="D1580" s="1">
        <f>IFERROR(__xludf.DUMMYFUNCTION("""COMPUTED_VALUE"""),9990.0)</f>
        <v>9990</v>
      </c>
      <c r="E1580" s="1">
        <f>IFERROR(__xludf.DUMMYFUNCTION("""COMPUTED_VALUE"""),10550.0)</f>
        <v>10550</v>
      </c>
      <c r="F1580" s="1">
        <f>IFERROR(__xludf.DUMMYFUNCTION("""COMPUTED_VALUE"""),114543.0)</f>
        <v>114543</v>
      </c>
    </row>
    <row r="1581">
      <c r="A1581" s="2">
        <f>IFERROR(__xludf.DUMMYFUNCTION("""COMPUTED_VALUE"""),43262.64583333333)</f>
        <v>43262.64583</v>
      </c>
      <c r="B1581" s="1">
        <f>IFERROR(__xludf.DUMMYFUNCTION("""COMPUTED_VALUE"""),10400.0)</f>
        <v>10400</v>
      </c>
      <c r="C1581" s="1">
        <f>IFERROR(__xludf.DUMMYFUNCTION("""COMPUTED_VALUE"""),11100.0)</f>
        <v>11100</v>
      </c>
      <c r="D1581" s="1">
        <f>IFERROR(__xludf.DUMMYFUNCTION("""COMPUTED_VALUE"""),10300.0)</f>
        <v>10300</v>
      </c>
      <c r="E1581" s="1">
        <f>IFERROR(__xludf.DUMMYFUNCTION("""COMPUTED_VALUE"""),10650.0)</f>
        <v>10650</v>
      </c>
      <c r="F1581" s="1">
        <f>IFERROR(__xludf.DUMMYFUNCTION("""COMPUTED_VALUE"""),289316.0)</f>
        <v>289316</v>
      </c>
    </row>
    <row r="1582">
      <c r="A1582" s="2">
        <f>IFERROR(__xludf.DUMMYFUNCTION("""COMPUTED_VALUE"""),43263.64583333333)</f>
        <v>43263.64583</v>
      </c>
      <c r="B1582" s="1">
        <f>IFERROR(__xludf.DUMMYFUNCTION("""COMPUTED_VALUE"""),10550.0)</f>
        <v>10550</v>
      </c>
      <c r="C1582" s="1">
        <f>IFERROR(__xludf.DUMMYFUNCTION("""COMPUTED_VALUE"""),10650.0)</f>
        <v>10650</v>
      </c>
      <c r="D1582" s="1">
        <f>IFERROR(__xludf.DUMMYFUNCTION("""COMPUTED_VALUE"""),10250.0)</f>
        <v>10250</v>
      </c>
      <c r="E1582" s="1">
        <f>IFERROR(__xludf.DUMMYFUNCTION("""COMPUTED_VALUE"""),10300.0)</f>
        <v>10300</v>
      </c>
      <c r="F1582" s="1">
        <f>IFERROR(__xludf.DUMMYFUNCTION("""COMPUTED_VALUE"""),91512.0)</f>
        <v>91512</v>
      </c>
    </row>
    <row r="1583">
      <c r="A1583" s="2">
        <f>IFERROR(__xludf.DUMMYFUNCTION("""COMPUTED_VALUE"""),43265.64583333333)</f>
        <v>43265.64583</v>
      </c>
      <c r="B1583" s="1">
        <f>IFERROR(__xludf.DUMMYFUNCTION("""COMPUTED_VALUE"""),10300.0)</f>
        <v>10300</v>
      </c>
      <c r="C1583" s="1">
        <f>IFERROR(__xludf.DUMMYFUNCTION("""COMPUTED_VALUE"""),10400.0)</f>
        <v>10400</v>
      </c>
      <c r="D1583" s="1">
        <f>IFERROR(__xludf.DUMMYFUNCTION("""COMPUTED_VALUE"""),10150.0)</f>
        <v>10150</v>
      </c>
      <c r="E1583" s="1">
        <f>IFERROR(__xludf.DUMMYFUNCTION("""COMPUTED_VALUE"""),10300.0)</f>
        <v>10300</v>
      </c>
      <c r="F1583" s="1">
        <f>IFERROR(__xludf.DUMMYFUNCTION("""COMPUTED_VALUE"""),32944.0)</f>
        <v>32944</v>
      </c>
    </row>
    <row r="1584">
      <c r="A1584" s="2">
        <f>IFERROR(__xludf.DUMMYFUNCTION("""COMPUTED_VALUE"""),43266.64583333333)</f>
        <v>43266.64583</v>
      </c>
      <c r="B1584" s="1">
        <f>IFERROR(__xludf.DUMMYFUNCTION("""COMPUTED_VALUE"""),10300.0)</f>
        <v>10300</v>
      </c>
      <c r="C1584" s="1">
        <f>IFERROR(__xludf.DUMMYFUNCTION("""COMPUTED_VALUE"""),10350.0)</f>
        <v>10350</v>
      </c>
      <c r="D1584" s="1">
        <f>IFERROR(__xludf.DUMMYFUNCTION("""COMPUTED_VALUE"""),9990.0)</f>
        <v>9990</v>
      </c>
      <c r="E1584" s="1">
        <f>IFERROR(__xludf.DUMMYFUNCTION("""COMPUTED_VALUE"""),9990.0)</f>
        <v>9990</v>
      </c>
      <c r="F1584" s="1">
        <f>IFERROR(__xludf.DUMMYFUNCTION("""COMPUTED_VALUE"""),47590.0)</f>
        <v>47590</v>
      </c>
    </row>
    <row r="1585">
      <c r="A1585" s="2">
        <f>IFERROR(__xludf.DUMMYFUNCTION("""COMPUTED_VALUE"""),43269.64583333333)</f>
        <v>43269.64583</v>
      </c>
      <c r="B1585" s="1">
        <f>IFERROR(__xludf.DUMMYFUNCTION("""COMPUTED_VALUE"""),10050.0)</f>
        <v>10050</v>
      </c>
      <c r="C1585" s="1">
        <f>IFERROR(__xludf.DUMMYFUNCTION("""COMPUTED_VALUE"""),10250.0)</f>
        <v>10250</v>
      </c>
      <c r="D1585" s="1">
        <f>IFERROR(__xludf.DUMMYFUNCTION("""COMPUTED_VALUE"""),9710.0)</f>
        <v>9710</v>
      </c>
      <c r="E1585" s="1">
        <f>IFERROR(__xludf.DUMMYFUNCTION("""COMPUTED_VALUE"""),9850.0)</f>
        <v>9850</v>
      </c>
      <c r="F1585" s="1">
        <f>IFERROR(__xludf.DUMMYFUNCTION("""COMPUTED_VALUE"""),39894.0)</f>
        <v>39894</v>
      </c>
    </row>
    <row r="1586">
      <c r="A1586" s="2">
        <f>IFERROR(__xludf.DUMMYFUNCTION("""COMPUTED_VALUE"""),43270.64583333333)</f>
        <v>43270.64583</v>
      </c>
      <c r="B1586" s="1">
        <f>IFERROR(__xludf.DUMMYFUNCTION("""COMPUTED_VALUE"""),9830.0)</f>
        <v>9830</v>
      </c>
      <c r="C1586" s="1">
        <f>IFERROR(__xludf.DUMMYFUNCTION("""COMPUTED_VALUE"""),10100.0)</f>
        <v>10100</v>
      </c>
      <c r="D1586" s="1">
        <f>IFERROR(__xludf.DUMMYFUNCTION("""COMPUTED_VALUE"""),9800.0)</f>
        <v>9800</v>
      </c>
      <c r="E1586" s="1">
        <f>IFERROR(__xludf.DUMMYFUNCTION("""COMPUTED_VALUE"""),9850.0)</f>
        <v>9850</v>
      </c>
      <c r="F1586" s="1">
        <f>IFERROR(__xludf.DUMMYFUNCTION("""COMPUTED_VALUE"""),58559.0)</f>
        <v>58559</v>
      </c>
    </row>
    <row r="1587">
      <c r="A1587" s="2">
        <f>IFERROR(__xludf.DUMMYFUNCTION("""COMPUTED_VALUE"""),43271.64583333333)</f>
        <v>43271.64583</v>
      </c>
      <c r="B1587" s="1">
        <f>IFERROR(__xludf.DUMMYFUNCTION("""COMPUTED_VALUE"""),9850.0)</f>
        <v>9850</v>
      </c>
      <c r="C1587" s="1">
        <f>IFERROR(__xludf.DUMMYFUNCTION("""COMPUTED_VALUE"""),10200.0)</f>
        <v>10200</v>
      </c>
      <c r="D1587" s="1">
        <f>IFERROR(__xludf.DUMMYFUNCTION("""COMPUTED_VALUE"""),9850.0)</f>
        <v>9850</v>
      </c>
      <c r="E1587" s="1">
        <f>IFERROR(__xludf.DUMMYFUNCTION("""COMPUTED_VALUE"""),10050.0)</f>
        <v>10050</v>
      </c>
      <c r="F1587" s="1">
        <f>IFERROR(__xludf.DUMMYFUNCTION("""COMPUTED_VALUE"""),25836.0)</f>
        <v>25836</v>
      </c>
    </row>
    <row r="1588">
      <c r="A1588" s="2">
        <f>IFERROR(__xludf.DUMMYFUNCTION("""COMPUTED_VALUE"""),43272.64583333333)</f>
        <v>43272.64583</v>
      </c>
      <c r="B1588" s="1">
        <f>IFERROR(__xludf.DUMMYFUNCTION("""COMPUTED_VALUE"""),10950.0)</f>
        <v>10950</v>
      </c>
      <c r="C1588" s="1">
        <f>IFERROR(__xludf.DUMMYFUNCTION("""COMPUTED_VALUE"""),11050.0)</f>
        <v>11050</v>
      </c>
      <c r="D1588" s="1">
        <f>IFERROR(__xludf.DUMMYFUNCTION("""COMPUTED_VALUE"""),10350.0)</f>
        <v>10350</v>
      </c>
      <c r="E1588" s="1">
        <f>IFERROR(__xludf.DUMMYFUNCTION("""COMPUTED_VALUE"""),10350.0)</f>
        <v>10350</v>
      </c>
      <c r="F1588" s="1">
        <f>IFERROR(__xludf.DUMMYFUNCTION("""COMPUTED_VALUE"""),366872.0)</f>
        <v>366872</v>
      </c>
    </row>
    <row r="1589">
      <c r="A1589" s="2">
        <f>IFERROR(__xludf.DUMMYFUNCTION("""COMPUTED_VALUE"""),43273.64583333333)</f>
        <v>43273.64583</v>
      </c>
      <c r="B1589" s="1">
        <f>IFERROR(__xludf.DUMMYFUNCTION("""COMPUTED_VALUE"""),10400.0)</f>
        <v>10400</v>
      </c>
      <c r="C1589" s="1">
        <f>IFERROR(__xludf.DUMMYFUNCTION("""COMPUTED_VALUE"""),10850.0)</f>
        <v>10850</v>
      </c>
      <c r="D1589" s="1">
        <f>IFERROR(__xludf.DUMMYFUNCTION("""COMPUTED_VALUE"""),10250.0)</f>
        <v>10250</v>
      </c>
      <c r="E1589" s="1">
        <f>IFERROR(__xludf.DUMMYFUNCTION("""COMPUTED_VALUE"""),10600.0)</f>
        <v>10600</v>
      </c>
      <c r="F1589" s="1">
        <f>IFERROR(__xludf.DUMMYFUNCTION("""COMPUTED_VALUE"""),70170.0)</f>
        <v>70170</v>
      </c>
    </row>
    <row r="1590">
      <c r="A1590" s="2">
        <f>IFERROR(__xludf.DUMMYFUNCTION("""COMPUTED_VALUE"""),43276.64583333333)</f>
        <v>43276.64583</v>
      </c>
      <c r="B1590" s="1">
        <f>IFERROR(__xludf.DUMMYFUNCTION("""COMPUTED_VALUE"""),10700.0)</f>
        <v>10700</v>
      </c>
      <c r="C1590" s="1">
        <f>IFERROR(__xludf.DUMMYFUNCTION("""COMPUTED_VALUE"""),11000.0)</f>
        <v>11000</v>
      </c>
      <c r="D1590" s="1">
        <f>IFERROR(__xludf.DUMMYFUNCTION("""COMPUTED_VALUE"""),10600.0)</f>
        <v>10600</v>
      </c>
      <c r="E1590" s="1">
        <f>IFERROR(__xludf.DUMMYFUNCTION("""COMPUTED_VALUE"""),10750.0)</f>
        <v>10750</v>
      </c>
      <c r="F1590" s="1">
        <f>IFERROR(__xludf.DUMMYFUNCTION("""COMPUTED_VALUE"""),112017.0)</f>
        <v>112017</v>
      </c>
    </row>
    <row r="1591">
      <c r="A1591" s="2">
        <f>IFERROR(__xludf.DUMMYFUNCTION("""COMPUTED_VALUE"""),43277.64583333333)</f>
        <v>43277.64583</v>
      </c>
      <c r="B1591" s="1">
        <f>IFERROR(__xludf.DUMMYFUNCTION("""COMPUTED_VALUE"""),10600.0)</f>
        <v>10600</v>
      </c>
      <c r="C1591" s="1">
        <f>IFERROR(__xludf.DUMMYFUNCTION("""COMPUTED_VALUE"""),10600.0)</f>
        <v>10600</v>
      </c>
      <c r="D1591" s="1">
        <f>IFERROR(__xludf.DUMMYFUNCTION("""COMPUTED_VALUE"""),10250.0)</f>
        <v>10250</v>
      </c>
      <c r="E1591" s="1">
        <f>IFERROR(__xludf.DUMMYFUNCTION("""COMPUTED_VALUE"""),10400.0)</f>
        <v>10400</v>
      </c>
      <c r="F1591" s="1">
        <f>IFERROR(__xludf.DUMMYFUNCTION("""COMPUTED_VALUE"""),71559.0)</f>
        <v>71559</v>
      </c>
    </row>
    <row r="1592">
      <c r="A1592" s="2">
        <f>IFERROR(__xludf.DUMMYFUNCTION("""COMPUTED_VALUE"""),43278.64583333333)</f>
        <v>43278.64583</v>
      </c>
      <c r="B1592" s="1">
        <f>IFERROR(__xludf.DUMMYFUNCTION("""COMPUTED_VALUE"""),10400.0)</f>
        <v>10400</v>
      </c>
      <c r="C1592" s="1">
        <f>IFERROR(__xludf.DUMMYFUNCTION("""COMPUTED_VALUE"""),10650.0)</f>
        <v>10650</v>
      </c>
      <c r="D1592" s="1">
        <f>IFERROR(__xludf.DUMMYFUNCTION("""COMPUTED_VALUE"""),10300.0)</f>
        <v>10300</v>
      </c>
      <c r="E1592" s="1">
        <f>IFERROR(__xludf.DUMMYFUNCTION("""COMPUTED_VALUE"""),10350.0)</f>
        <v>10350</v>
      </c>
      <c r="F1592" s="1">
        <f>IFERROR(__xludf.DUMMYFUNCTION("""COMPUTED_VALUE"""),34456.0)</f>
        <v>34456</v>
      </c>
    </row>
    <row r="1593">
      <c r="A1593" s="2">
        <f>IFERROR(__xludf.DUMMYFUNCTION("""COMPUTED_VALUE"""),43279.64583333333)</f>
        <v>43279.64583</v>
      </c>
      <c r="B1593" s="1">
        <f>IFERROR(__xludf.DUMMYFUNCTION("""COMPUTED_VALUE"""),10200.0)</f>
        <v>10200</v>
      </c>
      <c r="C1593" s="1">
        <f>IFERROR(__xludf.DUMMYFUNCTION("""COMPUTED_VALUE"""),10350.0)</f>
        <v>10350</v>
      </c>
      <c r="D1593" s="1">
        <f>IFERROR(__xludf.DUMMYFUNCTION("""COMPUTED_VALUE"""),10000.0)</f>
        <v>10000</v>
      </c>
      <c r="E1593" s="1">
        <f>IFERROR(__xludf.DUMMYFUNCTION("""COMPUTED_VALUE"""),10000.0)</f>
        <v>10000</v>
      </c>
      <c r="F1593" s="1">
        <f>IFERROR(__xludf.DUMMYFUNCTION("""COMPUTED_VALUE"""),48640.0)</f>
        <v>48640</v>
      </c>
    </row>
    <row r="1594">
      <c r="A1594" s="2">
        <f>IFERROR(__xludf.DUMMYFUNCTION("""COMPUTED_VALUE"""),43280.64583333333)</f>
        <v>43280.64583</v>
      </c>
      <c r="B1594" s="1">
        <f>IFERROR(__xludf.DUMMYFUNCTION("""COMPUTED_VALUE"""),10200.0)</f>
        <v>10200</v>
      </c>
      <c r="C1594" s="1">
        <f>IFERROR(__xludf.DUMMYFUNCTION("""COMPUTED_VALUE"""),10300.0)</f>
        <v>10300</v>
      </c>
      <c r="D1594" s="1">
        <f>IFERROR(__xludf.DUMMYFUNCTION("""COMPUTED_VALUE"""),9990.0)</f>
        <v>9990</v>
      </c>
      <c r="E1594" s="1">
        <f>IFERROR(__xludf.DUMMYFUNCTION("""COMPUTED_VALUE"""),10150.0)</f>
        <v>10150</v>
      </c>
      <c r="F1594" s="1">
        <f>IFERROR(__xludf.DUMMYFUNCTION("""COMPUTED_VALUE"""),43908.0)</f>
        <v>43908</v>
      </c>
    </row>
    <row r="1595">
      <c r="A1595" s="2">
        <f>IFERROR(__xludf.DUMMYFUNCTION("""COMPUTED_VALUE"""),43283.64583333333)</f>
        <v>43283.64583</v>
      </c>
      <c r="B1595" s="1">
        <f>IFERROR(__xludf.DUMMYFUNCTION("""COMPUTED_VALUE"""),10150.0)</f>
        <v>10150</v>
      </c>
      <c r="C1595" s="1">
        <f>IFERROR(__xludf.DUMMYFUNCTION("""COMPUTED_VALUE"""),10250.0)</f>
        <v>10250</v>
      </c>
      <c r="D1595" s="1">
        <f>IFERROR(__xludf.DUMMYFUNCTION("""COMPUTED_VALUE"""),9790.0)</f>
        <v>9790</v>
      </c>
      <c r="E1595" s="1">
        <f>IFERROR(__xludf.DUMMYFUNCTION("""COMPUTED_VALUE"""),9790.0)</f>
        <v>9790</v>
      </c>
      <c r="F1595" s="1">
        <f>IFERROR(__xludf.DUMMYFUNCTION("""COMPUTED_VALUE"""),60404.0)</f>
        <v>60404</v>
      </c>
    </row>
    <row r="1596">
      <c r="A1596" s="2">
        <f>IFERROR(__xludf.DUMMYFUNCTION("""COMPUTED_VALUE"""),43284.64583333333)</f>
        <v>43284.64583</v>
      </c>
      <c r="B1596" s="1">
        <f>IFERROR(__xludf.DUMMYFUNCTION("""COMPUTED_VALUE"""),9800.0)</f>
        <v>9800</v>
      </c>
      <c r="C1596" s="1">
        <f>IFERROR(__xludf.DUMMYFUNCTION("""COMPUTED_VALUE"""),10350.0)</f>
        <v>10350</v>
      </c>
      <c r="D1596" s="1">
        <f>IFERROR(__xludf.DUMMYFUNCTION("""COMPUTED_VALUE"""),9700.0)</f>
        <v>9700</v>
      </c>
      <c r="E1596" s="1">
        <f>IFERROR(__xludf.DUMMYFUNCTION("""COMPUTED_VALUE"""),10200.0)</f>
        <v>10200</v>
      </c>
      <c r="F1596" s="1">
        <f>IFERROR(__xludf.DUMMYFUNCTION("""COMPUTED_VALUE"""),49143.0)</f>
        <v>49143</v>
      </c>
    </row>
    <row r="1597">
      <c r="A1597" s="2">
        <f>IFERROR(__xludf.DUMMYFUNCTION("""COMPUTED_VALUE"""),43285.64583333333)</f>
        <v>43285.64583</v>
      </c>
      <c r="B1597" s="1">
        <f>IFERROR(__xludf.DUMMYFUNCTION("""COMPUTED_VALUE"""),10200.0)</f>
        <v>10200</v>
      </c>
      <c r="C1597" s="1">
        <f>IFERROR(__xludf.DUMMYFUNCTION("""COMPUTED_VALUE"""),10300.0)</f>
        <v>10300</v>
      </c>
      <c r="D1597" s="1">
        <f>IFERROR(__xludf.DUMMYFUNCTION("""COMPUTED_VALUE"""),10100.0)</f>
        <v>10100</v>
      </c>
      <c r="E1597" s="1">
        <f>IFERROR(__xludf.DUMMYFUNCTION("""COMPUTED_VALUE"""),10200.0)</f>
        <v>10200</v>
      </c>
      <c r="F1597" s="1">
        <f>IFERROR(__xludf.DUMMYFUNCTION("""COMPUTED_VALUE"""),18840.0)</f>
        <v>18840</v>
      </c>
    </row>
    <row r="1598">
      <c r="A1598" s="2">
        <f>IFERROR(__xludf.DUMMYFUNCTION("""COMPUTED_VALUE"""),43286.64583333333)</f>
        <v>43286.64583</v>
      </c>
      <c r="B1598" s="1">
        <f>IFERROR(__xludf.DUMMYFUNCTION("""COMPUTED_VALUE"""),10300.0)</f>
        <v>10300</v>
      </c>
      <c r="C1598" s="1">
        <f>IFERROR(__xludf.DUMMYFUNCTION("""COMPUTED_VALUE"""),10300.0)</f>
        <v>10300</v>
      </c>
      <c r="D1598" s="1">
        <f>IFERROR(__xludf.DUMMYFUNCTION("""COMPUTED_VALUE"""),9880.0)</f>
        <v>9880</v>
      </c>
      <c r="E1598" s="1">
        <f>IFERROR(__xludf.DUMMYFUNCTION("""COMPUTED_VALUE"""),10050.0)</f>
        <v>10050</v>
      </c>
      <c r="F1598" s="1">
        <f>IFERROR(__xludf.DUMMYFUNCTION("""COMPUTED_VALUE"""),49804.0)</f>
        <v>49804</v>
      </c>
    </row>
    <row r="1599">
      <c r="A1599" s="2">
        <f>IFERROR(__xludf.DUMMYFUNCTION("""COMPUTED_VALUE"""),43287.64583333333)</f>
        <v>43287.64583</v>
      </c>
      <c r="B1599" s="1">
        <f>IFERROR(__xludf.DUMMYFUNCTION("""COMPUTED_VALUE"""),10100.0)</f>
        <v>10100</v>
      </c>
      <c r="C1599" s="1">
        <f>IFERROR(__xludf.DUMMYFUNCTION("""COMPUTED_VALUE"""),10200.0)</f>
        <v>10200</v>
      </c>
      <c r="D1599" s="1">
        <f>IFERROR(__xludf.DUMMYFUNCTION("""COMPUTED_VALUE"""),9900.0)</f>
        <v>9900</v>
      </c>
      <c r="E1599" s="1">
        <f>IFERROR(__xludf.DUMMYFUNCTION("""COMPUTED_VALUE"""),10150.0)</f>
        <v>10150</v>
      </c>
      <c r="F1599" s="1">
        <f>IFERROR(__xludf.DUMMYFUNCTION("""COMPUTED_VALUE"""),26445.0)</f>
        <v>26445</v>
      </c>
    </row>
    <row r="1600">
      <c r="A1600" s="2">
        <f>IFERROR(__xludf.DUMMYFUNCTION("""COMPUTED_VALUE"""),43290.64583333333)</f>
        <v>43290.64583</v>
      </c>
      <c r="B1600" s="1">
        <f>IFERROR(__xludf.DUMMYFUNCTION("""COMPUTED_VALUE"""),10300.0)</f>
        <v>10300</v>
      </c>
      <c r="C1600" s="1">
        <f>IFERROR(__xludf.DUMMYFUNCTION("""COMPUTED_VALUE"""),10300.0)</f>
        <v>10300</v>
      </c>
      <c r="D1600" s="1">
        <f>IFERROR(__xludf.DUMMYFUNCTION("""COMPUTED_VALUE"""),9930.0)</f>
        <v>9930</v>
      </c>
      <c r="E1600" s="1">
        <f>IFERROR(__xludf.DUMMYFUNCTION("""COMPUTED_VALUE"""),10050.0)</f>
        <v>10050</v>
      </c>
      <c r="F1600" s="1">
        <f>IFERROR(__xludf.DUMMYFUNCTION("""COMPUTED_VALUE"""),39987.0)</f>
        <v>39987</v>
      </c>
    </row>
    <row r="1601">
      <c r="A1601" s="2">
        <f>IFERROR(__xludf.DUMMYFUNCTION("""COMPUTED_VALUE"""),43291.64583333333)</f>
        <v>43291.64583</v>
      </c>
      <c r="B1601" s="1">
        <f>IFERROR(__xludf.DUMMYFUNCTION("""COMPUTED_VALUE"""),10050.0)</f>
        <v>10050</v>
      </c>
      <c r="C1601" s="1">
        <f>IFERROR(__xludf.DUMMYFUNCTION("""COMPUTED_VALUE"""),10750.0)</f>
        <v>10750</v>
      </c>
      <c r="D1601" s="1">
        <f>IFERROR(__xludf.DUMMYFUNCTION("""COMPUTED_VALUE"""),10050.0)</f>
        <v>10050</v>
      </c>
      <c r="E1601" s="1">
        <f>IFERROR(__xludf.DUMMYFUNCTION("""COMPUTED_VALUE"""),10650.0)</f>
        <v>10650</v>
      </c>
      <c r="F1601" s="1">
        <f>IFERROR(__xludf.DUMMYFUNCTION("""COMPUTED_VALUE"""),135703.0)</f>
        <v>135703</v>
      </c>
    </row>
    <row r="1602">
      <c r="A1602" s="2">
        <f>IFERROR(__xludf.DUMMYFUNCTION("""COMPUTED_VALUE"""),43292.64583333333)</f>
        <v>43292.64583</v>
      </c>
      <c r="B1602" s="1">
        <f>IFERROR(__xludf.DUMMYFUNCTION("""COMPUTED_VALUE"""),10550.0)</f>
        <v>10550</v>
      </c>
      <c r="C1602" s="1">
        <f>IFERROR(__xludf.DUMMYFUNCTION("""COMPUTED_VALUE"""),10950.0)</f>
        <v>10950</v>
      </c>
      <c r="D1602" s="1">
        <f>IFERROR(__xludf.DUMMYFUNCTION("""COMPUTED_VALUE"""),10400.0)</f>
        <v>10400</v>
      </c>
      <c r="E1602" s="1">
        <f>IFERROR(__xludf.DUMMYFUNCTION("""COMPUTED_VALUE"""),10850.0)</f>
        <v>10850</v>
      </c>
      <c r="F1602" s="1">
        <f>IFERROR(__xludf.DUMMYFUNCTION("""COMPUTED_VALUE"""),76970.0)</f>
        <v>76970</v>
      </c>
    </row>
    <row r="1603">
      <c r="A1603" s="2">
        <f>IFERROR(__xludf.DUMMYFUNCTION("""COMPUTED_VALUE"""),43293.64583333333)</f>
        <v>43293.64583</v>
      </c>
      <c r="B1603" s="1">
        <f>IFERROR(__xludf.DUMMYFUNCTION("""COMPUTED_VALUE"""),10900.0)</f>
        <v>10900</v>
      </c>
      <c r="C1603" s="1">
        <f>IFERROR(__xludf.DUMMYFUNCTION("""COMPUTED_VALUE"""),11100.0)</f>
        <v>11100</v>
      </c>
      <c r="D1603" s="1">
        <f>IFERROR(__xludf.DUMMYFUNCTION("""COMPUTED_VALUE"""),10600.0)</f>
        <v>10600</v>
      </c>
      <c r="E1603" s="1">
        <f>IFERROR(__xludf.DUMMYFUNCTION("""COMPUTED_VALUE"""),11000.0)</f>
        <v>11000</v>
      </c>
      <c r="F1603" s="1">
        <f>IFERROR(__xludf.DUMMYFUNCTION("""COMPUTED_VALUE"""),111619.0)</f>
        <v>111619</v>
      </c>
    </row>
    <row r="1604">
      <c r="A1604" s="2">
        <f>IFERROR(__xludf.DUMMYFUNCTION("""COMPUTED_VALUE"""),43294.64583333333)</f>
        <v>43294.64583</v>
      </c>
      <c r="B1604" s="1">
        <f>IFERROR(__xludf.DUMMYFUNCTION("""COMPUTED_VALUE"""),11100.0)</f>
        <v>11100</v>
      </c>
      <c r="C1604" s="1">
        <f>IFERROR(__xludf.DUMMYFUNCTION("""COMPUTED_VALUE"""),11300.0)</f>
        <v>11300</v>
      </c>
      <c r="D1604" s="1">
        <f>IFERROR(__xludf.DUMMYFUNCTION("""COMPUTED_VALUE"""),10750.0)</f>
        <v>10750</v>
      </c>
      <c r="E1604" s="1">
        <f>IFERROR(__xludf.DUMMYFUNCTION("""COMPUTED_VALUE"""),10950.0)</f>
        <v>10950</v>
      </c>
      <c r="F1604" s="1">
        <f>IFERROR(__xludf.DUMMYFUNCTION("""COMPUTED_VALUE"""),74893.0)</f>
        <v>74893</v>
      </c>
    </row>
    <row r="1605">
      <c r="A1605" s="2">
        <f>IFERROR(__xludf.DUMMYFUNCTION("""COMPUTED_VALUE"""),43297.64583333333)</f>
        <v>43297.64583</v>
      </c>
      <c r="B1605" s="1">
        <f>IFERROR(__xludf.DUMMYFUNCTION("""COMPUTED_VALUE"""),11050.0)</f>
        <v>11050</v>
      </c>
      <c r="C1605" s="1">
        <f>IFERROR(__xludf.DUMMYFUNCTION("""COMPUTED_VALUE"""),11800.0)</f>
        <v>11800</v>
      </c>
      <c r="D1605" s="1">
        <f>IFERROR(__xludf.DUMMYFUNCTION("""COMPUTED_VALUE"""),10850.0)</f>
        <v>10850</v>
      </c>
      <c r="E1605" s="1">
        <f>IFERROR(__xludf.DUMMYFUNCTION("""COMPUTED_VALUE"""),11650.0)</f>
        <v>11650</v>
      </c>
      <c r="F1605" s="1">
        <f>IFERROR(__xludf.DUMMYFUNCTION("""COMPUTED_VALUE"""),208030.0)</f>
        <v>208030</v>
      </c>
    </row>
    <row r="1606">
      <c r="A1606" s="2">
        <f>IFERROR(__xludf.DUMMYFUNCTION("""COMPUTED_VALUE"""),43298.64583333333)</f>
        <v>43298.64583</v>
      </c>
      <c r="B1606" s="1">
        <f>IFERROR(__xludf.DUMMYFUNCTION("""COMPUTED_VALUE"""),11650.0)</f>
        <v>11650</v>
      </c>
      <c r="C1606" s="1">
        <f>IFERROR(__xludf.DUMMYFUNCTION("""COMPUTED_VALUE"""),11650.0)</f>
        <v>11650</v>
      </c>
      <c r="D1606" s="1">
        <f>IFERROR(__xludf.DUMMYFUNCTION("""COMPUTED_VALUE"""),11100.0)</f>
        <v>11100</v>
      </c>
      <c r="E1606" s="1">
        <f>IFERROR(__xludf.DUMMYFUNCTION("""COMPUTED_VALUE"""),11100.0)</f>
        <v>11100</v>
      </c>
      <c r="F1606" s="1">
        <f>IFERROR(__xludf.DUMMYFUNCTION("""COMPUTED_VALUE"""),99420.0)</f>
        <v>99420</v>
      </c>
    </row>
    <row r="1607">
      <c r="A1607" s="2">
        <f>IFERROR(__xludf.DUMMYFUNCTION("""COMPUTED_VALUE"""),43299.64583333333)</f>
        <v>43299.64583</v>
      </c>
      <c r="B1607" s="1">
        <f>IFERROR(__xludf.DUMMYFUNCTION("""COMPUTED_VALUE"""),11100.0)</f>
        <v>11100</v>
      </c>
      <c r="C1607" s="1">
        <f>IFERROR(__xludf.DUMMYFUNCTION("""COMPUTED_VALUE"""),11300.0)</f>
        <v>11300</v>
      </c>
      <c r="D1607" s="1">
        <f>IFERROR(__xludf.DUMMYFUNCTION("""COMPUTED_VALUE"""),10800.0)</f>
        <v>10800</v>
      </c>
      <c r="E1607" s="1">
        <f>IFERROR(__xludf.DUMMYFUNCTION("""COMPUTED_VALUE"""),10900.0)</f>
        <v>10900</v>
      </c>
      <c r="F1607" s="1">
        <f>IFERROR(__xludf.DUMMYFUNCTION("""COMPUTED_VALUE"""),73082.0)</f>
        <v>73082</v>
      </c>
    </row>
    <row r="1608">
      <c r="A1608" s="2">
        <f>IFERROR(__xludf.DUMMYFUNCTION("""COMPUTED_VALUE"""),43300.64583333333)</f>
        <v>43300.64583</v>
      </c>
      <c r="B1608" s="1">
        <f>IFERROR(__xludf.DUMMYFUNCTION("""COMPUTED_VALUE"""),10900.0)</f>
        <v>10900</v>
      </c>
      <c r="C1608" s="1">
        <f>IFERROR(__xludf.DUMMYFUNCTION("""COMPUTED_VALUE"""),11400.0)</f>
        <v>11400</v>
      </c>
      <c r="D1608" s="1">
        <f>IFERROR(__xludf.DUMMYFUNCTION("""COMPUTED_VALUE"""),10750.0)</f>
        <v>10750</v>
      </c>
      <c r="E1608" s="1">
        <f>IFERROR(__xludf.DUMMYFUNCTION("""COMPUTED_VALUE"""),10950.0)</f>
        <v>10950</v>
      </c>
      <c r="F1608" s="1">
        <f>IFERROR(__xludf.DUMMYFUNCTION("""COMPUTED_VALUE"""),78477.0)</f>
        <v>78477</v>
      </c>
    </row>
    <row r="1609">
      <c r="A1609" s="2">
        <f>IFERROR(__xludf.DUMMYFUNCTION("""COMPUTED_VALUE"""),43301.64583333333)</f>
        <v>43301.64583</v>
      </c>
      <c r="B1609" s="1">
        <f>IFERROR(__xludf.DUMMYFUNCTION("""COMPUTED_VALUE"""),10950.0)</f>
        <v>10950</v>
      </c>
      <c r="C1609" s="1">
        <f>IFERROR(__xludf.DUMMYFUNCTION("""COMPUTED_VALUE"""),11000.0)</f>
        <v>11000</v>
      </c>
      <c r="D1609" s="1">
        <f>IFERROR(__xludf.DUMMYFUNCTION("""COMPUTED_VALUE"""),10500.0)</f>
        <v>10500</v>
      </c>
      <c r="E1609" s="1">
        <f>IFERROR(__xludf.DUMMYFUNCTION("""COMPUTED_VALUE"""),11000.0)</f>
        <v>11000</v>
      </c>
      <c r="F1609" s="1">
        <f>IFERROR(__xludf.DUMMYFUNCTION("""COMPUTED_VALUE"""),91959.0)</f>
        <v>91959</v>
      </c>
    </row>
    <row r="1610">
      <c r="A1610" s="2">
        <f>IFERROR(__xludf.DUMMYFUNCTION("""COMPUTED_VALUE"""),43304.64583333333)</f>
        <v>43304.64583</v>
      </c>
      <c r="B1610" s="1">
        <f>IFERROR(__xludf.DUMMYFUNCTION("""COMPUTED_VALUE"""),10850.0)</f>
        <v>10850</v>
      </c>
      <c r="C1610" s="1">
        <f>IFERROR(__xludf.DUMMYFUNCTION("""COMPUTED_VALUE"""),11050.0)</f>
        <v>11050</v>
      </c>
      <c r="D1610" s="1">
        <f>IFERROR(__xludf.DUMMYFUNCTION("""COMPUTED_VALUE"""),10500.0)</f>
        <v>10500</v>
      </c>
      <c r="E1610" s="1">
        <f>IFERROR(__xludf.DUMMYFUNCTION("""COMPUTED_VALUE"""),10500.0)</f>
        <v>10500</v>
      </c>
      <c r="F1610" s="1">
        <f>IFERROR(__xludf.DUMMYFUNCTION("""COMPUTED_VALUE"""),43778.0)</f>
        <v>43778</v>
      </c>
    </row>
    <row r="1611">
      <c r="A1611" s="2">
        <f>IFERROR(__xludf.DUMMYFUNCTION("""COMPUTED_VALUE"""),43305.64583333333)</f>
        <v>43305.64583</v>
      </c>
      <c r="B1611" s="1">
        <f>IFERROR(__xludf.DUMMYFUNCTION("""COMPUTED_VALUE"""),10500.0)</f>
        <v>10500</v>
      </c>
      <c r="C1611" s="1">
        <f>IFERROR(__xludf.DUMMYFUNCTION("""COMPUTED_VALUE"""),11400.0)</f>
        <v>11400</v>
      </c>
      <c r="D1611" s="1">
        <f>IFERROR(__xludf.DUMMYFUNCTION("""COMPUTED_VALUE"""),10400.0)</f>
        <v>10400</v>
      </c>
      <c r="E1611" s="1">
        <f>IFERROR(__xludf.DUMMYFUNCTION("""COMPUTED_VALUE"""),11000.0)</f>
        <v>11000</v>
      </c>
      <c r="F1611" s="1">
        <f>IFERROR(__xludf.DUMMYFUNCTION("""COMPUTED_VALUE"""),83667.0)</f>
        <v>83667</v>
      </c>
    </row>
    <row r="1612">
      <c r="A1612" s="2">
        <f>IFERROR(__xludf.DUMMYFUNCTION("""COMPUTED_VALUE"""),43306.64583333333)</f>
        <v>43306.64583</v>
      </c>
      <c r="B1612" s="1">
        <f>IFERROR(__xludf.DUMMYFUNCTION("""COMPUTED_VALUE"""),10950.0)</f>
        <v>10950</v>
      </c>
      <c r="C1612" s="1">
        <f>IFERROR(__xludf.DUMMYFUNCTION("""COMPUTED_VALUE"""),11200.0)</f>
        <v>11200</v>
      </c>
      <c r="D1612" s="1">
        <f>IFERROR(__xludf.DUMMYFUNCTION("""COMPUTED_VALUE"""),10850.0)</f>
        <v>10850</v>
      </c>
      <c r="E1612" s="1">
        <f>IFERROR(__xludf.DUMMYFUNCTION("""COMPUTED_VALUE"""),10850.0)</f>
        <v>10850</v>
      </c>
      <c r="F1612" s="1">
        <f>IFERROR(__xludf.DUMMYFUNCTION("""COMPUTED_VALUE"""),30677.0)</f>
        <v>30677</v>
      </c>
    </row>
    <row r="1613">
      <c r="A1613" s="2">
        <f>IFERROR(__xludf.DUMMYFUNCTION("""COMPUTED_VALUE"""),43307.64583333333)</f>
        <v>43307.64583</v>
      </c>
      <c r="B1613" s="1">
        <f>IFERROR(__xludf.DUMMYFUNCTION("""COMPUTED_VALUE"""),11150.0)</f>
        <v>11150</v>
      </c>
      <c r="C1613" s="1">
        <f>IFERROR(__xludf.DUMMYFUNCTION("""COMPUTED_VALUE"""),11150.0)</f>
        <v>11150</v>
      </c>
      <c r="D1613" s="1">
        <f>IFERROR(__xludf.DUMMYFUNCTION("""COMPUTED_VALUE"""),10750.0)</f>
        <v>10750</v>
      </c>
      <c r="E1613" s="1">
        <f>IFERROR(__xludf.DUMMYFUNCTION("""COMPUTED_VALUE"""),10850.0)</f>
        <v>10850</v>
      </c>
      <c r="F1613" s="1">
        <f>IFERROR(__xludf.DUMMYFUNCTION("""COMPUTED_VALUE"""),25088.0)</f>
        <v>25088</v>
      </c>
    </row>
    <row r="1614">
      <c r="A1614" s="2">
        <f>IFERROR(__xludf.DUMMYFUNCTION("""COMPUTED_VALUE"""),43308.64583333333)</f>
        <v>43308.64583</v>
      </c>
      <c r="B1614" s="1">
        <f>IFERROR(__xludf.DUMMYFUNCTION("""COMPUTED_VALUE"""),10850.0)</f>
        <v>10850</v>
      </c>
      <c r="C1614" s="1">
        <f>IFERROR(__xludf.DUMMYFUNCTION("""COMPUTED_VALUE"""),11000.0)</f>
        <v>11000</v>
      </c>
      <c r="D1614" s="1">
        <f>IFERROR(__xludf.DUMMYFUNCTION("""COMPUTED_VALUE"""),10750.0)</f>
        <v>10750</v>
      </c>
      <c r="E1614" s="1">
        <f>IFERROR(__xludf.DUMMYFUNCTION("""COMPUTED_VALUE"""),10900.0)</f>
        <v>10900</v>
      </c>
      <c r="F1614" s="1">
        <f>IFERROR(__xludf.DUMMYFUNCTION("""COMPUTED_VALUE"""),26006.0)</f>
        <v>26006</v>
      </c>
    </row>
    <row r="1615">
      <c r="A1615" s="2">
        <f>IFERROR(__xludf.DUMMYFUNCTION("""COMPUTED_VALUE"""),43311.64583333333)</f>
        <v>43311.64583</v>
      </c>
      <c r="B1615" s="1">
        <f>IFERROR(__xludf.DUMMYFUNCTION("""COMPUTED_VALUE"""),10850.0)</f>
        <v>10850</v>
      </c>
      <c r="C1615" s="1">
        <f>IFERROR(__xludf.DUMMYFUNCTION("""COMPUTED_VALUE"""),11000.0)</f>
        <v>11000</v>
      </c>
      <c r="D1615" s="1">
        <f>IFERROR(__xludf.DUMMYFUNCTION("""COMPUTED_VALUE"""),10700.0)</f>
        <v>10700</v>
      </c>
      <c r="E1615" s="1">
        <f>IFERROR(__xludf.DUMMYFUNCTION("""COMPUTED_VALUE"""),10900.0)</f>
        <v>10900</v>
      </c>
      <c r="F1615" s="1">
        <f>IFERROR(__xludf.DUMMYFUNCTION("""COMPUTED_VALUE"""),38262.0)</f>
        <v>38262</v>
      </c>
    </row>
    <row r="1616">
      <c r="A1616" s="2">
        <f>IFERROR(__xludf.DUMMYFUNCTION("""COMPUTED_VALUE"""),43312.64583333333)</f>
        <v>43312.64583</v>
      </c>
      <c r="B1616" s="1">
        <f>IFERROR(__xludf.DUMMYFUNCTION("""COMPUTED_VALUE"""),10900.0)</f>
        <v>10900</v>
      </c>
      <c r="C1616" s="1">
        <f>IFERROR(__xludf.DUMMYFUNCTION("""COMPUTED_VALUE"""),11200.0)</f>
        <v>11200</v>
      </c>
      <c r="D1616" s="1">
        <f>IFERROR(__xludf.DUMMYFUNCTION("""COMPUTED_VALUE"""),10750.0)</f>
        <v>10750</v>
      </c>
      <c r="E1616" s="1">
        <f>IFERROR(__xludf.DUMMYFUNCTION("""COMPUTED_VALUE"""),11000.0)</f>
        <v>11000</v>
      </c>
      <c r="F1616" s="1">
        <f>IFERROR(__xludf.DUMMYFUNCTION("""COMPUTED_VALUE"""),49201.0)</f>
        <v>49201</v>
      </c>
    </row>
    <row r="1617">
      <c r="A1617" s="2">
        <f>IFERROR(__xludf.DUMMYFUNCTION("""COMPUTED_VALUE"""),43313.64583333333)</f>
        <v>43313.64583</v>
      </c>
      <c r="B1617" s="1">
        <f>IFERROR(__xludf.DUMMYFUNCTION("""COMPUTED_VALUE"""),10950.0)</f>
        <v>10950</v>
      </c>
      <c r="C1617" s="1">
        <f>IFERROR(__xludf.DUMMYFUNCTION("""COMPUTED_VALUE"""),11100.0)</f>
        <v>11100</v>
      </c>
      <c r="D1617" s="1">
        <f>IFERROR(__xludf.DUMMYFUNCTION("""COMPUTED_VALUE"""),10850.0)</f>
        <v>10850</v>
      </c>
      <c r="E1617" s="1">
        <f>IFERROR(__xludf.DUMMYFUNCTION("""COMPUTED_VALUE"""),11050.0)</f>
        <v>11050</v>
      </c>
      <c r="F1617" s="1">
        <f>IFERROR(__xludf.DUMMYFUNCTION("""COMPUTED_VALUE"""),26127.0)</f>
        <v>26127</v>
      </c>
    </row>
    <row r="1618">
      <c r="A1618" s="2">
        <f>IFERROR(__xludf.DUMMYFUNCTION("""COMPUTED_VALUE"""),43314.64583333333)</f>
        <v>43314.64583</v>
      </c>
      <c r="B1618" s="1">
        <f>IFERROR(__xludf.DUMMYFUNCTION("""COMPUTED_VALUE"""),11100.0)</f>
        <v>11100</v>
      </c>
      <c r="C1618" s="1">
        <f>IFERROR(__xludf.DUMMYFUNCTION("""COMPUTED_VALUE"""),11100.0)</f>
        <v>11100</v>
      </c>
      <c r="D1618" s="1">
        <f>IFERROR(__xludf.DUMMYFUNCTION("""COMPUTED_VALUE"""),10750.0)</f>
        <v>10750</v>
      </c>
      <c r="E1618" s="1">
        <f>IFERROR(__xludf.DUMMYFUNCTION("""COMPUTED_VALUE"""),10750.0)</f>
        <v>10750</v>
      </c>
      <c r="F1618" s="1">
        <f>IFERROR(__xludf.DUMMYFUNCTION("""COMPUTED_VALUE"""),28910.0)</f>
        <v>28910</v>
      </c>
    </row>
    <row r="1619">
      <c r="A1619" s="2">
        <f>IFERROR(__xludf.DUMMYFUNCTION("""COMPUTED_VALUE"""),43315.64583333333)</f>
        <v>43315.64583</v>
      </c>
      <c r="B1619" s="1">
        <f>IFERROR(__xludf.DUMMYFUNCTION("""COMPUTED_VALUE"""),10700.0)</f>
        <v>10700</v>
      </c>
      <c r="C1619" s="1">
        <f>IFERROR(__xludf.DUMMYFUNCTION("""COMPUTED_VALUE"""),11250.0)</f>
        <v>11250</v>
      </c>
      <c r="D1619" s="1">
        <f>IFERROR(__xludf.DUMMYFUNCTION("""COMPUTED_VALUE"""),10700.0)</f>
        <v>10700</v>
      </c>
      <c r="E1619" s="1">
        <f>IFERROR(__xludf.DUMMYFUNCTION("""COMPUTED_VALUE"""),11100.0)</f>
        <v>11100</v>
      </c>
      <c r="F1619" s="1">
        <f>IFERROR(__xludf.DUMMYFUNCTION("""COMPUTED_VALUE"""),69593.0)</f>
        <v>69593</v>
      </c>
    </row>
    <row r="1620">
      <c r="A1620" s="2">
        <f>IFERROR(__xludf.DUMMYFUNCTION("""COMPUTED_VALUE"""),43318.64583333333)</f>
        <v>43318.64583</v>
      </c>
      <c r="B1620" s="1">
        <f>IFERROR(__xludf.DUMMYFUNCTION("""COMPUTED_VALUE"""),11300.0)</f>
        <v>11300</v>
      </c>
      <c r="C1620" s="1">
        <f>IFERROR(__xludf.DUMMYFUNCTION("""COMPUTED_VALUE"""),11400.0)</f>
        <v>11400</v>
      </c>
      <c r="D1620" s="1">
        <f>IFERROR(__xludf.DUMMYFUNCTION("""COMPUTED_VALUE"""),11050.0)</f>
        <v>11050</v>
      </c>
      <c r="E1620" s="1">
        <f>IFERROR(__xludf.DUMMYFUNCTION("""COMPUTED_VALUE"""),11200.0)</f>
        <v>11200</v>
      </c>
      <c r="F1620" s="1">
        <f>IFERROR(__xludf.DUMMYFUNCTION("""COMPUTED_VALUE"""),37634.0)</f>
        <v>37634</v>
      </c>
    </row>
    <row r="1621">
      <c r="A1621" s="2">
        <f>IFERROR(__xludf.DUMMYFUNCTION("""COMPUTED_VALUE"""),43319.64583333333)</f>
        <v>43319.64583</v>
      </c>
      <c r="B1621" s="1">
        <f>IFERROR(__xludf.DUMMYFUNCTION("""COMPUTED_VALUE"""),11200.0)</f>
        <v>11200</v>
      </c>
      <c r="C1621" s="1">
        <f>IFERROR(__xludf.DUMMYFUNCTION("""COMPUTED_VALUE"""),11250.0)</f>
        <v>11250</v>
      </c>
      <c r="D1621" s="1">
        <f>IFERROR(__xludf.DUMMYFUNCTION("""COMPUTED_VALUE"""),11000.0)</f>
        <v>11000</v>
      </c>
      <c r="E1621" s="1">
        <f>IFERROR(__xludf.DUMMYFUNCTION("""COMPUTED_VALUE"""),11100.0)</f>
        <v>11100</v>
      </c>
      <c r="F1621" s="1">
        <f>IFERROR(__xludf.DUMMYFUNCTION("""COMPUTED_VALUE"""),20061.0)</f>
        <v>20061</v>
      </c>
    </row>
    <row r="1622">
      <c r="A1622" s="2">
        <f>IFERROR(__xludf.DUMMYFUNCTION("""COMPUTED_VALUE"""),43320.64583333333)</f>
        <v>43320.64583</v>
      </c>
      <c r="B1622" s="1">
        <f>IFERROR(__xludf.DUMMYFUNCTION("""COMPUTED_VALUE"""),11000.0)</f>
        <v>11000</v>
      </c>
      <c r="C1622" s="1">
        <f>IFERROR(__xludf.DUMMYFUNCTION("""COMPUTED_VALUE"""),11150.0)</f>
        <v>11150</v>
      </c>
      <c r="D1622" s="1">
        <f>IFERROR(__xludf.DUMMYFUNCTION("""COMPUTED_VALUE"""),10700.0)</f>
        <v>10700</v>
      </c>
      <c r="E1622" s="1">
        <f>IFERROR(__xludf.DUMMYFUNCTION("""COMPUTED_VALUE"""),10800.0)</f>
        <v>10800</v>
      </c>
      <c r="F1622" s="1">
        <f>IFERROR(__xludf.DUMMYFUNCTION("""COMPUTED_VALUE"""),36355.0)</f>
        <v>36355</v>
      </c>
    </row>
    <row r="1623">
      <c r="A1623" s="2">
        <f>IFERROR(__xludf.DUMMYFUNCTION("""COMPUTED_VALUE"""),43321.64583333333)</f>
        <v>43321.64583</v>
      </c>
      <c r="B1623" s="1">
        <f>IFERROR(__xludf.DUMMYFUNCTION("""COMPUTED_VALUE"""),10750.0)</f>
        <v>10750</v>
      </c>
      <c r="C1623" s="1">
        <f>IFERROR(__xludf.DUMMYFUNCTION("""COMPUTED_VALUE"""),10950.0)</f>
        <v>10950</v>
      </c>
      <c r="D1623" s="1">
        <f>IFERROR(__xludf.DUMMYFUNCTION("""COMPUTED_VALUE"""),10650.0)</f>
        <v>10650</v>
      </c>
      <c r="E1623" s="1">
        <f>IFERROR(__xludf.DUMMYFUNCTION("""COMPUTED_VALUE"""),10950.0)</f>
        <v>10950</v>
      </c>
      <c r="F1623" s="1">
        <f>IFERROR(__xludf.DUMMYFUNCTION("""COMPUTED_VALUE"""),28270.0)</f>
        <v>28270</v>
      </c>
    </row>
    <row r="1624">
      <c r="A1624" s="2">
        <f>IFERROR(__xludf.DUMMYFUNCTION("""COMPUTED_VALUE"""),43322.64583333333)</f>
        <v>43322.64583</v>
      </c>
      <c r="B1624" s="1">
        <f>IFERROR(__xludf.DUMMYFUNCTION("""COMPUTED_VALUE"""),10950.0)</f>
        <v>10950</v>
      </c>
      <c r="C1624" s="1">
        <f>IFERROR(__xludf.DUMMYFUNCTION("""COMPUTED_VALUE"""),11000.0)</f>
        <v>11000</v>
      </c>
      <c r="D1624" s="1">
        <f>IFERROR(__xludf.DUMMYFUNCTION("""COMPUTED_VALUE"""),10700.0)</f>
        <v>10700</v>
      </c>
      <c r="E1624" s="1">
        <f>IFERROR(__xludf.DUMMYFUNCTION("""COMPUTED_VALUE"""),10850.0)</f>
        <v>10850</v>
      </c>
      <c r="F1624" s="1">
        <f>IFERROR(__xludf.DUMMYFUNCTION("""COMPUTED_VALUE"""),21338.0)</f>
        <v>21338</v>
      </c>
    </row>
    <row r="1625">
      <c r="A1625" s="2">
        <f>IFERROR(__xludf.DUMMYFUNCTION("""COMPUTED_VALUE"""),43325.64583333333)</f>
        <v>43325.64583</v>
      </c>
      <c r="B1625" s="1">
        <f>IFERROR(__xludf.DUMMYFUNCTION("""COMPUTED_VALUE"""),10850.0)</f>
        <v>10850</v>
      </c>
      <c r="C1625" s="1">
        <f>IFERROR(__xludf.DUMMYFUNCTION("""COMPUTED_VALUE"""),10850.0)</f>
        <v>10850</v>
      </c>
      <c r="D1625" s="1">
        <f>IFERROR(__xludf.DUMMYFUNCTION("""COMPUTED_VALUE"""),10600.0)</f>
        <v>10600</v>
      </c>
      <c r="E1625" s="1">
        <f>IFERROR(__xludf.DUMMYFUNCTION("""COMPUTED_VALUE"""),10750.0)</f>
        <v>10750</v>
      </c>
      <c r="F1625" s="1">
        <f>IFERROR(__xludf.DUMMYFUNCTION("""COMPUTED_VALUE"""),20533.0)</f>
        <v>20533</v>
      </c>
    </row>
    <row r="1626">
      <c r="A1626" s="2">
        <f>IFERROR(__xludf.DUMMYFUNCTION("""COMPUTED_VALUE"""),43326.64583333333)</f>
        <v>43326.64583</v>
      </c>
      <c r="B1626" s="1">
        <f>IFERROR(__xludf.DUMMYFUNCTION("""COMPUTED_VALUE"""),10700.0)</f>
        <v>10700</v>
      </c>
      <c r="C1626" s="1">
        <f>IFERROR(__xludf.DUMMYFUNCTION("""COMPUTED_VALUE"""),10850.0)</f>
        <v>10850</v>
      </c>
      <c r="D1626" s="1">
        <f>IFERROR(__xludf.DUMMYFUNCTION("""COMPUTED_VALUE"""),10650.0)</f>
        <v>10650</v>
      </c>
      <c r="E1626" s="1">
        <f>IFERROR(__xludf.DUMMYFUNCTION("""COMPUTED_VALUE"""),10700.0)</f>
        <v>10700</v>
      </c>
      <c r="F1626" s="1">
        <f>IFERROR(__xludf.DUMMYFUNCTION("""COMPUTED_VALUE"""),8812.0)</f>
        <v>8812</v>
      </c>
    </row>
    <row r="1627">
      <c r="A1627" s="2">
        <f>IFERROR(__xludf.DUMMYFUNCTION("""COMPUTED_VALUE"""),43328.64583333333)</f>
        <v>43328.64583</v>
      </c>
      <c r="B1627" s="1">
        <f>IFERROR(__xludf.DUMMYFUNCTION("""COMPUTED_VALUE"""),10200.0)</f>
        <v>10200</v>
      </c>
      <c r="C1627" s="1">
        <f>IFERROR(__xludf.DUMMYFUNCTION("""COMPUTED_VALUE"""),10400.0)</f>
        <v>10400</v>
      </c>
      <c r="D1627" s="1">
        <f>IFERROR(__xludf.DUMMYFUNCTION("""COMPUTED_VALUE"""),9650.0)</f>
        <v>9650</v>
      </c>
      <c r="E1627" s="1">
        <f>IFERROR(__xludf.DUMMYFUNCTION("""COMPUTED_VALUE"""),9660.0)</f>
        <v>9660</v>
      </c>
      <c r="F1627" s="1">
        <f>IFERROR(__xludf.DUMMYFUNCTION("""COMPUTED_VALUE"""),219642.0)</f>
        <v>219642</v>
      </c>
    </row>
    <row r="1628">
      <c r="A1628" s="2">
        <f>IFERROR(__xludf.DUMMYFUNCTION("""COMPUTED_VALUE"""),43329.64583333333)</f>
        <v>43329.64583</v>
      </c>
      <c r="B1628" s="1">
        <f>IFERROR(__xludf.DUMMYFUNCTION("""COMPUTED_VALUE"""),9720.0)</f>
        <v>9720</v>
      </c>
      <c r="C1628" s="1">
        <f>IFERROR(__xludf.DUMMYFUNCTION("""COMPUTED_VALUE"""),9970.0)</f>
        <v>9970</v>
      </c>
      <c r="D1628" s="1">
        <f>IFERROR(__xludf.DUMMYFUNCTION("""COMPUTED_VALUE"""),9380.0)</f>
        <v>9380</v>
      </c>
      <c r="E1628" s="1">
        <f>IFERROR(__xludf.DUMMYFUNCTION("""COMPUTED_VALUE"""),9590.0)</f>
        <v>9590</v>
      </c>
      <c r="F1628" s="1">
        <f>IFERROR(__xludf.DUMMYFUNCTION("""COMPUTED_VALUE"""),130924.0)</f>
        <v>130924</v>
      </c>
    </row>
    <row r="1629">
      <c r="A1629" s="2">
        <f>IFERROR(__xludf.DUMMYFUNCTION("""COMPUTED_VALUE"""),43332.64583333333)</f>
        <v>43332.64583</v>
      </c>
      <c r="B1629" s="1">
        <f>IFERROR(__xludf.DUMMYFUNCTION("""COMPUTED_VALUE"""),9590.0)</f>
        <v>9590</v>
      </c>
      <c r="C1629" s="1">
        <f>IFERROR(__xludf.DUMMYFUNCTION("""COMPUTED_VALUE"""),9650.0)</f>
        <v>9650</v>
      </c>
      <c r="D1629" s="1">
        <f>IFERROR(__xludf.DUMMYFUNCTION("""COMPUTED_VALUE"""),9400.0)</f>
        <v>9400</v>
      </c>
      <c r="E1629" s="1">
        <f>IFERROR(__xludf.DUMMYFUNCTION("""COMPUTED_VALUE"""),9530.0)</f>
        <v>9530</v>
      </c>
      <c r="F1629" s="1">
        <f>IFERROR(__xludf.DUMMYFUNCTION("""COMPUTED_VALUE"""),25563.0)</f>
        <v>25563</v>
      </c>
    </row>
    <row r="1630">
      <c r="A1630" s="2">
        <f>IFERROR(__xludf.DUMMYFUNCTION("""COMPUTED_VALUE"""),43333.64583333333)</f>
        <v>43333.64583</v>
      </c>
      <c r="B1630" s="1">
        <f>IFERROR(__xludf.DUMMYFUNCTION("""COMPUTED_VALUE"""),9530.0)</f>
        <v>9530</v>
      </c>
      <c r="C1630" s="1">
        <f>IFERROR(__xludf.DUMMYFUNCTION("""COMPUTED_VALUE"""),9550.0)</f>
        <v>9550</v>
      </c>
      <c r="D1630" s="1">
        <f>IFERROR(__xludf.DUMMYFUNCTION("""COMPUTED_VALUE"""),9410.0)</f>
        <v>9410</v>
      </c>
      <c r="E1630" s="1">
        <f>IFERROR(__xludf.DUMMYFUNCTION("""COMPUTED_VALUE"""),9540.0)</f>
        <v>9540</v>
      </c>
      <c r="F1630" s="1">
        <f>IFERROR(__xludf.DUMMYFUNCTION("""COMPUTED_VALUE"""),27710.0)</f>
        <v>27710</v>
      </c>
    </row>
    <row r="1631">
      <c r="A1631" s="2">
        <f>IFERROR(__xludf.DUMMYFUNCTION("""COMPUTED_VALUE"""),43334.64583333333)</f>
        <v>43334.64583</v>
      </c>
      <c r="B1631" s="1">
        <f>IFERROR(__xludf.DUMMYFUNCTION("""COMPUTED_VALUE"""),9570.0)</f>
        <v>9570</v>
      </c>
      <c r="C1631" s="1">
        <f>IFERROR(__xludf.DUMMYFUNCTION("""COMPUTED_VALUE"""),9600.0)</f>
        <v>9600</v>
      </c>
      <c r="D1631" s="1">
        <f>IFERROR(__xludf.DUMMYFUNCTION("""COMPUTED_VALUE"""),9490.0)</f>
        <v>9490</v>
      </c>
      <c r="E1631" s="1">
        <f>IFERROR(__xludf.DUMMYFUNCTION("""COMPUTED_VALUE"""),9580.0)</f>
        <v>9580</v>
      </c>
      <c r="F1631" s="1">
        <f>IFERROR(__xludf.DUMMYFUNCTION("""COMPUTED_VALUE"""),21991.0)</f>
        <v>21991</v>
      </c>
    </row>
    <row r="1632">
      <c r="A1632" s="2">
        <f>IFERROR(__xludf.DUMMYFUNCTION("""COMPUTED_VALUE"""),43335.64583333333)</f>
        <v>43335.64583</v>
      </c>
      <c r="B1632" s="1">
        <f>IFERROR(__xludf.DUMMYFUNCTION("""COMPUTED_VALUE"""),9580.0)</f>
        <v>9580</v>
      </c>
      <c r="C1632" s="1">
        <f>IFERROR(__xludf.DUMMYFUNCTION("""COMPUTED_VALUE"""),9720.0)</f>
        <v>9720</v>
      </c>
      <c r="D1632" s="1">
        <f>IFERROR(__xludf.DUMMYFUNCTION("""COMPUTED_VALUE"""),9580.0)</f>
        <v>9580</v>
      </c>
      <c r="E1632" s="1">
        <f>IFERROR(__xludf.DUMMYFUNCTION("""COMPUTED_VALUE"""),9700.0)</f>
        <v>9700</v>
      </c>
      <c r="F1632" s="1">
        <f>IFERROR(__xludf.DUMMYFUNCTION("""COMPUTED_VALUE"""),17299.0)</f>
        <v>17299</v>
      </c>
    </row>
    <row r="1633">
      <c r="A1633" s="2">
        <f>IFERROR(__xludf.DUMMYFUNCTION("""COMPUTED_VALUE"""),43336.64583333333)</f>
        <v>43336.64583</v>
      </c>
      <c r="B1633" s="1">
        <f>IFERROR(__xludf.DUMMYFUNCTION("""COMPUTED_VALUE"""),9730.0)</f>
        <v>9730</v>
      </c>
      <c r="C1633" s="1">
        <f>IFERROR(__xludf.DUMMYFUNCTION("""COMPUTED_VALUE"""),9730.0)</f>
        <v>9730</v>
      </c>
      <c r="D1633" s="1">
        <f>IFERROR(__xludf.DUMMYFUNCTION("""COMPUTED_VALUE"""),9590.0)</f>
        <v>9590</v>
      </c>
      <c r="E1633" s="1">
        <f>IFERROR(__xludf.DUMMYFUNCTION("""COMPUTED_VALUE"""),9700.0)</f>
        <v>9700</v>
      </c>
      <c r="F1633" s="1">
        <f>IFERROR(__xludf.DUMMYFUNCTION("""COMPUTED_VALUE"""),16987.0)</f>
        <v>16987</v>
      </c>
    </row>
    <row r="1634">
      <c r="A1634" s="2">
        <f>IFERROR(__xludf.DUMMYFUNCTION("""COMPUTED_VALUE"""),43339.64583333333)</f>
        <v>43339.64583</v>
      </c>
      <c r="B1634" s="1">
        <f>IFERROR(__xludf.DUMMYFUNCTION("""COMPUTED_VALUE"""),9670.0)</f>
        <v>9670</v>
      </c>
      <c r="C1634" s="1">
        <f>IFERROR(__xludf.DUMMYFUNCTION("""COMPUTED_VALUE"""),9860.0)</f>
        <v>9860</v>
      </c>
      <c r="D1634" s="1">
        <f>IFERROR(__xludf.DUMMYFUNCTION("""COMPUTED_VALUE"""),9610.0)</f>
        <v>9610</v>
      </c>
      <c r="E1634" s="1">
        <f>IFERROR(__xludf.DUMMYFUNCTION("""COMPUTED_VALUE"""),9860.0)</f>
        <v>9860</v>
      </c>
      <c r="F1634" s="1">
        <f>IFERROR(__xludf.DUMMYFUNCTION("""COMPUTED_VALUE"""),20556.0)</f>
        <v>20556</v>
      </c>
    </row>
    <row r="1635">
      <c r="A1635" s="2">
        <f>IFERROR(__xludf.DUMMYFUNCTION("""COMPUTED_VALUE"""),43340.64583333333)</f>
        <v>43340.64583</v>
      </c>
      <c r="B1635" s="1">
        <f>IFERROR(__xludf.DUMMYFUNCTION("""COMPUTED_VALUE"""),9870.0)</f>
        <v>9870</v>
      </c>
      <c r="C1635" s="1">
        <f>IFERROR(__xludf.DUMMYFUNCTION("""COMPUTED_VALUE"""),10200.0)</f>
        <v>10200</v>
      </c>
      <c r="D1635" s="1">
        <f>IFERROR(__xludf.DUMMYFUNCTION("""COMPUTED_VALUE"""),9840.0)</f>
        <v>9840</v>
      </c>
      <c r="E1635" s="1">
        <f>IFERROR(__xludf.DUMMYFUNCTION("""COMPUTED_VALUE"""),10200.0)</f>
        <v>10200</v>
      </c>
      <c r="F1635" s="1">
        <f>IFERROR(__xludf.DUMMYFUNCTION("""COMPUTED_VALUE"""),50640.0)</f>
        <v>50640</v>
      </c>
    </row>
    <row r="1636">
      <c r="A1636" s="2">
        <f>IFERROR(__xludf.DUMMYFUNCTION("""COMPUTED_VALUE"""),43341.64583333333)</f>
        <v>43341.64583</v>
      </c>
      <c r="B1636" s="1">
        <f>IFERROR(__xludf.DUMMYFUNCTION("""COMPUTED_VALUE"""),10200.0)</f>
        <v>10200</v>
      </c>
      <c r="C1636" s="1">
        <f>IFERROR(__xludf.DUMMYFUNCTION("""COMPUTED_VALUE"""),10300.0)</f>
        <v>10300</v>
      </c>
      <c r="D1636" s="1">
        <f>IFERROR(__xludf.DUMMYFUNCTION("""COMPUTED_VALUE"""),10100.0)</f>
        <v>10100</v>
      </c>
      <c r="E1636" s="1">
        <f>IFERROR(__xludf.DUMMYFUNCTION("""COMPUTED_VALUE"""),10200.0)</f>
        <v>10200</v>
      </c>
      <c r="F1636" s="1">
        <f>IFERROR(__xludf.DUMMYFUNCTION("""COMPUTED_VALUE"""),29695.0)</f>
        <v>29695</v>
      </c>
    </row>
    <row r="1637">
      <c r="A1637" s="2">
        <f>IFERROR(__xludf.DUMMYFUNCTION("""COMPUTED_VALUE"""),43342.64583333333)</f>
        <v>43342.64583</v>
      </c>
      <c r="B1637" s="1">
        <f>IFERROR(__xludf.DUMMYFUNCTION("""COMPUTED_VALUE"""),10150.0)</f>
        <v>10150</v>
      </c>
      <c r="C1637" s="1">
        <f>IFERROR(__xludf.DUMMYFUNCTION("""COMPUTED_VALUE"""),10400.0)</f>
        <v>10400</v>
      </c>
      <c r="D1637" s="1">
        <f>IFERROR(__xludf.DUMMYFUNCTION("""COMPUTED_VALUE"""),10150.0)</f>
        <v>10150</v>
      </c>
      <c r="E1637" s="1">
        <f>IFERROR(__xludf.DUMMYFUNCTION("""COMPUTED_VALUE"""),10350.0)</f>
        <v>10350</v>
      </c>
      <c r="F1637" s="1">
        <f>IFERROR(__xludf.DUMMYFUNCTION("""COMPUTED_VALUE"""),35958.0)</f>
        <v>35958</v>
      </c>
    </row>
    <row r="1638">
      <c r="A1638" s="2">
        <f>IFERROR(__xludf.DUMMYFUNCTION("""COMPUTED_VALUE"""),43343.64583333333)</f>
        <v>43343.64583</v>
      </c>
      <c r="B1638" s="1">
        <f>IFERROR(__xludf.DUMMYFUNCTION("""COMPUTED_VALUE"""),10250.0)</f>
        <v>10250</v>
      </c>
      <c r="C1638" s="1">
        <f>IFERROR(__xludf.DUMMYFUNCTION("""COMPUTED_VALUE"""),10500.0)</f>
        <v>10500</v>
      </c>
      <c r="D1638" s="1">
        <f>IFERROR(__xludf.DUMMYFUNCTION("""COMPUTED_VALUE"""),10200.0)</f>
        <v>10200</v>
      </c>
      <c r="E1638" s="1">
        <f>IFERROR(__xludf.DUMMYFUNCTION("""COMPUTED_VALUE"""),10450.0)</f>
        <v>10450</v>
      </c>
      <c r="F1638" s="1">
        <f>IFERROR(__xludf.DUMMYFUNCTION("""COMPUTED_VALUE"""),52485.0)</f>
        <v>52485</v>
      </c>
    </row>
    <row r="1639">
      <c r="A1639" s="2">
        <f>IFERROR(__xludf.DUMMYFUNCTION("""COMPUTED_VALUE"""),43346.64583333333)</f>
        <v>43346.64583</v>
      </c>
      <c r="B1639" s="1">
        <f>IFERROR(__xludf.DUMMYFUNCTION("""COMPUTED_VALUE"""),10550.0)</f>
        <v>10550</v>
      </c>
      <c r="C1639" s="1">
        <f>IFERROR(__xludf.DUMMYFUNCTION("""COMPUTED_VALUE"""),11000.0)</f>
        <v>11000</v>
      </c>
      <c r="D1639" s="1">
        <f>IFERROR(__xludf.DUMMYFUNCTION("""COMPUTED_VALUE"""),10500.0)</f>
        <v>10500</v>
      </c>
      <c r="E1639" s="1">
        <f>IFERROR(__xludf.DUMMYFUNCTION("""COMPUTED_VALUE"""),10800.0)</f>
        <v>10800</v>
      </c>
      <c r="F1639" s="1">
        <f>IFERROR(__xludf.DUMMYFUNCTION("""COMPUTED_VALUE"""),123934.0)</f>
        <v>123934</v>
      </c>
    </row>
    <row r="1640">
      <c r="A1640" s="2">
        <f>IFERROR(__xludf.DUMMYFUNCTION("""COMPUTED_VALUE"""),43347.64583333333)</f>
        <v>43347.64583</v>
      </c>
      <c r="B1640" s="1">
        <f>IFERROR(__xludf.DUMMYFUNCTION("""COMPUTED_VALUE"""),10750.0)</f>
        <v>10750</v>
      </c>
      <c r="C1640" s="1">
        <f>IFERROR(__xludf.DUMMYFUNCTION("""COMPUTED_VALUE"""),14000.0)</f>
        <v>14000</v>
      </c>
      <c r="D1640" s="1">
        <f>IFERROR(__xludf.DUMMYFUNCTION("""COMPUTED_VALUE"""),10750.0)</f>
        <v>10750</v>
      </c>
      <c r="E1640" s="1">
        <f>IFERROR(__xludf.DUMMYFUNCTION("""COMPUTED_VALUE"""),13250.0)</f>
        <v>13250</v>
      </c>
      <c r="F1640" s="1">
        <f>IFERROR(__xludf.DUMMYFUNCTION("""COMPUTED_VALUE"""),1922252.0)</f>
        <v>1922252</v>
      </c>
    </row>
    <row r="1641">
      <c r="A1641" s="2">
        <f>IFERROR(__xludf.DUMMYFUNCTION("""COMPUTED_VALUE"""),43348.64583333333)</f>
        <v>43348.64583</v>
      </c>
      <c r="B1641" s="1">
        <f>IFERROR(__xludf.DUMMYFUNCTION("""COMPUTED_VALUE"""),13250.0)</f>
        <v>13250</v>
      </c>
      <c r="C1641" s="1">
        <f>IFERROR(__xludf.DUMMYFUNCTION("""COMPUTED_VALUE"""),17050.0)</f>
        <v>17050</v>
      </c>
      <c r="D1641" s="1">
        <f>IFERROR(__xludf.DUMMYFUNCTION("""COMPUTED_VALUE"""),13200.0)</f>
        <v>13200</v>
      </c>
      <c r="E1641" s="1">
        <f>IFERROR(__xludf.DUMMYFUNCTION("""COMPUTED_VALUE"""),16300.0)</f>
        <v>16300</v>
      </c>
      <c r="F1641" s="1">
        <f>IFERROR(__xludf.DUMMYFUNCTION("""COMPUTED_VALUE"""),3248385.0)</f>
        <v>3248385</v>
      </c>
    </row>
    <row r="1642">
      <c r="A1642" s="2">
        <f>IFERROR(__xludf.DUMMYFUNCTION("""COMPUTED_VALUE"""),43349.64583333333)</f>
        <v>43349.64583</v>
      </c>
      <c r="B1642" s="1">
        <f>IFERROR(__xludf.DUMMYFUNCTION("""COMPUTED_VALUE"""),17000.0)</f>
        <v>17000</v>
      </c>
      <c r="C1642" s="1">
        <f>IFERROR(__xludf.DUMMYFUNCTION("""COMPUTED_VALUE"""),19800.0)</f>
        <v>19800</v>
      </c>
      <c r="D1642" s="1">
        <f>IFERROR(__xludf.DUMMYFUNCTION("""COMPUTED_VALUE"""),16800.0)</f>
        <v>16800</v>
      </c>
      <c r="E1642" s="1">
        <f>IFERROR(__xludf.DUMMYFUNCTION("""COMPUTED_VALUE"""),18450.0)</f>
        <v>18450</v>
      </c>
      <c r="F1642" s="1">
        <f>IFERROR(__xludf.DUMMYFUNCTION("""COMPUTED_VALUE"""),3577563.0)</f>
        <v>3577563</v>
      </c>
    </row>
    <row r="1643">
      <c r="A1643" s="2">
        <f>IFERROR(__xludf.DUMMYFUNCTION("""COMPUTED_VALUE"""),43350.64583333333)</f>
        <v>43350.64583</v>
      </c>
      <c r="B1643" s="1">
        <f>IFERROR(__xludf.DUMMYFUNCTION("""COMPUTED_VALUE"""),18800.0)</f>
        <v>18800</v>
      </c>
      <c r="C1643" s="1">
        <f>IFERROR(__xludf.DUMMYFUNCTION("""COMPUTED_VALUE"""),18850.0)</f>
        <v>18850</v>
      </c>
      <c r="D1643" s="1">
        <f>IFERROR(__xludf.DUMMYFUNCTION("""COMPUTED_VALUE"""),17000.0)</f>
        <v>17000</v>
      </c>
      <c r="E1643" s="1">
        <f>IFERROR(__xludf.DUMMYFUNCTION("""COMPUTED_VALUE"""),18500.0)</f>
        <v>18500</v>
      </c>
      <c r="F1643" s="1">
        <f>IFERROR(__xludf.DUMMYFUNCTION("""COMPUTED_VALUE"""),1240741.0)</f>
        <v>1240741</v>
      </c>
    </row>
    <row r="1644">
      <c r="A1644" s="2">
        <f>IFERROR(__xludf.DUMMYFUNCTION("""COMPUTED_VALUE"""),43353.64583333333)</f>
        <v>43353.64583</v>
      </c>
      <c r="B1644" s="1">
        <f>IFERROR(__xludf.DUMMYFUNCTION("""COMPUTED_VALUE"""),18000.0)</f>
        <v>18000</v>
      </c>
      <c r="C1644" s="1">
        <f>IFERROR(__xludf.DUMMYFUNCTION("""COMPUTED_VALUE"""),18350.0)</f>
        <v>18350</v>
      </c>
      <c r="D1644" s="1">
        <f>IFERROR(__xludf.DUMMYFUNCTION("""COMPUTED_VALUE"""),17900.0)</f>
        <v>17900</v>
      </c>
      <c r="E1644" s="1">
        <f>IFERROR(__xludf.DUMMYFUNCTION("""COMPUTED_VALUE"""),18000.0)</f>
        <v>18000</v>
      </c>
      <c r="F1644" s="1">
        <f>IFERROR(__xludf.DUMMYFUNCTION("""COMPUTED_VALUE"""),284897.0)</f>
        <v>284897</v>
      </c>
    </row>
    <row r="1645">
      <c r="A1645" s="2">
        <f>IFERROR(__xludf.DUMMYFUNCTION("""COMPUTED_VALUE"""),43354.64583333333)</f>
        <v>43354.64583</v>
      </c>
      <c r="B1645" s="1">
        <f>IFERROR(__xludf.DUMMYFUNCTION("""COMPUTED_VALUE"""),17850.0)</f>
        <v>17850</v>
      </c>
      <c r="C1645" s="1">
        <f>IFERROR(__xludf.DUMMYFUNCTION("""COMPUTED_VALUE"""),18300.0)</f>
        <v>18300</v>
      </c>
      <c r="D1645" s="1">
        <f>IFERROR(__xludf.DUMMYFUNCTION("""COMPUTED_VALUE"""),17150.0)</f>
        <v>17150</v>
      </c>
      <c r="E1645" s="1">
        <f>IFERROR(__xludf.DUMMYFUNCTION("""COMPUTED_VALUE"""),18000.0)</f>
        <v>18000</v>
      </c>
      <c r="F1645" s="1">
        <f>IFERROR(__xludf.DUMMYFUNCTION("""COMPUTED_VALUE"""),293461.0)</f>
        <v>293461</v>
      </c>
    </row>
    <row r="1646">
      <c r="A1646" s="2">
        <f>IFERROR(__xludf.DUMMYFUNCTION("""COMPUTED_VALUE"""),43355.64583333333)</f>
        <v>43355.64583</v>
      </c>
      <c r="B1646" s="1">
        <f>IFERROR(__xludf.DUMMYFUNCTION("""COMPUTED_VALUE"""),18200.0)</f>
        <v>18200</v>
      </c>
      <c r="C1646" s="1">
        <f>IFERROR(__xludf.DUMMYFUNCTION("""COMPUTED_VALUE"""),18450.0)</f>
        <v>18450</v>
      </c>
      <c r="D1646" s="1">
        <f>IFERROR(__xludf.DUMMYFUNCTION("""COMPUTED_VALUE"""),17650.0)</f>
        <v>17650</v>
      </c>
      <c r="E1646" s="1">
        <f>IFERROR(__xludf.DUMMYFUNCTION("""COMPUTED_VALUE"""),18000.0)</f>
        <v>18000</v>
      </c>
      <c r="F1646" s="1">
        <f>IFERROR(__xludf.DUMMYFUNCTION("""COMPUTED_VALUE"""),222000.0)</f>
        <v>222000</v>
      </c>
    </row>
    <row r="1647">
      <c r="A1647" s="2">
        <f>IFERROR(__xludf.DUMMYFUNCTION("""COMPUTED_VALUE"""),43356.64583333333)</f>
        <v>43356.64583</v>
      </c>
      <c r="B1647" s="1">
        <f>IFERROR(__xludf.DUMMYFUNCTION("""COMPUTED_VALUE"""),17500.0)</f>
        <v>17500</v>
      </c>
      <c r="C1647" s="1">
        <f>IFERROR(__xludf.DUMMYFUNCTION("""COMPUTED_VALUE"""),18050.0)</f>
        <v>18050</v>
      </c>
      <c r="D1647" s="1">
        <f>IFERROR(__xludf.DUMMYFUNCTION("""COMPUTED_VALUE"""),17000.0)</f>
        <v>17000</v>
      </c>
      <c r="E1647" s="1">
        <f>IFERROR(__xludf.DUMMYFUNCTION("""COMPUTED_VALUE"""),17900.0)</f>
        <v>17900</v>
      </c>
      <c r="F1647" s="1">
        <f>IFERROR(__xludf.DUMMYFUNCTION("""COMPUTED_VALUE"""),573083.0)</f>
        <v>573083</v>
      </c>
    </row>
    <row r="1648">
      <c r="A1648" s="2">
        <f>IFERROR(__xludf.DUMMYFUNCTION("""COMPUTED_VALUE"""),43357.64583333333)</f>
        <v>43357.64583</v>
      </c>
      <c r="B1648" s="1">
        <f>IFERROR(__xludf.DUMMYFUNCTION("""COMPUTED_VALUE"""),17600.0)</f>
        <v>17600</v>
      </c>
      <c r="C1648" s="1">
        <f>IFERROR(__xludf.DUMMYFUNCTION("""COMPUTED_VALUE"""),17900.0)</f>
        <v>17900</v>
      </c>
      <c r="D1648" s="1">
        <f>IFERROR(__xludf.DUMMYFUNCTION("""COMPUTED_VALUE"""),16400.0)</f>
        <v>16400</v>
      </c>
      <c r="E1648" s="1">
        <f>IFERROR(__xludf.DUMMYFUNCTION("""COMPUTED_VALUE"""),16700.0)</f>
        <v>16700</v>
      </c>
      <c r="F1648" s="1">
        <f>IFERROR(__xludf.DUMMYFUNCTION("""COMPUTED_VALUE"""),506918.0)</f>
        <v>506918</v>
      </c>
    </row>
    <row r="1649">
      <c r="A1649" s="2">
        <f>IFERROR(__xludf.DUMMYFUNCTION("""COMPUTED_VALUE"""),43360.64583333333)</f>
        <v>43360.64583</v>
      </c>
      <c r="B1649" s="1">
        <f>IFERROR(__xludf.DUMMYFUNCTION("""COMPUTED_VALUE"""),16400.0)</f>
        <v>16400</v>
      </c>
      <c r="C1649" s="1">
        <f>IFERROR(__xludf.DUMMYFUNCTION("""COMPUTED_VALUE"""),16500.0)</f>
        <v>16500</v>
      </c>
      <c r="D1649" s="1">
        <f>IFERROR(__xludf.DUMMYFUNCTION("""COMPUTED_VALUE"""),15150.0)</f>
        <v>15150</v>
      </c>
      <c r="E1649" s="1">
        <f>IFERROR(__xludf.DUMMYFUNCTION("""COMPUTED_VALUE"""),15550.0)</f>
        <v>15550</v>
      </c>
      <c r="F1649" s="1">
        <f>IFERROR(__xludf.DUMMYFUNCTION("""COMPUTED_VALUE"""),895744.0)</f>
        <v>895744</v>
      </c>
    </row>
    <row r="1650">
      <c r="A1650" s="2">
        <f>IFERROR(__xludf.DUMMYFUNCTION("""COMPUTED_VALUE"""),43361.64583333333)</f>
        <v>43361.64583</v>
      </c>
      <c r="B1650" s="1">
        <f>IFERROR(__xludf.DUMMYFUNCTION("""COMPUTED_VALUE"""),15300.0)</f>
        <v>15300</v>
      </c>
      <c r="C1650" s="1">
        <f>IFERROR(__xludf.DUMMYFUNCTION("""COMPUTED_VALUE"""),15950.0)</f>
        <v>15950</v>
      </c>
      <c r="D1650" s="1">
        <f>IFERROR(__xludf.DUMMYFUNCTION("""COMPUTED_VALUE"""),15050.0)</f>
        <v>15050</v>
      </c>
      <c r="E1650" s="1">
        <f>IFERROR(__xludf.DUMMYFUNCTION("""COMPUTED_VALUE"""),15700.0)</f>
        <v>15700</v>
      </c>
      <c r="F1650" s="1">
        <f>IFERROR(__xludf.DUMMYFUNCTION("""COMPUTED_VALUE"""),480819.0)</f>
        <v>480819</v>
      </c>
    </row>
    <row r="1651">
      <c r="A1651" s="2">
        <f>IFERROR(__xludf.DUMMYFUNCTION("""COMPUTED_VALUE"""),43362.64583333333)</f>
        <v>43362.64583</v>
      </c>
      <c r="B1651" s="1">
        <f>IFERROR(__xludf.DUMMYFUNCTION("""COMPUTED_VALUE"""),15800.0)</f>
        <v>15800</v>
      </c>
      <c r="C1651" s="1">
        <f>IFERROR(__xludf.DUMMYFUNCTION("""COMPUTED_VALUE"""),15900.0)</f>
        <v>15900</v>
      </c>
      <c r="D1651" s="1">
        <f>IFERROR(__xludf.DUMMYFUNCTION("""COMPUTED_VALUE"""),13850.0)</f>
        <v>13850</v>
      </c>
      <c r="E1651" s="1">
        <f>IFERROR(__xludf.DUMMYFUNCTION("""COMPUTED_VALUE"""),14100.0)</f>
        <v>14100</v>
      </c>
      <c r="F1651" s="1">
        <f>IFERROR(__xludf.DUMMYFUNCTION("""COMPUTED_VALUE"""),968991.0)</f>
        <v>968991</v>
      </c>
    </row>
    <row r="1652">
      <c r="A1652" s="2">
        <f>IFERROR(__xludf.DUMMYFUNCTION("""COMPUTED_VALUE"""),43363.64583333333)</f>
        <v>43363.64583</v>
      </c>
      <c r="B1652" s="1">
        <f>IFERROR(__xludf.DUMMYFUNCTION("""COMPUTED_VALUE"""),14100.0)</f>
        <v>14100</v>
      </c>
      <c r="C1652" s="1">
        <f>IFERROR(__xludf.DUMMYFUNCTION("""COMPUTED_VALUE"""),14800.0)</f>
        <v>14800</v>
      </c>
      <c r="D1652" s="1">
        <f>IFERROR(__xludf.DUMMYFUNCTION("""COMPUTED_VALUE"""),13600.0)</f>
        <v>13600</v>
      </c>
      <c r="E1652" s="1">
        <f>IFERROR(__xludf.DUMMYFUNCTION("""COMPUTED_VALUE"""),14650.0)</f>
        <v>14650</v>
      </c>
      <c r="F1652" s="1">
        <f>IFERROR(__xludf.DUMMYFUNCTION("""COMPUTED_VALUE"""),433112.0)</f>
        <v>433112</v>
      </c>
    </row>
    <row r="1653">
      <c r="A1653" s="2">
        <f>IFERROR(__xludf.DUMMYFUNCTION("""COMPUTED_VALUE"""),43364.64583333333)</f>
        <v>43364.64583</v>
      </c>
      <c r="B1653" s="1">
        <f>IFERROR(__xludf.DUMMYFUNCTION("""COMPUTED_VALUE"""),14350.0)</f>
        <v>14350</v>
      </c>
      <c r="C1653" s="1">
        <f>IFERROR(__xludf.DUMMYFUNCTION("""COMPUTED_VALUE"""),14700.0)</f>
        <v>14700</v>
      </c>
      <c r="D1653" s="1">
        <f>IFERROR(__xludf.DUMMYFUNCTION("""COMPUTED_VALUE"""),13350.0)</f>
        <v>13350</v>
      </c>
      <c r="E1653" s="1">
        <f>IFERROR(__xludf.DUMMYFUNCTION("""COMPUTED_VALUE"""),14100.0)</f>
        <v>14100</v>
      </c>
      <c r="F1653" s="1">
        <f>IFERROR(__xludf.DUMMYFUNCTION("""COMPUTED_VALUE"""),362055.0)</f>
        <v>362055</v>
      </c>
    </row>
    <row r="1654">
      <c r="A1654" s="2">
        <f>IFERROR(__xludf.DUMMYFUNCTION("""COMPUTED_VALUE"""),43370.64583333333)</f>
        <v>43370.64583</v>
      </c>
      <c r="B1654" s="1">
        <f>IFERROR(__xludf.DUMMYFUNCTION("""COMPUTED_VALUE"""),14100.0)</f>
        <v>14100</v>
      </c>
      <c r="C1654" s="1">
        <f>IFERROR(__xludf.DUMMYFUNCTION("""COMPUTED_VALUE"""),14650.0)</f>
        <v>14650</v>
      </c>
      <c r="D1654" s="1">
        <f>IFERROR(__xludf.DUMMYFUNCTION("""COMPUTED_VALUE"""),13850.0)</f>
        <v>13850</v>
      </c>
      <c r="E1654" s="1">
        <f>IFERROR(__xludf.DUMMYFUNCTION("""COMPUTED_VALUE"""),14550.0)</f>
        <v>14550</v>
      </c>
      <c r="F1654" s="1">
        <f>IFERROR(__xludf.DUMMYFUNCTION("""COMPUTED_VALUE"""),246804.0)</f>
        <v>246804</v>
      </c>
    </row>
    <row r="1655">
      <c r="A1655" s="2">
        <f>IFERROR(__xludf.DUMMYFUNCTION("""COMPUTED_VALUE"""),43371.64583333333)</f>
        <v>43371.64583</v>
      </c>
      <c r="B1655" s="1">
        <f>IFERROR(__xludf.DUMMYFUNCTION("""COMPUTED_VALUE"""),14550.0)</f>
        <v>14550</v>
      </c>
      <c r="C1655" s="1">
        <f>IFERROR(__xludf.DUMMYFUNCTION("""COMPUTED_VALUE"""),14900.0)</f>
        <v>14900</v>
      </c>
      <c r="D1655" s="1">
        <f>IFERROR(__xludf.DUMMYFUNCTION("""COMPUTED_VALUE"""),14050.0)</f>
        <v>14050</v>
      </c>
      <c r="E1655" s="1">
        <f>IFERROR(__xludf.DUMMYFUNCTION("""COMPUTED_VALUE"""),14700.0)</f>
        <v>14700</v>
      </c>
      <c r="F1655" s="1">
        <f>IFERROR(__xludf.DUMMYFUNCTION("""COMPUTED_VALUE"""),270591.0)</f>
        <v>270591</v>
      </c>
    </row>
    <row r="1656">
      <c r="A1656" s="2">
        <f>IFERROR(__xludf.DUMMYFUNCTION("""COMPUTED_VALUE"""),43374.64583333333)</f>
        <v>43374.64583</v>
      </c>
      <c r="B1656" s="1">
        <f>IFERROR(__xludf.DUMMYFUNCTION("""COMPUTED_VALUE"""),14750.0)</f>
        <v>14750</v>
      </c>
      <c r="C1656" s="1">
        <f>IFERROR(__xludf.DUMMYFUNCTION("""COMPUTED_VALUE"""),15000.0)</f>
        <v>15000</v>
      </c>
      <c r="D1656" s="1">
        <f>IFERROR(__xludf.DUMMYFUNCTION("""COMPUTED_VALUE"""),14050.0)</f>
        <v>14050</v>
      </c>
      <c r="E1656" s="1">
        <f>IFERROR(__xludf.DUMMYFUNCTION("""COMPUTED_VALUE"""),14250.0)</f>
        <v>14250</v>
      </c>
      <c r="F1656" s="1">
        <f>IFERROR(__xludf.DUMMYFUNCTION("""COMPUTED_VALUE"""),199447.0)</f>
        <v>199447</v>
      </c>
    </row>
    <row r="1657">
      <c r="A1657" s="2">
        <f>IFERROR(__xludf.DUMMYFUNCTION("""COMPUTED_VALUE"""),43375.64583333333)</f>
        <v>43375.64583</v>
      </c>
      <c r="B1657" s="1">
        <f>IFERROR(__xludf.DUMMYFUNCTION("""COMPUTED_VALUE"""),14350.0)</f>
        <v>14350</v>
      </c>
      <c r="C1657" s="1">
        <f>IFERROR(__xludf.DUMMYFUNCTION("""COMPUTED_VALUE"""),14350.0)</f>
        <v>14350</v>
      </c>
      <c r="D1657" s="1">
        <f>IFERROR(__xludf.DUMMYFUNCTION("""COMPUTED_VALUE"""),13450.0)</f>
        <v>13450</v>
      </c>
      <c r="E1657" s="1">
        <f>IFERROR(__xludf.DUMMYFUNCTION("""COMPUTED_VALUE"""),13550.0)</f>
        <v>13550</v>
      </c>
      <c r="F1657" s="1">
        <f>IFERROR(__xludf.DUMMYFUNCTION("""COMPUTED_VALUE"""),179969.0)</f>
        <v>179969</v>
      </c>
    </row>
    <row r="1658">
      <c r="A1658" s="2">
        <f>IFERROR(__xludf.DUMMYFUNCTION("""COMPUTED_VALUE"""),43377.64583333333)</f>
        <v>43377.64583</v>
      </c>
      <c r="B1658" s="1">
        <f>IFERROR(__xludf.DUMMYFUNCTION("""COMPUTED_VALUE"""),13750.0)</f>
        <v>13750</v>
      </c>
      <c r="C1658" s="1">
        <f>IFERROR(__xludf.DUMMYFUNCTION("""COMPUTED_VALUE"""),15400.0)</f>
        <v>15400</v>
      </c>
      <c r="D1658" s="1">
        <f>IFERROR(__xludf.DUMMYFUNCTION("""COMPUTED_VALUE"""),12800.0)</f>
        <v>12800</v>
      </c>
      <c r="E1658" s="1">
        <f>IFERROR(__xludf.DUMMYFUNCTION("""COMPUTED_VALUE"""),13200.0)</f>
        <v>13200</v>
      </c>
      <c r="F1658" s="1">
        <f>IFERROR(__xludf.DUMMYFUNCTION("""COMPUTED_VALUE"""),847044.0)</f>
        <v>847044</v>
      </c>
    </row>
    <row r="1659">
      <c r="A1659" s="2">
        <f>IFERROR(__xludf.DUMMYFUNCTION("""COMPUTED_VALUE"""),43378.64583333333)</f>
        <v>43378.64583</v>
      </c>
      <c r="B1659" s="1">
        <f>IFERROR(__xludf.DUMMYFUNCTION("""COMPUTED_VALUE"""),13000.0)</f>
        <v>13000</v>
      </c>
      <c r="C1659" s="1">
        <f>IFERROR(__xludf.DUMMYFUNCTION("""COMPUTED_VALUE"""),13450.0)</f>
        <v>13450</v>
      </c>
      <c r="D1659" s="1">
        <f>IFERROR(__xludf.DUMMYFUNCTION("""COMPUTED_VALUE"""),12650.0)</f>
        <v>12650</v>
      </c>
      <c r="E1659" s="1">
        <f>IFERROR(__xludf.DUMMYFUNCTION("""COMPUTED_VALUE"""),13150.0)</f>
        <v>13150</v>
      </c>
      <c r="F1659" s="1">
        <f>IFERROR(__xludf.DUMMYFUNCTION("""COMPUTED_VALUE"""),110379.0)</f>
        <v>110379</v>
      </c>
    </row>
    <row r="1660">
      <c r="A1660" s="2">
        <f>IFERROR(__xludf.DUMMYFUNCTION("""COMPUTED_VALUE"""),43381.64583333333)</f>
        <v>43381.64583</v>
      </c>
      <c r="B1660" s="1">
        <f>IFERROR(__xludf.DUMMYFUNCTION("""COMPUTED_VALUE"""),13150.0)</f>
        <v>13150</v>
      </c>
      <c r="C1660" s="1">
        <f>IFERROR(__xludf.DUMMYFUNCTION("""COMPUTED_VALUE"""),13750.0)</f>
        <v>13750</v>
      </c>
      <c r="D1660" s="1">
        <f>IFERROR(__xludf.DUMMYFUNCTION("""COMPUTED_VALUE"""),13000.0)</f>
        <v>13000</v>
      </c>
      <c r="E1660" s="1">
        <f>IFERROR(__xludf.DUMMYFUNCTION("""COMPUTED_VALUE"""),13250.0)</f>
        <v>13250</v>
      </c>
      <c r="F1660" s="1">
        <f>IFERROR(__xludf.DUMMYFUNCTION("""COMPUTED_VALUE"""),147239.0)</f>
        <v>147239</v>
      </c>
    </row>
    <row r="1661">
      <c r="A1661" s="2">
        <f>IFERROR(__xludf.DUMMYFUNCTION("""COMPUTED_VALUE"""),43383.64583333333)</f>
        <v>43383.64583</v>
      </c>
      <c r="B1661" s="1">
        <f>IFERROR(__xludf.DUMMYFUNCTION("""COMPUTED_VALUE"""),13250.0)</f>
        <v>13250</v>
      </c>
      <c r="C1661" s="1">
        <f>IFERROR(__xludf.DUMMYFUNCTION("""COMPUTED_VALUE"""),13300.0)</f>
        <v>13300</v>
      </c>
      <c r="D1661" s="1">
        <f>IFERROR(__xludf.DUMMYFUNCTION("""COMPUTED_VALUE"""),12550.0)</f>
        <v>12550</v>
      </c>
      <c r="E1661" s="1">
        <f>IFERROR(__xludf.DUMMYFUNCTION("""COMPUTED_VALUE"""),12600.0)</f>
        <v>12600</v>
      </c>
      <c r="F1661" s="1">
        <f>IFERROR(__xludf.DUMMYFUNCTION("""COMPUTED_VALUE"""),127555.0)</f>
        <v>127555</v>
      </c>
    </row>
    <row r="1662">
      <c r="A1662" s="2">
        <f>IFERROR(__xludf.DUMMYFUNCTION("""COMPUTED_VALUE"""),43384.64583333333)</f>
        <v>43384.64583</v>
      </c>
      <c r="B1662" s="1">
        <f>IFERROR(__xludf.DUMMYFUNCTION("""COMPUTED_VALUE"""),12050.0)</f>
        <v>12050</v>
      </c>
      <c r="C1662" s="1">
        <f>IFERROR(__xludf.DUMMYFUNCTION("""COMPUTED_VALUE"""),12500.0)</f>
        <v>12500</v>
      </c>
      <c r="D1662" s="1">
        <f>IFERROR(__xludf.DUMMYFUNCTION("""COMPUTED_VALUE"""),12000.0)</f>
        <v>12000</v>
      </c>
      <c r="E1662" s="1">
        <f>IFERROR(__xludf.DUMMYFUNCTION("""COMPUTED_VALUE"""),12300.0)</f>
        <v>12300</v>
      </c>
      <c r="F1662" s="1">
        <f>IFERROR(__xludf.DUMMYFUNCTION("""COMPUTED_VALUE"""),159367.0)</f>
        <v>159367</v>
      </c>
    </row>
    <row r="1663">
      <c r="A1663" s="2">
        <f>IFERROR(__xludf.DUMMYFUNCTION("""COMPUTED_VALUE"""),43385.64583333333)</f>
        <v>43385.64583</v>
      </c>
      <c r="B1663" s="1">
        <f>IFERROR(__xludf.DUMMYFUNCTION("""COMPUTED_VALUE"""),12300.0)</f>
        <v>12300</v>
      </c>
      <c r="C1663" s="1">
        <f>IFERROR(__xludf.DUMMYFUNCTION("""COMPUTED_VALUE"""),12700.0)</f>
        <v>12700</v>
      </c>
      <c r="D1663" s="1">
        <f>IFERROR(__xludf.DUMMYFUNCTION("""COMPUTED_VALUE"""),12150.0)</f>
        <v>12150</v>
      </c>
      <c r="E1663" s="1">
        <f>IFERROR(__xludf.DUMMYFUNCTION("""COMPUTED_VALUE"""),12450.0)</f>
        <v>12450</v>
      </c>
      <c r="F1663" s="1">
        <f>IFERROR(__xludf.DUMMYFUNCTION("""COMPUTED_VALUE"""),90710.0)</f>
        <v>90710</v>
      </c>
    </row>
    <row r="1664">
      <c r="A1664" s="2">
        <f>IFERROR(__xludf.DUMMYFUNCTION("""COMPUTED_VALUE"""),43388.64583333333)</f>
        <v>43388.64583</v>
      </c>
      <c r="B1664" s="1">
        <f>IFERROR(__xludf.DUMMYFUNCTION("""COMPUTED_VALUE"""),12550.0)</f>
        <v>12550</v>
      </c>
      <c r="C1664" s="1">
        <f>IFERROR(__xludf.DUMMYFUNCTION("""COMPUTED_VALUE"""),13250.0)</f>
        <v>13250</v>
      </c>
      <c r="D1664" s="1">
        <f>IFERROR(__xludf.DUMMYFUNCTION("""COMPUTED_VALUE"""),12350.0)</f>
        <v>12350</v>
      </c>
      <c r="E1664" s="1">
        <f>IFERROR(__xludf.DUMMYFUNCTION("""COMPUTED_VALUE"""),12350.0)</f>
        <v>12350</v>
      </c>
      <c r="F1664" s="1">
        <f>IFERROR(__xludf.DUMMYFUNCTION("""COMPUTED_VALUE"""),162092.0)</f>
        <v>162092</v>
      </c>
    </row>
    <row r="1665">
      <c r="A1665" s="2">
        <f>IFERROR(__xludf.DUMMYFUNCTION("""COMPUTED_VALUE"""),43389.64583333333)</f>
        <v>43389.64583</v>
      </c>
      <c r="B1665" s="1">
        <f>IFERROR(__xludf.DUMMYFUNCTION("""COMPUTED_VALUE"""),12400.0)</f>
        <v>12400</v>
      </c>
      <c r="C1665" s="1">
        <f>IFERROR(__xludf.DUMMYFUNCTION("""COMPUTED_VALUE"""),13300.0)</f>
        <v>13300</v>
      </c>
      <c r="D1665" s="1">
        <f>IFERROR(__xludf.DUMMYFUNCTION("""COMPUTED_VALUE"""),12400.0)</f>
        <v>12400</v>
      </c>
      <c r="E1665" s="1">
        <f>IFERROR(__xludf.DUMMYFUNCTION("""COMPUTED_VALUE"""),13050.0)</f>
        <v>13050</v>
      </c>
      <c r="F1665" s="1">
        <f>IFERROR(__xludf.DUMMYFUNCTION("""COMPUTED_VALUE"""),164615.0)</f>
        <v>164615</v>
      </c>
    </row>
    <row r="1666">
      <c r="A1666" s="2">
        <f>IFERROR(__xludf.DUMMYFUNCTION("""COMPUTED_VALUE"""),43390.64583333333)</f>
        <v>43390.64583</v>
      </c>
      <c r="B1666" s="1">
        <f>IFERROR(__xludf.DUMMYFUNCTION("""COMPUTED_VALUE"""),13100.0)</f>
        <v>13100</v>
      </c>
      <c r="C1666" s="1">
        <f>IFERROR(__xludf.DUMMYFUNCTION("""COMPUTED_VALUE"""),13300.0)</f>
        <v>13300</v>
      </c>
      <c r="D1666" s="1">
        <f>IFERROR(__xludf.DUMMYFUNCTION("""COMPUTED_VALUE"""),12850.0)</f>
        <v>12850</v>
      </c>
      <c r="E1666" s="1">
        <f>IFERROR(__xludf.DUMMYFUNCTION("""COMPUTED_VALUE"""),13050.0)</f>
        <v>13050</v>
      </c>
      <c r="F1666" s="1">
        <f>IFERROR(__xludf.DUMMYFUNCTION("""COMPUTED_VALUE"""),73114.0)</f>
        <v>73114</v>
      </c>
    </row>
    <row r="1667">
      <c r="A1667" s="2">
        <f>IFERROR(__xludf.DUMMYFUNCTION("""COMPUTED_VALUE"""),43391.64583333333)</f>
        <v>43391.64583</v>
      </c>
      <c r="B1667" s="1">
        <f>IFERROR(__xludf.DUMMYFUNCTION("""COMPUTED_VALUE"""),13050.0)</f>
        <v>13050</v>
      </c>
      <c r="C1667" s="1">
        <f>IFERROR(__xludf.DUMMYFUNCTION("""COMPUTED_VALUE"""),13650.0)</f>
        <v>13650</v>
      </c>
      <c r="D1667" s="1">
        <f>IFERROR(__xludf.DUMMYFUNCTION("""COMPUTED_VALUE"""),12900.0)</f>
        <v>12900</v>
      </c>
      <c r="E1667" s="1">
        <f>IFERROR(__xludf.DUMMYFUNCTION("""COMPUTED_VALUE"""),13300.0)</f>
        <v>13300</v>
      </c>
      <c r="F1667" s="1">
        <f>IFERROR(__xludf.DUMMYFUNCTION("""COMPUTED_VALUE"""),161690.0)</f>
        <v>161690</v>
      </c>
    </row>
    <row r="1668">
      <c r="A1668" s="2">
        <f>IFERROR(__xludf.DUMMYFUNCTION("""COMPUTED_VALUE"""),43392.64583333333)</f>
        <v>43392.64583</v>
      </c>
      <c r="B1668" s="1">
        <f>IFERROR(__xludf.DUMMYFUNCTION("""COMPUTED_VALUE"""),13250.0)</f>
        <v>13250</v>
      </c>
      <c r="C1668" s="1">
        <f>IFERROR(__xludf.DUMMYFUNCTION("""COMPUTED_VALUE"""),13300.0)</f>
        <v>13300</v>
      </c>
      <c r="D1668" s="1">
        <f>IFERROR(__xludf.DUMMYFUNCTION("""COMPUTED_VALUE"""),12800.0)</f>
        <v>12800</v>
      </c>
      <c r="E1668" s="1">
        <f>IFERROR(__xludf.DUMMYFUNCTION("""COMPUTED_VALUE"""),13150.0)</f>
        <v>13150</v>
      </c>
      <c r="F1668" s="1">
        <f>IFERROR(__xludf.DUMMYFUNCTION("""COMPUTED_VALUE"""),77556.0)</f>
        <v>77556</v>
      </c>
    </row>
    <row r="1669">
      <c r="A1669" s="2">
        <f>IFERROR(__xludf.DUMMYFUNCTION("""COMPUTED_VALUE"""),43395.64583333333)</f>
        <v>43395.64583</v>
      </c>
      <c r="B1669" s="1">
        <f>IFERROR(__xludf.DUMMYFUNCTION("""COMPUTED_VALUE"""),13100.0)</f>
        <v>13100</v>
      </c>
      <c r="C1669" s="1">
        <f>IFERROR(__xludf.DUMMYFUNCTION("""COMPUTED_VALUE"""),13100.0)</f>
        <v>13100</v>
      </c>
      <c r="D1669" s="1">
        <f>IFERROR(__xludf.DUMMYFUNCTION("""COMPUTED_VALUE"""),12350.0)</f>
        <v>12350</v>
      </c>
      <c r="E1669" s="1">
        <f>IFERROR(__xludf.DUMMYFUNCTION("""COMPUTED_VALUE"""),12350.0)</f>
        <v>12350</v>
      </c>
      <c r="F1669" s="1">
        <f>IFERROR(__xludf.DUMMYFUNCTION("""COMPUTED_VALUE"""),150811.0)</f>
        <v>150811</v>
      </c>
    </row>
    <row r="1670">
      <c r="A1670" s="2">
        <f>IFERROR(__xludf.DUMMYFUNCTION("""COMPUTED_VALUE"""),43396.64583333333)</f>
        <v>43396.64583</v>
      </c>
      <c r="B1670" s="1">
        <f>IFERROR(__xludf.DUMMYFUNCTION("""COMPUTED_VALUE"""),12200.0)</f>
        <v>12200</v>
      </c>
      <c r="C1670" s="1">
        <f>IFERROR(__xludf.DUMMYFUNCTION("""COMPUTED_VALUE"""),12550.0)</f>
        <v>12550</v>
      </c>
      <c r="D1670" s="1">
        <f>IFERROR(__xludf.DUMMYFUNCTION("""COMPUTED_VALUE"""),11250.0)</f>
        <v>11250</v>
      </c>
      <c r="E1670" s="1">
        <f>IFERROR(__xludf.DUMMYFUNCTION("""COMPUTED_VALUE"""),11500.0)</f>
        <v>11500</v>
      </c>
      <c r="F1670" s="1">
        <f>IFERROR(__xludf.DUMMYFUNCTION("""COMPUTED_VALUE"""),345120.0)</f>
        <v>345120</v>
      </c>
    </row>
    <row r="1671">
      <c r="A1671" s="2">
        <f>IFERROR(__xludf.DUMMYFUNCTION("""COMPUTED_VALUE"""),43397.64583333333)</f>
        <v>43397.64583</v>
      </c>
      <c r="B1671" s="1">
        <f>IFERROR(__xludf.DUMMYFUNCTION("""COMPUTED_VALUE"""),11700.0)</f>
        <v>11700</v>
      </c>
      <c r="C1671" s="1">
        <f>IFERROR(__xludf.DUMMYFUNCTION("""COMPUTED_VALUE"""),11950.0)</f>
        <v>11950</v>
      </c>
      <c r="D1671" s="1">
        <f>IFERROR(__xludf.DUMMYFUNCTION("""COMPUTED_VALUE"""),11400.0)</f>
        <v>11400</v>
      </c>
      <c r="E1671" s="1">
        <f>IFERROR(__xludf.DUMMYFUNCTION("""COMPUTED_VALUE"""),11450.0)</f>
        <v>11450</v>
      </c>
      <c r="F1671" s="1">
        <f>IFERROR(__xludf.DUMMYFUNCTION("""COMPUTED_VALUE"""),178829.0)</f>
        <v>178829</v>
      </c>
    </row>
    <row r="1672">
      <c r="A1672" s="2">
        <f>IFERROR(__xludf.DUMMYFUNCTION("""COMPUTED_VALUE"""),43398.64583333333)</f>
        <v>43398.64583</v>
      </c>
      <c r="B1672" s="1">
        <f>IFERROR(__xludf.DUMMYFUNCTION("""COMPUTED_VALUE"""),11050.0)</f>
        <v>11050</v>
      </c>
      <c r="C1672" s="1">
        <f>IFERROR(__xludf.DUMMYFUNCTION("""COMPUTED_VALUE"""),11700.0)</f>
        <v>11700</v>
      </c>
      <c r="D1672" s="1">
        <f>IFERROR(__xludf.DUMMYFUNCTION("""COMPUTED_VALUE"""),11000.0)</f>
        <v>11000</v>
      </c>
      <c r="E1672" s="1">
        <f>IFERROR(__xludf.DUMMYFUNCTION("""COMPUTED_VALUE"""),11550.0)</f>
        <v>11550</v>
      </c>
      <c r="F1672" s="1">
        <f>IFERROR(__xludf.DUMMYFUNCTION("""COMPUTED_VALUE"""),89947.0)</f>
        <v>89947</v>
      </c>
    </row>
    <row r="1673">
      <c r="A1673" s="2">
        <f>IFERROR(__xludf.DUMMYFUNCTION("""COMPUTED_VALUE"""),43399.64583333333)</f>
        <v>43399.64583</v>
      </c>
      <c r="B1673" s="1">
        <f>IFERROR(__xludf.DUMMYFUNCTION("""COMPUTED_VALUE"""),11400.0)</f>
        <v>11400</v>
      </c>
      <c r="C1673" s="1">
        <f>IFERROR(__xludf.DUMMYFUNCTION("""COMPUTED_VALUE"""),11850.0)</f>
        <v>11850</v>
      </c>
      <c r="D1673" s="1">
        <f>IFERROR(__xludf.DUMMYFUNCTION("""COMPUTED_VALUE"""),10850.0)</f>
        <v>10850</v>
      </c>
      <c r="E1673" s="1">
        <f>IFERROR(__xludf.DUMMYFUNCTION("""COMPUTED_VALUE"""),11150.0)</f>
        <v>11150</v>
      </c>
      <c r="F1673" s="1">
        <f>IFERROR(__xludf.DUMMYFUNCTION("""COMPUTED_VALUE"""),116033.0)</f>
        <v>116033</v>
      </c>
    </row>
    <row r="1674">
      <c r="A1674" s="2">
        <f>IFERROR(__xludf.DUMMYFUNCTION("""COMPUTED_VALUE"""),43402.64583333333)</f>
        <v>43402.64583</v>
      </c>
      <c r="B1674" s="1">
        <f>IFERROR(__xludf.DUMMYFUNCTION("""COMPUTED_VALUE"""),11050.0)</f>
        <v>11050</v>
      </c>
      <c r="C1674" s="1">
        <f>IFERROR(__xludf.DUMMYFUNCTION("""COMPUTED_VALUE"""),11300.0)</f>
        <v>11300</v>
      </c>
      <c r="D1674" s="1">
        <f>IFERROR(__xludf.DUMMYFUNCTION("""COMPUTED_VALUE"""),9950.0)</f>
        <v>9950</v>
      </c>
      <c r="E1674" s="1">
        <f>IFERROR(__xludf.DUMMYFUNCTION("""COMPUTED_VALUE"""),9970.0)</f>
        <v>9970</v>
      </c>
      <c r="F1674" s="1">
        <f>IFERROR(__xludf.DUMMYFUNCTION("""COMPUTED_VALUE"""),177516.0)</f>
        <v>177516</v>
      </c>
    </row>
    <row r="1675">
      <c r="A1675" s="2">
        <f>IFERROR(__xludf.DUMMYFUNCTION("""COMPUTED_VALUE"""),43403.64583333333)</f>
        <v>43403.64583</v>
      </c>
      <c r="B1675" s="1">
        <f>IFERROR(__xludf.DUMMYFUNCTION("""COMPUTED_VALUE"""),9860.0)</f>
        <v>9860</v>
      </c>
      <c r="C1675" s="1">
        <f>IFERROR(__xludf.DUMMYFUNCTION("""COMPUTED_VALUE"""),10500.0)</f>
        <v>10500</v>
      </c>
      <c r="D1675" s="1">
        <f>IFERROR(__xludf.DUMMYFUNCTION("""COMPUTED_VALUE"""),9600.0)</f>
        <v>9600</v>
      </c>
      <c r="E1675" s="1">
        <f>IFERROR(__xludf.DUMMYFUNCTION("""COMPUTED_VALUE"""),10350.0)</f>
        <v>10350</v>
      </c>
      <c r="F1675" s="1">
        <f>IFERROR(__xludf.DUMMYFUNCTION("""COMPUTED_VALUE"""),185827.0)</f>
        <v>185827</v>
      </c>
    </row>
    <row r="1676">
      <c r="A1676" s="2">
        <f>IFERROR(__xludf.DUMMYFUNCTION("""COMPUTED_VALUE"""),43404.64583333333)</f>
        <v>43404.64583</v>
      </c>
      <c r="B1676" s="1">
        <f>IFERROR(__xludf.DUMMYFUNCTION("""COMPUTED_VALUE"""),10300.0)</f>
        <v>10300</v>
      </c>
      <c r="C1676" s="1">
        <f>IFERROR(__xludf.DUMMYFUNCTION("""COMPUTED_VALUE"""),11300.0)</f>
        <v>11300</v>
      </c>
      <c r="D1676" s="1">
        <f>IFERROR(__xludf.DUMMYFUNCTION("""COMPUTED_VALUE"""),10100.0)</f>
        <v>10100</v>
      </c>
      <c r="E1676" s="1">
        <f>IFERROR(__xludf.DUMMYFUNCTION("""COMPUTED_VALUE"""),11100.0)</f>
        <v>11100</v>
      </c>
      <c r="F1676" s="1">
        <f>IFERROR(__xludf.DUMMYFUNCTION("""COMPUTED_VALUE"""),202285.0)</f>
        <v>202285</v>
      </c>
    </row>
    <row r="1677">
      <c r="A1677" s="2">
        <f>IFERROR(__xludf.DUMMYFUNCTION("""COMPUTED_VALUE"""),43405.64583333333)</f>
        <v>43405.64583</v>
      </c>
      <c r="B1677" s="1">
        <f>IFERROR(__xludf.DUMMYFUNCTION("""COMPUTED_VALUE"""),11550.0)</f>
        <v>11550</v>
      </c>
      <c r="C1677" s="1">
        <f>IFERROR(__xludf.DUMMYFUNCTION("""COMPUTED_VALUE"""),12200.0)</f>
        <v>12200</v>
      </c>
      <c r="D1677" s="1">
        <f>IFERROR(__xludf.DUMMYFUNCTION("""COMPUTED_VALUE"""),11200.0)</f>
        <v>11200</v>
      </c>
      <c r="E1677" s="1">
        <f>IFERROR(__xludf.DUMMYFUNCTION("""COMPUTED_VALUE"""),11250.0)</f>
        <v>11250</v>
      </c>
      <c r="F1677" s="1">
        <f>IFERROR(__xludf.DUMMYFUNCTION("""COMPUTED_VALUE"""),297969.0)</f>
        <v>297969</v>
      </c>
    </row>
    <row r="1678">
      <c r="A1678" s="2">
        <f>IFERROR(__xludf.DUMMYFUNCTION("""COMPUTED_VALUE"""),43406.64583333333)</f>
        <v>43406.64583</v>
      </c>
      <c r="B1678" s="1">
        <f>IFERROR(__xludf.DUMMYFUNCTION("""COMPUTED_VALUE"""),11300.0)</f>
        <v>11300</v>
      </c>
      <c r="C1678" s="1">
        <f>IFERROR(__xludf.DUMMYFUNCTION("""COMPUTED_VALUE"""),12000.0)</f>
        <v>12000</v>
      </c>
      <c r="D1678" s="1">
        <f>IFERROR(__xludf.DUMMYFUNCTION("""COMPUTED_VALUE"""),11250.0)</f>
        <v>11250</v>
      </c>
      <c r="E1678" s="1">
        <f>IFERROR(__xludf.DUMMYFUNCTION("""COMPUTED_VALUE"""),11700.0)</f>
        <v>11700</v>
      </c>
      <c r="F1678" s="1">
        <f>IFERROR(__xludf.DUMMYFUNCTION("""COMPUTED_VALUE"""),170934.0)</f>
        <v>170934</v>
      </c>
    </row>
    <row r="1679">
      <c r="A1679" s="2">
        <f>IFERROR(__xludf.DUMMYFUNCTION("""COMPUTED_VALUE"""),43409.64583333333)</f>
        <v>43409.64583</v>
      </c>
      <c r="B1679" s="1">
        <f>IFERROR(__xludf.DUMMYFUNCTION("""COMPUTED_VALUE"""),12000.0)</f>
        <v>12000</v>
      </c>
      <c r="C1679" s="1">
        <f>IFERROR(__xludf.DUMMYFUNCTION("""COMPUTED_VALUE"""),12000.0)</f>
        <v>12000</v>
      </c>
      <c r="D1679" s="1">
        <f>IFERROR(__xludf.DUMMYFUNCTION("""COMPUTED_VALUE"""),11600.0)</f>
        <v>11600</v>
      </c>
      <c r="E1679" s="1">
        <f>IFERROR(__xludf.DUMMYFUNCTION("""COMPUTED_VALUE"""),11650.0)</f>
        <v>11650</v>
      </c>
      <c r="F1679" s="1">
        <f>IFERROR(__xludf.DUMMYFUNCTION("""COMPUTED_VALUE"""),72828.0)</f>
        <v>72828</v>
      </c>
    </row>
    <row r="1680">
      <c r="A1680" s="2">
        <f>IFERROR(__xludf.DUMMYFUNCTION("""COMPUTED_VALUE"""),43410.64583333333)</f>
        <v>43410.64583</v>
      </c>
      <c r="B1680" s="1">
        <f>IFERROR(__xludf.DUMMYFUNCTION("""COMPUTED_VALUE"""),11650.0)</f>
        <v>11650</v>
      </c>
      <c r="C1680" s="1">
        <f>IFERROR(__xludf.DUMMYFUNCTION("""COMPUTED_VALUE"""),12250.0)</f>
        <v>12250</v>
      </c>
      <c r="D1680" s="1">
        <f>IFERROR(__xludf.DUMMYFUNCTION("""COMPUTED_VALUE"""),11300.0)</f>
        <v>11300</v>
      </c>
      <c r="E1680" s="1">
        <f>IFERROR(__xludf.DUMMYFUNCTION("""COMPUTED_VALUE"""),12250.0)</f>
        <v>12250</v>
      </c>
      <c r="F1680" s="1">
        <f>IFERROR(__xludf.DUMMYFUNCTION("""COMPUTED_VALUE"""),108573.0)</f>
        <v>108573</v>
      </c>
    </row>
    <row r="1681">
      <c r="A1681" s="2">
        <f>IFERROR(__xludf.DUMMYFUNCTION("""COMPUTED_VALUE"""),43411.64583333333)</f>
        <v>43411.64583</v>
      </c>
      <c r="B1681" s="1">
        <f>IFERROR(__xludf.DUMMYFUNCTION("""COMPUTED_VALUE"""),12250.0)</f>
        <v>12250</v>
      </c>
      <c r="C1681" s="1">
        <f>IFERROR(__xludf.DUMMYFUNCTION("""COMPUTED_VALUE"""),12250.0)</f>
        <v>12250</v>
      </c>
      <c r="D1681" s="1">
        <f>IFERROR(__xludf.DUMMYFUNCTION("""COMPUTED_VALUE"""),11700.0)</f>
        <v>11700</v>
      </c>
      <c r="E1681" s="1">
        <f>IFERROR(__xludf.DUMMYFUNCTION("""COMPUTED_VALUE"""),11750.0)</f>
        <v>11750</v>
      </c>
      <c r="F1681" s="1">
        <f>IFERROR(__xludf.DUMMYFUNCTION("""COMPUTED_VALUE"""),133276.0)</f>
        <v>133276</v>
      </c>
    </row>
    <row r="1682">
      <c r="A1682" s="2">
        <f>IFERROR(__xludf.DUMMYFUNCTION("""COMPUTED_VALUE"""),43412.64583333333)</f>
        <v>43412.64583</v>
      </c>
      <c r="B1682" s="1">
        <f>IFERROR(__xludf.DUMMYFUNCTION("""COMPUTED_VALUE"""),11950.0)</f>
        <v>11950</v>
      </c>
      <c r="C1682" s="1">
        <f>IFERROR(__xludf.DUMMYFUNCTION("""COMPUTED_VALUE"""),13500.0)</f>
        <v>13500</v>
      </c>
      <c r="D1682" s="1">
        <f>IFERROR(__xludf.DUMMYFUNCTION("""COMPUTED_VALUE"""),11700.0)</f>
        <v>11700</v>
      </c>
      <c r="E1682" s="1">
        <f>IFERROR(__xludf.DUMMYFUNCTION("""COMPUTED_VALUE"""),13050.0)</f>
        <v>13050</v>
      </c>
      <c r="F1682" s="1">
        <f>IFERROR(__xludf.DUMMYFUNCTION("""COMPUTED_VALUE"""),477725.0)</f>
        <v>477725</v>
      </c>
    </row>
    <row r="1683">
      <c r="A1683" s="2">
        <f>IFERROR(__xludf.DUMMYFUNCTION("""COMPUTED_VALUE"""),43413.64583333333)</f>
        <v>43413.64583</v>
      </c>
      <c r="B1683" s="1">
        <f>IFERROR(__xludf.DUMMYFUNCTION("""COMPUTED_VALUE"""),13050.0)</f>
        <v>13050</v>
      </c>
      <c r="C1683" s="1">
        <f>IFERROR(__xludf.DUMMYFUNCTION("""COMPUTED_VALUE"""),13650.0)</f>
        <v>13650</v>
      </c>
      <c r="D1683" s="1">
        <f>IFERROR(__xludf.DUMMYFUNCTION("""COMPUTED_VALUE"""),12850.0)</f>
        <v>12850</v>
      </c>
      <c r="E1683" s="1">
        <f>IFERROR(__xludf.DUMMYFUNCTION("""COMPUTED_VALUE"""),13300.0)</f>
        <v>13300</v>
      </c>
      <c r="F1683" s="1">
        <f>IFERROR(__xludf.DUMMYFUNCTION("""COMPUTED_VALUE"""),377546.0)</f>
        <v>377546</v>
      </c>
    </row>
    <row r="1684">
      <c r="A1684" s="2">
        <f>IFERROR(__xludf.DUMMYFUNCTION("""COMPUTED_VALUE"""),43416.64583333333)</f>
        <v>43416.64583</v>
      </c>
      <c r="B1684" s="1">
        <f>IFERROR(__xludf.DUMMYFUNCTION("""COMPUTED_VALUE"""),13200.0)</f>
        <v>13200</v>
      </c>
      <c r="C1684" s="1">
        <f>IFERROR(__xludf.DUMMYFUNCTION("""COMPUTED_VALUE"""),13500.0)</f>
        <v>13500</v>
      </c>
      <c r="D1684" s="1">
        <f>IFERROR(__xludf.DUMMYFUNCTION("""COMPUTED_VALUE"""),13000.0)</f>
        <v>13000</v>
      </c>
      <c r="E1684" s="1">
        <f>IFERROR(__xludf.DUMMYFUNCTION("""COMPUTED_VALUE"""),13200.0)</f>
        <v>13200</v>
      </c>
      <c r="F1684" s="1">
        <f>IFERROR(__xludf.DUMMYFUNCTION("""COMPUTED_VALUE"""),240369.0)</f>
        <v>240369</v>
      </c>
    </row>
    <row r="1685">
      <c r="A1685" s="2">
        <f>IFERROR(__xludf.DUMMYFUNCTION("""COMPUTED_VALUE"""),43417.64583333333)</f>
        <v>43417.64583</v>
      </c>
      <c r="B1685" s="1">
        <f>IFERROR(__xludf.DUMMYFUNCTION("""COMPUTED_VALUE"""),12900.0)</f>
        <v>12900</v>
      </c>
      <c r="C1685" s="1">
        <f>IFERROR(__xludf.DUMMYFUNCTION("""COMPUTED_VALUE"""),13150.0)</f>
        <v>13150</v>
      </c>
      <c r="D1685" s="1">
        <f>IFERROR(__xludf.DUMMYFUNCTION("""COMPUTED_VALUE"""),12600.0)</f>
        <v>12600</v>
      </c>
      <c r="E1685" s="1">
        <f>IFERROR(__xludf.DUMMYFUNCTION("""COMPUTED_VALUE"""),13000.0)</f>
        <v>13000</v>
      </c>
      <c r="F1685" s="1">
        <f>IFERROR(__xludf.DUMMYFUNCTION("""COMPUTED_VALUE"""),100434.0)</f>
        <v>100434</v>
      </c>
    </row>
    <row r="1686">
      <c r="A1686" s="2">
        <f>IFERROR(__xludf.DUMMYFUNCTION("""COMPUTED_VALUE"""),43418.64583333333)</f>
        <v>43418.64583</v>
      </c>
      <c r="B1686" s="1">
        <f>IFERROR(__xludf.DUMMYFUNCTION("""COMPUTED_VALUE"""),12900.0)</f>
        <v>12900</v>
      </c>
      <c r="C1686" s="1">
        <f>IFERROR(__xludf.DUMMYFUNCTION("""COMPUTED_VALUE"""),13200.0)</f>
        <v>13200</v>
      </c>
      <c r="D1686" s="1">
        <f>IFERROR(__xludf.DUMMYFUNCTION("""COMPUTED_VALUE"""),12400.0)</f>
        <v>12400</v>
      </c>
      <c r="E1686" s="1">
        <f>IFERROR(__xludf.DUMMYFUNCTION("""COMPUTED_VALUE"""),12950.0)</f>
        <v>12950</v>
      </c>
      <c r="F1686" s="1">
        <f>IFERROR(__xludf.DUMMYFUNCTION("""COMPUTED_VALUE"""),166842.0)</f>
        <v>166842</v>
      </c>
    </row>
    <row r="1687">
      <c r="A1687" s="2">
        <f>IFERROR(__xludf.DUMMYFUNCTION("""COMPUTED_VALUE"""),43419.6875)</f>
        <v>43419.6875</v>
      </c>
      <c r="B1687" s="1">
        <f>IFERROR(__xludf.DUMMYFUNCTION("""COMPUTED_VALUE"""),12650.0)</f>
        <v>12650</v>
      </c>
      <c r="C1687" s="1">
        <f>IFERROR(__xludf.DUMMYFUNCTION("""COMPUTED_VALUE"""),13050.0)</f>
        <v>13050</v>
      </c>
      <c r="D1687" s="1">
        <f>IFERROR(__xludf.DUMMYFUNCTION("""COMPUTED_VALUE"""),11850.0)</f>
        <v>11850</v>
      </c>
      <c r="E1687" s="1">
        <f>IFERROR(__xludf.DUMMYFUNCTION("""COMPUTED_VALUE"""),12000.0)</f>
        <v>12000</v>
      </c>
      <c r="F1687" s="1">
        <f>IFERROR(__xludf.DUMMYFUNCTION("""COMPUTED_VALUE"""),330364.0)</f>
        <v>330364</v>
      </c>
    </row>
    <row r="1688">
      <c r="A1688" s="2">
        <f>IFERROR(__xludf.DUMMYFUNCTION("""COMPUTED_VALUE"""),43420.64583333333)</f>
        <v>43420.64583</v>
      </c>
      <c r="B1688" s="1">
        <f>IFERROR(__xludf.DUMMYFUNCTION("""COMPUTED_VALUE"""),12050.0)</f>
        <v>12050</v>
      </c>
      <c r="C1688" s="1">
        <f>IFERROR(__xludf.DUMMYFUNCTION("""COMPUTED_VALUE"""),12450.0)</f>
        <v>12450</v>
      </c>
      <c r="D1688" s="1">
        <f>IFERROR(__xludf.DUMMYFUNCTION("""COMPUTED_VALUE"""),12050.0)</f>
        <v>12050</v>
      </c>
      <c r="E1688" s="1">
        <f>IFERROR(__xludf.DUMMYFUNCTION("""COMPUTED_VALUE"""),12400.0)</f>
        <v>12400</v>
      </c>
      <c r="F1688" s="1">
        <f>IFERROR(__xludf.DUMMYFUNCTION("""COMPUTED_VALUE"""),83322.0)</f>
        <v>83322</v>
      </c>
    </row>
    <row r="1689">
      <c r="A1689" s="2">
        <f>IFERROR(__xludf.DUMMYFUNCTION("""COMPUTED_VALUE"""),43423.64583333333)</f>
        <v>43423.64583</v>
      </c>
      <c r="B1689" s="1">
        <f>IFERROR(__xludf.DUMMYFUNCTION("""COMPUTED_VALUE"""),12400.0)</f>
        <v>12400</v>
      </c>
      <c r="C1689" s="1">
        <f>IFERROR(__xludf.DUMMYFUNCTION("""COMPUTED_VALUE"""),12650.0)</f>
        <v>12650</v>
      </c>
      <c r="D1689" s="1">
        <f>IFERROR(__xludf.DUMMYFUNCTION("""COMPUTED_VALUE"""),12350.0)</f>
        <v>12350</v>
      </c>
      <c r="E1689" s="1">
        <f>IFERROR(__xludf.DUMMYFUNCTION("""COMPUTED_VALUE"""),12350.0)</f>
        <v>12350</v>
      </c>
      <c r="F1689" s="1">
        <f>IFERROR(__xludf.DUMMYFUNCTION("""COMPUTED_VALUE"""),53309.0)</f>
        <v>53309</v>
      </c>
    </row>
    <row r="1690">
      <c r="A1690" s="2">
        <f>IFERROR(__xludf.DUMMYFUNCTION("""COMPUTED_VALUE"""),43424.64583333333)</f>
        <v>43424.64583</v>
      </c>
      <c r="B1690" s="1">
        <f>IFERROR(__xludf.DUMMYFUNCTION("""COMPUTED_VALUE"""),12400.0)</f>
        <v>12400</v>
      </c>
      <c r="C1690" s="1">
        <f>IFERROR(__xludf.DUMMYFUNCTION("""COMPUTED_VALUE"""),13000.0)</f>
        <v>13000</v>
      </c>
      <c r="D1690" s="1">
        <f>IFERROR(__xludf.DUMMYFUNCTION("""COMPUTED_VALUE"""),12200.0)</f>
        <v>12200</v>
      </c>
      <c r="E1690" s="1">
        <f>IFERROR(__xludf.DUMMYFUNCTION("""COMPUTED_VALUE"""),12700.0)</f>
        <v>12700</v>
      </c>
      <c r="F1690" s="1">
        <f>IFERROR(__xludf.DUMMYFUNCTION("""COMPUTED_VALUE"""),105196.0)</f>
        <v>105196</v>
      </c>
    </row>
    <row r="1691">
      <c r="A1691" s="2">
        <f>IFERROR(__xludf.DUMMYFUNCTION("""COMPUTED_VALUE"""),43425.64583333333)</f>
        <v>43425.64583</v>
      </c>
      <c r="B1691" s="1">
        <f>IFERROR(__xludf.DUMMYFUNCTION("""COMPUTED_VALUE"""),12550.0)</f>
        <v>12550</v>
      </c>
      <c r="C1691" s="1">
        <f>IFERROR(__xludf.DUMMYFUNCTION("""COMPUTED_VALUE"""),12800.0)</f>
        <v>12800</v>
      </c>
      <c r="D1691" s="1">
        <f>IFERROR(__xludf.DUMMYFUNCTION("""COMPUTED_VALUE"""),12450.0)</f>
        <v>12450</v>
      </c>
      <c r="E1691" s="1">
        <f>IFERROR(__xludf.DUMMYFUNCTION("""COMPUTED_VALUE"""),12550.0)</f>
        <v>12550</v>
      </c>
      <c r="F1691" s="1">
        <f>IFERROR(__xludf.DUMMYFUNCTION("""COMPUTED_VALUE"""),61989.0)</f>
        <v>61989</v>
      </c>
    </row>
    <row r="1692">
      <c r="A1692" s="2">
        <f>IFERROR(__xludf.DUMMYFUNCTION("""COMPUTED_VALUE"""),43426.64583333333)</f>
        <v>43426.64583</v>
      </c>
      <c r="B1692" s="1">
        <f>IFERROR(__xludf.DUMMYFUNCTION("""COMPUTED_VALUE"""),12650.0)</f>
        <v>12650</v>
      </c>
      <c r="C1692" s="1">
        <f>IFERROR(__xludf.DUMMYFUNCTION("""COMPUTED_VALUE"""),12650.0)</f>
        <v>12650</v>
      </c>
      <c r="D1692" s="1">
        <f>IFERROR(__xludf.DUMMYFUNCTION("""COMPUTED_VALUE"""),12150.0)</f>
        <v>12150</v>
      </c>
      <c r="E1692" s="1">
        <f>IFERROR(__xludf.DUMMYFUNCTION("""COMPUTED_VALUE"""),12250.0)</f>
        <v>12250</v>
      </c>
      <c r="F1692" s="1">
        <f>IFERROR(__xludf.DUMMYFUNCTION("""COMPUTED_VALUE"""),81360.0)</f>
        <v>81360</v>
      </c>
    </row>
    <row r="1693">
      <c r="A1693" s="2">
        <f>IFERROR(__xludf.DUMMYFUNCTION("""COMPUTED_VALUE"""),43427.64583333333)</f>
        <v>43427.64583</v>
      </c>
      <c r="B1693" s="1">
        <f>IFERROR(__xludf.DUMMYFUNCTION("""COMPUTED_VALUE"""),12300.0)</f>
        <v>12300</v>
      </c>
      <c r="C1693" s="1">
        <f>IFERROR(__xludf.DUMMYFUNCTION("""COMPUTED_VALUE"""),12450.0)</f>
        <v>12450</v>
      </c>
      <c r="D1693" s="1">
        <f>IFERROR(__xludf.DUMMYFUNCTION("""COMPUTED_VALUE"""),12150.0)</f>
        <v>12150</v>
      </c>
      <c r="E1693" s="1">
        <f>IFERROR(__xludf.DUMMYFUNCTION("""COMPUTED_VALUE"""),12150.0)</f>
        <v>12150</v>
      </c>
      <c r="F1693" s="1">
        <f>IFERROR(__xludf.DUMMYFUNCTION("""COMPUTED_VALUE"""),74563.0)</f>
        <v>74563</v>
      </c>
    </row>
    <row r="1694">
      <c r="A1694" s="2">
        <f>IFERROR(__xludf.DUMMYFUNCTION("""COMPUTED_VALUE"""),43430.64583333333)</f>
        <v>43430.64583</v>
      </c>
      <c r="B1694" s="1">
        <f>IFERROR(__xludf.DUMMYFUNCTION("""COMPUTED_VALUE"""),12100.0)</f>
        <v>12100</v>
      </c>
      <c r="C1694" s="1">
        <f>IFERROR(__xludf.DUMMYFUNCTION("""COMPUTED_VALUE"""),13200.0)</f>
        <v>13200</v>
      </c>
      <c r="D1694" s="1">
        <f>IFERROR(__xludf.DUMMYFUNCTION("""COMPUTED_VALUE"""),12100.0)</f>
        <v>12100</v>
      </c>
      <c r="E1694" s="1">
        <f>IFERROR(__xludf.DUMMYFUNCTION("""COMPUTED_VALUE"""),13150.0)</f>
        <v>13150</v>
      </c>
      <c r="F1694" s="1">
        <f>IFERROR(__xludf.DUMMYFUNCTION("""COMPUTED_VALUE"""),344902.0)</f>
        <v>344902</v>
      </c>
    </row>
    <row r="1695">
      <c r="A1695" s="2">
        <f>IFERROR(__xludf.DUMMYFUNCTION("""COMPUTED_VALUE"""),43431.64583333333)</f>
        <v>43431.64583</v>
      </c>
      <c r="B1695" s="1">
        <f>IFERROR(__xludf.DUMMYFUNCTION("""COMPUTED_VALUE"""),13400.0)</f>
        <v>13400</v>
      </c>
      <c r="C1695" s="1">
        <f>IFERROR(__xludf.DUMMYFUNCTION("""COMPUTED_VALUE"""),14400.0)</f>
        <v>14400</v>
      </c>
      <c r="D1695" s="1">
        <f>IFERROR(__xludf.DUMMYFUNCTION("""COMPUTED_VALUE"""),13250.0)</f>
        <v>13250</v>
      </c>
      <c r="E1695" s="1">
        <f>IFERROR(__xludf.DUMMYFUNCTION("""COMPUTED_VALUE"""),13950.0)</f>
        <v>13950</v>
      </c>
      <c r="F1695" s="1">
        <f>IFERROR(__xludf.DUMMYFUNCTION("""COMPUTED_VALUE"""),1178533.0)</f>
        <v>1178533</v>
      </c>
    </row>
    <row r="1696">
      <c r="A1696" s="2">
        <f>IFERROR(__xludf.DUMMYFUNCTION("""COMPUTED_VALUE"""),43432.64583333333)</f>
        <v>43432.64583</v>
      </c>
      <c r="B1696" s="1">
        <f>IFERROR(__xludf.DUMMYFUNCTION("""COMPUTED_VALUE"""),14000.0)</f>
        <v>14000</v>
      </c>
      <c r="C1696" s="1">
        <f>IFERROR(__xludf.DUMMYFUNCTION("""COMPUTED_VALUE"""),14200.0)</f>
        <v>14200</v>
      </c>
      <c r="D1696" s="1">
        <f>IFERROR(__xludf.DUMMYFUNCTION("""COMPUTED_VALUE"""),13650.0)</f>
        <v>13650</v>
      </c>
      <c r="E1696" s="1">
        <f>IFERROR(__xludf.DUMMYFUNCTION("""COMPUTED_VALUE"""),13900.0)</f>
        <v>13900</v>
      </c>
      <c r="F1696" s="1">
        <f>IFERROR(__xludf.DUMMYFUNCTION("""COMPUTED_VALUE"""),249701.0)</f>
        <v>249701</v>
      </c>
    </row>
    <row r="1697">
      <c r="A1697" s="2">
        <f>IFERROR(__xludf.DUMMYFUNCTION("""COMPUTED_VALUE"""),43433.64583333333)</f>
        <v>43433.64583</v>
      </c>
      <c r="B1697" s="1">
        <f>IFERROR(__xludf.DUMMYFUNCTION("""COMPUTED_VALUE"""),13800.0)</f>
        <v>13800</v>
      </c>
      <c r="C1697" s="1">
        <f>IFERROR(__xludf.DUMMYFUNCTION("""COMPUTED_VALUE"""),14050.0)</f>
        <v>14050</v>
      </c>
      <c r="D1697" s="1">
        <f>IFERROR(__xludf.DUMMYFUNCTION("""COMPUTED_VALUE"""),13500.0)</f>
        <v>13500</v>
      </c>
      <c r="E1697" s="1">
        <f>IFERROR(__xludf.DUMMYFUNCTION("""COMPUTED_VALUE"""),13500.0)</f>
        <v>13500</v>
      </c>
      <c r="F1697" s="1">
        <f>IFERROR(__xludf.DUMMYFUNCTION("""COMPUTED_VALUE"""),194129.0)</f>
        <v>194129</v>
      </c>
    </row>
    <row r="1698">
      <c r="A1698" s="2">
        <f>IFERROR(__xludf.DUMMYFUNCTION("""COMPUTED_VALUE"""),43434.64583333333)</f>
        <v>43434.64583</v>
      </c>
      <c r="B1698" s="1">
        <f>IFERROR(__xludf.DUMMYFUNCTION("""COMPUTED_VALUE"""),13600.0)</f>
        <v>13600</v>
      </c>
      <c r="C1698" s="1">
        <f>IFERROR(__xludf.DUMMYFUNCTION("""COMPUTED_VALUE"""),13800.0)</f>
        <v>13800</v>
      </c>
      <c r="D1698" s="1">
        <f>IFERROR(__xludf.DUMMYFUNCTION("""COMPUTED_VALUE"""),13250.0)</f>
        <v>13250</v>
      </c>
      <c r="E1698" s="1">
        <f>IFERROR(__xludf.DUMMYFUNCTION("""COMPUTED_VALUE"""),13550.0)</f>
        <v>13550</v>
      </c>
      <c r="F1698" s="1">
        <f>IFERROR(__xludf.DUMMYFUNCTION("""COMPUTED_VALUE"""),195384.0)</f>
        <v>195384</v>
      </c>
    </row>
    <row r="1699">
      <c r="A1699" s="2">
        <f>IFERROR(__xludf.DUMMYFUNCTION("""COMPUTED_VALUE"""),43437.64583333333)</f>
        <v>43437.64583</v>
      </c>
      <c r="B1699" s="1">
        <f>IFERROR(__xludf.DUMMYFUNCTION("""COMPUTED_VALUE"""),13650.0)</f>
        <v>13650</v>
      </c>
      <c r="C1699" s="1">
        <f>IFERROR(__xludf.DUMMYFUNCTION("""COMPUTED_VALUE"""),13800.0)</f>
        <v>13800</v>
      </c>
      <c r="D1699" s="1">
        <f>IFERROR(__xludf.DUMMYFUNCTION("""COMPUTED_VALUE"""),13200.0)</f>
        <v>13200</v>
      </c>
      <c r="E1699" s="1">
        <f>IFERROR(__xludf.DUMMYFUNCTION("""COMPUTED_VALUE"""),13300.0)</f>
        <v>13300</v>
      </c>
      <c r="F1699" s="1">
        <f>IFERROR(__xludf.DUMMYFUNCTION("""COMPUTED_VALUE"""),194359.0)</f>
        <v>194359</v>
      </c>
    </row>
    <row r="1700">
      <c r="A1700" s="2">
        <f>IFERROR(__xludf.DUMMYFUNCTION("""COMPUTED_VALUE"""),43438.64583333333)</f>
        <v>43438.64583</v>
      </c>
      <c r="B1700" s="1">
        <f>IFERROR(__xludf.DUMMYFUNCTION("""COMPUTED_VALUE"""),13400.0)</f>
        <v>13400</v>
      </c>
      <c r="C1700" s="1">
        <f>IFERROR(__xludf.DUMMYFUNCTION("""COMPUTED_VALUE"""),13700.0)</f>
        <v>13700</v>
      </c>
      <c r="D1700" s="1">
        <f>IFERROR(__xludf.DUMMYFUNCTION("""COMPUTED_VALUE"""),13100.0)</f>
        <v>13100</v>
      </c>
      <c r="E1700" s="1">
        <f>IFERROR(__xludf.DUMMYFUNCTION("""COMPUTED_VALUE"""),13150.0)</f>
        <v>13150</v>
      </c>
      <c r="F1700" s="1">
        <f>IFERROR(__xludf.DUMMYFUNCTION("""COMPUTED_VALUE"""),144763.0)</f>
        <v>144763</v>
      </c>
    </row>
    <row r="1701">
      <c r="A1701" s="2">
        <f>IFERROR(__xludf.DUMMYFUNCTION("""COMPUTED_VALUE"""),43439.64583333333)</f>
        <v>43439.64583</v>
      </c>
      <c r="B1701" s="1">
        <f>IFERROR(__xludf.DUMMYFUNCTION("""COMPUTED_VALUE"""),12900.0)</f>
        <v>12900</v>
      </c>
      <c r="C1701" s="1">
        <f>IFERROR(__xludf.DUMMYFUNCTION("""COMPUTED_VALUE"""),13000.0)</f>
        <v>13000</v>
      </c>
      <c r="D1701" s="1">
        <f>IFERROR(__xludf.DUMMYFUNCTION("""COMPUTED_VALUE"""),12450.0)</f>
        <v>12450</v>
      </c>
      <c r="E1701" s="1">
        <f>IFERROR(__xludf.DUMMYFUNCTION("""COMPUTED_VALUE"""),12550.0)</f>
        <v>12550</v>
      </c>
      <c r="F1701" s="1">
        <f>IFERROR(__xludf.DUMMYFUNCTION("""COMPUTED_VALUE"""),193564.0)</f>
        <v>193564</v>
      </c>
    </row>
    <row r="1702">
      <c r="A1702" s="2">
        <f>IFERROR(__xludf.DUMMYFUNCTION("""COMPUTED_VALUE"""),43440.64583333333)</f>
        <v>43440.64583</v>
      </c>
      <c r="B1702" s="1">
        <f>IFERROR(__xludf.DUMMYFUNCTION("""COMPUTED_VALUE"""),12550.0)</f>
        <v>12550</v>
      </c>
      <c r="C1702" s="1">
        <f>IFERROR(__xludf.DUMMYFUNCTION("""COMPUTED_VALUE"""),12550.0)</f>
        <v>12550</v>
      </c>
      <c r="D1702" s="1">
        <f>IFERROR(__xludf.DUMMYFUNCTION("""COMPUTED_VALUE"""),11850.0)</f>
        <v>11850</v>
      </c>
      <c r="E1702" s="1">
        <f>IFERROR(__xludf.DUMMYFUNCTION("""COMPUTED_VALUE"""),11950.0)</f>
        <v>11950</v>
      </c>
      <c r="F1702" s="1">
        <f>IFERROR(__xludf.DUMMYFUNCTION("""COMPUTED_VALUE"""),121361.0)</f>
        <v>121361</v>
      </c>
    </row>
    <row r="1703">
      <c r="A1703" s="2">
        <f>IFERROR(__xludf.DUMMYFUNCTION("""COMPUTED_VALUE"""),43441.64583333333)</f>
        <v>43441.64583</v>
      </c>
      <c r="B1703" s="1">
        <f>IFERROR(__xludf.DUMMYFUNCTION("""COMPUTED_VALUE"""),12100.0)</f>
        <v>12100</v>
      </c>
      <c r="C1703" s="1">
        <f>IFERROR(__xludf.DUMMYFUNCTION("""COMPUTED_VALUE"""),12350.0)</f>
        <v>12350</v>
      </c>
      <c r="D1703" s="1">
        <f>IFERROR(__xludf.DUMMYFUNCTION("""COMPUTED_VALUE"""),11550.0)</f>
        <v>11550</v>
      </c>
      <c r="E1703" s="1">
        <f>IFERROR(__xludf.DUMMYFUNCTION("""COMPUTED_VALUE"""),11600.0)</f>
        <v>11600</v>
      </c>
      <c r="F1703" s="1">
        <f>IFERROR(__xludf.DUMMYFUNCTION("""COMPUTED_VALUE"""),149369.0)</f>
        <v>149369</v>
      </c>
    </row>
    <row r="1704">
      <c r="A1704" s="2">
        <f>IFERROR(__xludf.DUMMYFUNCTION("""COMPUTED_VALUE"""),43444.64583333333)</f>
        <v>43444.64583</v>
      </c>
      <c r="B1704" s="1">
        <f>IFERROR(__xludf.DUMMYFUNCTION("""COMPUTED_VALUE"""),11400.0)</f>
        <v>11400</v>
      </c>
      <c r="C1704" s="1">
        <f>IFERROR(__xludf.DUMMYFUNCTION("""COMPUTED_VALUE"""),11800.0)</f>
        <v>11800</v>
      </c>
      <c r="D1704" s="1">
        <f>IFERROR(__xludf.DUMMYFUNCTION("""COMPUTED_VALUE"""),11300.0)</f>
        <v>11300</v>
      </c>
      <c r="E1704" s="1">
        <f>IFERROR(__xludf.DUMMYFUNCTION("""COMPUTED_VALUE"""),11400.0)</f>
        <v>11400</v>
      </c>
      <c r="F1704" s="1">
        <f>IFERROR(__xludf.DUMMYFUNCTION("""COMPUTED_VALUE"""),90903.0)</f>
        <v>90903</v>
      </c>
    </row>
    <row r="1705">
      <c r="A1705" s="2">
        <f>IFERROR(__xludf.DUMMYFUNCTION("""COMPUTED_VALUE"""),43445.64583333333)</f>
        <v>43445.64583</v>
      </c>
      <c r="B1705" s="1">
        <f>IFERROR(__xludf.DUMMYFUNCTION("""COMPUTED_VALUE"""),11650.0)</f>
        <v>11650</v>
      </c>
      <c r="C1705" s="1">
        <f>IFERROR(__xludf.DUMMYFUNCTION("""COMPUTED_VALUE"""),11800.0)</f>
        <v>11800</v>
      </c>
      <c r="D1705" s="1">
        <f>IFERROR(__xludf.DUMMYFUNCTION("""COMPUTED_VALUE"""),11400.0)</f>
        <v>11400</v>
      </c>
      <c r="E1705" s="1">
        <f>IFERROR(__xludf.DUMMYFUNCTION("""COMPUTED_VALUE"""),11700.0)</f>
        <v>11700</v>
      </c>
      <c r="F1705" s="1">
        <f>IFERROR(__xludf.DUMMYFUNCTION("""COMPUTED_VALUE"""),145242.0)</f>
        <v>145242</v>
      </c>
    </row>
    <row r="1706">
      <c r="A1706" s="2">
        <f>IFERROR(__xludf.DUMMYFUNCTION("""COMPUTED_VALUE"""),43446.64583333333)</f>
        <v>43446.64583</v>
      </c>
      <c r="B1706" s="1">
        <f>IFERROR(__xludf.DUMMYFUNCTION("""COMPUTED_VALUE"""),11900.0)</f>
        <v>11900</v>
      </c>
      <c r="C1706" s="1">
        <f>IFERROR(__xludf.DUMMYFUNCTION("""COMPUTED_VALUE"""),12400.0)</f>
        <v>12400</v>
      </c>
      <c r="D1706" s="1">
        <f>IFERROR(__xludf.DUMMYFUNCTION("""COMPUTED_VALUE"""),11650.0)</f>
        <v>11650</v>
      </c>
      <c r="E1706" s="1">
        <f>IFERROR(__xludf.DUMMYFUNCTION("""COMPUTED_VALUE"""),11750.0)</f>
        <v>11750</v>
      </c>
      <c r="F1706" s="1">
        <f>IFERROR(__xludf.DUMMYFUNCTION("""COMPUTED_VALUE"""),158145.0)</f>
        <v>158145</v>
      </c>
    </row>
    <row r="1707">
      <c r="A1707" s="2">
        <f>IFERROR(__xludf.DUMMYFUNCTION("""COMPUTED_VALUE"""),43447.64583333333)</f>
        <v>43447.64583</v>
      </c>
      <c r="B1707" s="1">
        <f>IFERROR(__xludf.DUMMYFUNCTION("""COMPUTED_VALUE"""),11950.0)</f>
        <v>11950</v>
      </c>
      <c r="C1707" s="1">
        <f>IFERROR(__xludf.DUMMYFUNCTION("""COMPUTED_VALUE"""),12450.0)</f>
        <v>12450</v>
      </c>
      <c r="D1707" s="1">
        <f>IFERROR(__xludf.DUMMYFUNCTION("""COMPUTED_VALUE"""),11800.0)</f>
        <v>11800</v>
      </c>
      <c r="E1707" s="1">
        <f>IFERROR(__xludf.DUMMYFUNCTION("""COMPUTED_VALUE"""),12050.0)</f>
        <v>12050</v>
      </c>
      <c r="F1707" s="1">
        <f>IFERROR(__xludf.DUMMYFUNCTION("""COMPUTED_VALUE"""),248831.0)</f>
        <v>248831</v>
      </c>
    </row>
    <row r="1708">
      <c r="A1708" s="2">
        <f>IFERROR(__xludf.DUMMYFUNCTION("""COMPUTED_VALUE"""),43448.64583333333)</f>
        <v>43448.64583</v>
      </c>
      <c r="B1708" s="1">
        <f>IFERROR(__xludf.DUMMYFUNCTION("""COMPUTED_VALUE"""),12000.0)</f>
        <v>12000</v>
      </c>
      <c r="C1708" s="1">
        <f>IFERROR(__xludf.DUMMYFUNCTION("""COMPUTED_VALUE"""),12150.0)</f>
        <v>12150</v>
      </c>
      <c r="D1708" s="1">
        <f>IFERROR(__xludf.DUMMYFUNCTION("""COMPUTED_VALUE"""),11550.0)</f>
        <v>11550</v>
      </c>
      <c r="E1708" s="1">
        <f>IFERROR(__xludf.DUMMYFUNCTION("""COMPUTED_VALUE"""),11700.0)</f>
        <v>11700</v>
      </c>
      <c r="F1708" s="1">
        <f>IFERROR(__xludf.DUMMYFUNCTION("""COMPUTED_VALUE"""),93505.0)</f>
        <v>93505</v>
      </c>
    </row>
    <row r="1709">
      <c r="A1709" s="2">
        <f>IFERROR(__xludf.DUMMYFUNCTION("""COMPUTED_VALUE"""),43451.64583333333)</f>
        <v>43451.64583</v>
      </c>
      <c r="B1709" s="1">
        <f>IFERROR(__xludf.DUMMYFUNCTION("""COMPUTED_VALUE"""),11700.0)</f>
        <v>11700</v>
      </c>
      <c r="C1709" s="1">
        <f>IFERROR(__xludf.DUMMYFUNCTION("""COMPUTED_VALUE"""),11700.0)</f>
        <v>11700</v>
      </c>
      <c r="D1709" s="1">
        <f>IFERROR(__xludf.DUMMYFUNCTION("""COMPUTED_VALUE"""),11250.0)</f>
        <v>11250</v>
      </c>
      <c r="E1709" s="1">
        <f>IFERROR(__xludf.DUMMYFUNCTION("""COMPUTED_VALUE"""),11350.0)</f>
        <v>11350</v>
      </c>
      <c r="F1709" s="1">
        <f>IFERROR(__xludf.DUMMYFUNCTION("""COMPUTED_VALUE"""),93344.0)</f>
        <v>93344</v>
      </c>
    </row>
    <row r="1710">
      <c r="A1710" s="2">
        <f>IFERROR(__xludf.DUMMYFUNCTION("""COMPUTED_VALUE"""),43452.64583333333)</f>
        <v>43452.64583</v>
      </c>
      <c r="B1710" s="1">
        <f>IFERROR(__xludf.DUMMYFUNCTION("""COMPUTED_VALUE"""),11250.0)</f>
        <v>11250</v>
      </c>
      <c r="C1710" s="1">
        <f>IFERROR(__xludf.DUMMYFUNCTION("""COMPUTED_VALUE"""),11300.0)</f>
        <v>11300</v>
      </c>
      <c r="D1710" s="1">
        <f>IFERROR(__xludf.DUMMYFUNCTION("""COMPUTED_VALUE"""),10350.0)</f>
        <v>10350</v>
      </c>
      <c r="E1710" s="1">
        <f>IFERROR(__xludf.DUMMYFUNCTION("""COMPUTED_VALUE"""),10650.0)</f>
        <v>10650</v>
      </c>
      <c r="F1710" s="1">
        <f>IFERROR(__xludf.DUMMYFUNCTION("""COMPUTED_VALUE"""),329723.0)</f>
        <v>329723</v>
      </c>
    </row>
    <row r="1711">
      <c r="A1711" s="2">
        <f>IFERROR(__xludf.DUMMYFUNCTION("""COMPUTED_VALUE"""),43453.64583333333)</f>
        <v>43453.64583</v>
      </c>
      <c r="B1711" s="1">
        <f>IFERROR(__xludf.DUMMYFUNCTION("""COMPUTED_VALUE"""),10750.0)</f>
        <v>10750</v>
      </c>
      <c r="C1711" s="1">
        <f>IFERROR(__xludf.DUMMYFUNCTION("""COMPUTED_VALUE"""),11150.0)</f>
        <v>11150</v>
      </c>
      <c r="D1711" s="1">
        <f>IFERROR(__xludf.DUMMYFUNCTION("""COMPUTED_VALUE"""),10550.0)</f>
        <v>10550</v>
      </c>
      <c r="E1711" s="1">
        <f>IFERROR(__xludf.DUMMYFUNCTION("""COMPUTED_VALUE"""),11000.0)</f>
        <v>11000</v>
      </c>
      <c r="F1711" s="1">
        <f>IFERROR(__xludf.DUMMYFUNCTION("""COMPUTED_VALUE"""),72035.0)</f>
        <v>72035</v>
      </c>
    </row>
    <row r="1712">
      <c r="A1712" s="2">
        <f>IFERROR(__xludf.DUMMYFUNCTION("""COMPUTED_VALUE"""),43454.64583333333)</f>
        <v>43454.64583</v>
      </c>
      <c r="B1712" s="1">
        <f>IFERROR(__xludf.DUMMYFUNCTION("""COMPUTED_VALUE"""),10850.0)</f>
        <v>10850</v>
      </c>
      <c r="C1712" s="1">
        <f>IFERROR(__xludf.DUMMYFUNCTION("""COMPUTED_VALUE"""),11150.0)</f>
        <v>11150</v>
      </c>
      <c r="D1712" s="1">
        <f>IFERROR(__xludf.DUMMYFUNCTION("""COMPUTED_VALUE"""),10700.0)</f>
        <v>10700</v>
      </c>
      <c r="E1712" s="1">
        <f>IFERROR(__xludf.DUMMYFUNCTION("""COMPUTED_VALUE"""),10900.0)</f>
        <v>10900</v>
      </c>
      <c r="F1712" s="1">
        <f>IFERROR(__xludf.DUMMYFUNCTION("""COMPUTED_VALUE"""),59292.0)</f>
        <v>59292</v>
      </c>
    </row>
    <row r="1713">
      <c r="A1713" s="2">
        <f>IFERROR(__xludf.DUMMYFUNCTION("""COMPUTED_VALUE"""),43455.64583333333)</f>
        <v>43455.64583</v>
      </c>
      <c r="B1713" s="1">
        <f>IFERROR(__xludf.DUMMYFUNCTION("""COMPUTED_VALUE"""),10700.0)</f>
        <v>10700</v>
      </c>
      <c r="C1713" s="1">
        <f>IFERROR(__xludf.DUMMYFUNCTION("""COMPUTED_VALUE"""),10950.0)</f>
        <v>10950</v>
      </c>
      <c r="D1713" s="1">
        <f>IFERROR(__xludf.DUMMYFUNCTION("""COMPUTED_VALUE"""),10600.0)</f>
        <v>10600</v>
      </c>
      <c r="E1713" s="1">
        <f>IFERROR(__xludf.DUMMYFUNCTION("""COMPUTED_VALUE"""),10750.0)</f>
        <v>10750</v>
      </c>
      <c r="F1713" s="1">
        <f>IFERROR(__xludf.DUMMYFUNCTION("""COMPUTED_VALUE"""),55152.0)</f>
        <v>55152</v>
      </c>
    </row>
    <row r="1714">
      <c r="A1714" s="2">
        <f>IFERROR(__xludf.DUMMYFUNCTION("""COMPUTED_VALUE"""),43458.64583333333)</f>
        <v>43458.64583</v>
      </c>
      <c r="B1714" s="1">
        <f>IFERROR(__xludf.DUMMYFUNCTION("""COMPUTED_VALUE"""),10700.0)</f>
        <v>10700</v>
      </c>
      <c r="C1714" s="1">
        <f>IFERROR(__xludf.DUMMYFUNCTION("""COMPUTED_VALUE"""),10800.0)</f>
        <v>10800</v>
      </c>
      <c r="D1714" s="1">
        <f>IFERROR(__xludf.DUMMYFUNCTION("""COMPUTED_VALUE"""),10450.0)</f>
        <v>10450</v>
      </c>
      <c r="E1714" s="1">
        <f>IFERROR(__xludf.DUMMYFUNCTION("""COMPUTED_VALUE"""),10550.0)</f>
        <v>10550</v>
      </c>
      <c r="F1714" s="1">
        <f>IFERROR(__xludf.DUMMYFUNCTION("""COMPUTED_VALUE"""),45154.0)</f>
        <v>45154</v>
      </c>
    </row>
    <row r="1715">
      <c r="A1715" s="2">
        <f>IFERROR(__xludf.DUMMYFUNCTION("""COMPUTED_VALUE"""),43460.64583333333)</f>
        <v>43460.64583</v>
      </c>
      <c r="B1715" s="1">
        <f>IFERROR(__xludf.DUMMYFUNCTION("""COMPUTED_VALUE"""),10450.0)</f>
        <v>10450</v>
      </c>
      <c r="C1715" s="1">
        <f>IFERROR(__xludf.DUMMYFUNCTION("""COMPUTED_VALUE"""),10700.0)</f>
        <v>10700</v>
      </c>
      <c r="D1715" s="1">
        <f>IFERROR(__xludf.DUMMYFUNCTION("""COMPUTED_VALUE"""),10250.0)</f>
        <v>10250</v>
      </c>
      <c r="E1715" s="1">
        <f>IFERROR(__xludf.DUMMYFUNCTION("""COMPUTED_VALUE"""),10350.0)</f>
        <v>10350</v>
      </c>
      <c r="F1715" s="1">
        <f>IFERROR(__xludf.DUMMYFUNCTION("""COMPUTED_VALUE"""),67908.0)</f>
        <v>67908</v>
      </c>
    </row>
    <row r="1716">
      <c r="A1716" s="2">
        <f>IFERROR(__xludf.DUMMYFUNCTION("""COMPUTED_VALUE"""),43461.64583333333)</f>
        <v>43461.64583</v>
      </c>
      <c r="B1716" s="1">
        <f>IFERROR(__xludf.DUMMYFUNCTION("""COMPUTED_VALUE"""),10500.0)</f>
        <v>10500</v>
      </c>
      <c r="C1716" s="1">
        <f>IFERROR(__xludf.DUMMYFUNCTION("""COMPUTED_VALUE"""),10750.0)</f>
        <v>10750</v>
      </c>
      <c r="D1716" s="1">
        <f>IFERROR(__xludf.DUMMYFUNCTION("""COMPUTED_VALUE"""),10350.0)</f>
        <v>10350</v>
      </c>
      <c r="E1716" s="1">
        <f>IFERROR(__xludf.DUMMYFUNCTION("""COMPUTED_VALUE"""),10500.0)</f>
        <v>10500</v>
      </c>
      <c r="F1716" s="1">
        <f>IFERROR(__xludf.DUMMYFUNCTION("""COMPUTED_VALUE"""),47749.0)</f>
        <v>47749</v>
      </c>
    </row>
    <row r="1717">
      <c r="A1717" s="2">
        <f>IFERROR(__xludf.DUMMYFUNCTION("""COMPUTED_VALUE"""),43462.64583333333)</f>
        <v>43462.64583</v>
      </c>
      <c r="B1717" s="1">
        <f>IFERROR(__xludf.DUMMYFUNCTION("""COMPUTED_VALUE"""),10500.0)</f>
        <v>10500</v>
      </c>
      <c r="C1717" s="1">
        <f>IFERROR(__xludf.DUMMYFUNCTION("""COMPUTED_VALUE"""),11100.0)</f>
        <v>11100</v>
      </c>
      <c r="D1717" s="1">
        <f>IFERROR(__xludf.DUMMYFUNCTION("""COMPUTED_VALUE"""),10500.0)</f>
        <v>10500</v>
      </c>
      <c r="E1717" s="1">
        <f>IFERROR(__xludf.DUMMYFUNCTION("""COMPUTED_VALUE"""),11100.0)</f>
        <v>11100</v>
      </c>
      <c r="F1717" s="1">
        <f>IFERROR(__xludf.DUMMYFUNCTION("""COMPUTED_VALUE"""),83363.0)</f>
        <v>83363</v>
      </c>
    </row>
    <row r="1718">
      <c r="A1718" s="2">
        <f>IFERROR(__xludf.DUMMYFUNCTION("""COMPUTED_VALUE"""),43467.64583333333)</f>
        <v>43467.64583</v>
      </c>
      <c r="B1718" s="1">
        <f>IFERROR(__xludf.DUMMYFUNCTION("""COMPUTED_VALUE"""),11250.0)</f>
        <v>11250</v>
      </c>
      <c r="C1718" s="1">
        <f>IFERROR(__xludf.DUMMYFUNCTION("""COMPUTED_VALUE"""),11550.0)</f>
        <v>11550</v>
      </c>
      <c r="D1718" s="1">
        <f>IFERROR(__xludf.DUMMYFUNCTION("""COMPUTED_VALUE"""),11200.0)</f>
        <v>11200</v>
      </c>
      <c r="E1718" s="1">
        <f>IFERROR(__xludf.DUMMYFUNCTION("""COMPUTED_VALUE"""),11350.0)</f>
        <v>11350</v>
      </c>
      <c r="F1718" s="1">
        <f>IFERROR(__xludf.DUMMYFUNCTION("""COMPUTED_VALUE"""),125292.0)</f>
        <v>125292</v>
      </c>
    </row>
    <row r="1719">
      <c r="A1719" s="2">
        <f>IFERROR(__xludf.DUMMYFUNCTION("""COMPUTED_VALUE"""),43468.64583333333)</f>
        <v>43468.64583</v>
      </c>
      <c r="B1719" s="1">
        <f>IFERROR(__xludf.DUMMYFUNCTION("""COMPUTED_VALUE"""),11350.0)</f>
        <v>11350</v>
      </c>
      <c r="C1719" s="1">
        <f>IFERROR(__xludf.DUMMYFUNCTION("""COMPUTED_VALUE"""),12650.0)</f>
        <v>12650</v>
      </c>
      <c r="D1719" s="1">
        <f>IFERROR(__xludf.DUMMYFUNCTION("""COMPUTED_VALUE"""),11250.0)</f>
        <v>11250</v>
      </c>
      <c r="E1719" s="1">
        <f>IFERROR(__xludf.DUMMYFUNCTION("""COMPUTED_VALUE"""),11450.0)</f>
        <v>11450</v>
      </c>
      <c r="F1719" s="1">
        <f>IFERROR(__xludf.DUMMYFUNCTION("""COMPUTED_VALUE"""),688514.0)</f>
        <v>688514</v>
      </c>
    </row>
    <row r="1720">
      <c r="A1720" s="2">
        <f>IFERROR(__xludf.DUMMYFUNCTION("""COMPUTED_VALUE"""),43469.64583333333)</f>
        <v>43469.64583</v>
      </c>
      <c r="B1720" s="1">
        <f>IFERROR(__xludf.DUMMYFUNCTION("""COMPUTED_VALUE"""),11500.0)</f>
        <v>11500</v>
      </c>
      <c r="C1720" s="1">
        <f>IFERROR(__xludf.DUMMYFUNCTION("""COMPUTED_VALUE"""),11650.0)</f>
        <v>11650</v>
      </c>
      <c r="D1720" s="1">
        <f>IFERROR(__xludf.DUMMYFUNCTION("""COMPUTED_VALUE"""),10950.0)</f>
        <v>10950</v>
      </c>
      <c r="E1720" s="1">
        <f>IFERROR(__xludf.DUMMYFUNCTION("""COMPUTED_VALUE"""),11350.0)</f>
        <v>11350</v>
      </c>
      <c r="F1720" s="1">
        <f>IFERROR(__xludf.DUMMYFUNCTION("""COMPUTED_VALUE"""),123238.0)</f>
        <v>123238</v>
      </c>
    </row>
    <row r="1721">
      <c r="A1721" s="2">
        <f>IFERROR(__xludf.DUMMYFUNCTION("""COMPUTED_VALUE"""),43472.64583333333)</f>
        <v>43472.64583</v>
      </c>
      <c r="B1721" s="1">
        <f>IFERROR(__xludf.DUMMYFUNCTION("""COMPUTED_VALUE"""),11800.0)</f>
        <v>11800</v>
      </c>
      <c r="C1721" s="1">
        <f>IFERROR(__xludf.DUMMYFUNCTION("""COMPUTED_VALUE"""),11800.0)</f>
        <v>11800</v>
      </c>
      <c r="D1721" s="1">
        <f>IFERROR(__xludf.DUMMYFUNCTION("""COMPUTED_VALUE"""),11350.0)</f>
        <v>11350</v>
      </c>
      <c r="E1721" s="1">
        <f>IFERROR(__xludf.DUMMYFUNCTION("""COMPUTED_VALUE"""),11650.0)</f>
        <v>11650</v>
      </c>
      <c r="F1721" s="1">
        <f>IFERROR(__xludf.DUMMYFUNCTION("""COMPUTED_VALUE"""),98030.0)</f>
        <v>98030</v>
      </c>
    </row>
    <row r="1722">
      <c r="A1722" s="2">
        <f>IFERROR(__xludf.DUMMYFUNCTION("""COMPUTED_VALUE"""),43473.64583333333)</f>
        <v>43473.64583</v>
      </c>
      <c r="B1722" s="1">
        <f>IFERROR(__xludf.DUMMYFUNCTION("""COMPUTED_VALUE"""),11550.0)</f>
        <v>11550</v>
      </c>
      <c r="C1722" s="1">
        <f>IFERROR(__xludf.DUMMYFUNCTION("""COMPUTED_VALUE"""),11700.0)</f>
        <v>11700</v>
      </c>
      <c r="D1722" s="1">
        <f>IFERROR(__xludf.DUMMYFUNCTION("""COMPUTED_VALUE"""),11250.0)</f>
        <v>11250</v>
      </c>
      <c r="E1722" s="1">
        <f>IFERROR(__xludf.DUMMYFUNCTION("""COMPUTED_VALUE"""),11400.0)</f>
        <v>11400</v>
      </c>
      <c r="F1722" s="1">
        <f>IFERROR(__xludf.DUMMYFUNCTION("""COMPUTED_VALUE"""),64989.0)</f>
        <v>64989</v>
      </c>
    </row>
    <row r="1723">
      <c r="A1723" s="2">
        <f>IFERROR(__xludf.DUMMYFUNCTION("""COMPUTED_VALUE"""),43474.64583333333)</f>
        <v>43474.64583</v>
      </c>
      <c r="B1723" s="1">
        <f>IFERROR(__xludf.DUMMYFUNCTION("""COMPUTED_VALUE"""),11400.0)</f>
        <v>11400</v>
      </c>
      <c r="C1723" s="1">
        <f>IFERROR(__xludf.DUMMYFUNCTION("""COMPUTED_VALUE"""),14800.0)</f>
        <v>14800</v>
      </c>
      <c r="D1723" s="1">
        <f>IFERROR(__xludf.DUMMYFUNCTION("""COMPUTED_VALUE"""),11400.0)</f>
        <v>11400</v>
      </c>
      <c r="E1723" s="1">
        <f>IFERROR(__xludf.DUMMYFUNCTION("""COMPUTED_VALUE"""),14800.0)</f>
        <v>14800</v>
      </c>
      <c r="F1723" s="1">
        <f>IFERROR(__xludf.DUMMYFUNCTION("""COMPUTED_VALUE"""),2077734.0)</f>
        <v>2077734</v>
      </c>
    </row>
    <row r="1724">
      <c r="A1724" s="2">
        <f>IFERROR(__xludf.DUMMYFUNCTION("""COMPUTED_VALUE"""),43475.64583333333)</f>
        <v>43475.64583</v>
      </c>
      <c r="B1724" s="1">
        <f>IFERROR(__xludf.DUMMYFUNCTION("""COMPUTED_VALUE"""),17000.0)</f>
        <v>17000</v>
      </c>
      <c r="C1724" s="1">
        <f>IFERROR(__xludf.DUMMYFUNCTION("""COMPUTED_VALUE"""),19200.0)</f>
        <v>19200</v>
      </c>
      <c r="D1724" s="1">
        <f>IFERROR(__xludf.DUMMYFUNCTION("""COMPUTED_VALUE"""),16600.0)</f>
        <v>16600</v>
      </c>
      <c r="E1724" s="1">
        <f>IFERROR(__xludf.DUMMYFUNCTION("""COMPUTED_VALUE"""),18050.0)</f>
        <v>18050</v>
      </c>
      <c r="F1724" s="1">
        <f>IFERROR(__xludf.DUMMYFUNCTION("""COMPUTED_VALUE"""),9007327.0)</f>
        <v>9007327</v>
      </c>
    </row>
    <row r="1725">
      <c r="A1725" s="2">
        <f>IFERROR(__xludf.DUMMYFUNCTION("""COMPUTED_VALUE"""),43476.64583333333)</f>
        <v>43476.64583</v>
      </c>
      <c r="B1725" s="1">
        <f>IFERROR(__xludf.DUMMYFUNCTION("""COMPUTED_VALUE"""),17800.0)</f>
        <v>17800</v>
      </c>
      <c r="C1725" s="1">
        <f>IFERROR(__xludf.DUMMYFUNCTION("""COMPUTED_VALUE"""),18350.0)</f>
        <v>18350</v>
      </c>
      <c r="D1725" s="1">
        <f>IFERROR(__xludf.DUMMYFUNCTION("""COMPUTED_VALUE"""),15450.0)</f>
        <v>15450</v>
      </c>
      <c r="E1725" s="1">
        <f>IFERROR(__xludf.DUMMYFUNCTION("""COMPUTED_VALUE"""),15700.0)</f>
        <v>15700</v>
      </c>
      <c r="F1725" s="1">
        <f>IFERROR(__xludf.DUMMYFUNCTION("""COMPUTED_VALUE"""),2931269.0)</f>
        <v>2931269</v>
      </c>
    </row>
    <row r="1726">
      <c r="A1726" s="2">
        <f>IFERROR(__xludf.DUMMYFUNCTION("""COMPUTED_VALUE"""),43479.64583333333)</f>
        <v>43479.64583</v>
      </c>
      <c r="B1726" s="1">
        <f>IFERROR(__xludf.DUMMYFUNCTION("""COMPUTED_VALUE"""),15650.0)</f>
        <v>15650</v>
      </c>
      <c r="C1726" s="1">
        <f>IFERROR(__xludf.DUMMYFUNCTION("""COMPUTED_VALUE"""),17200.0)</f>
        <v>17200</v>
      </c>
      <c r="D1726" s="1">
        <f>IFERROR(__xludf.DUMMYFUNCTION("""COMPUTED_VALUE"""),15300.0)</f>
        <v>15300</v>
      </c>
      <c r="E1726" s="1">
        <f>IFERROR(__xludf.DUMMYFUNCTION("""COMPUTED_VALUE"""),16950.0)</f>
        <v>16950</v>
      </c>
      <c r="F1726" s="1">
        <f>IFERROR(__xludf.DUMMYFUNCTION("""COMPUTED_VALUE"""),3721982.0)</f>
        <v>3721982</v>
      </c>
    </row>
    <row r="1727">
      <c r="A1727" s="2">
        <f>IFERROR(__xludf.DUMMYFUNCTION("""COMPUTED_VALUE"""),43480.64583333333)</f>
        <v>43480.64583</v>
      </c>
      <c r="B1727" s="1">
        <f>IFERROR(__xludf.DUMMYFUNCTION("""COMPUTED_VALUE"""),16500.0)</f>
        <v>16500</v>
      </c>
      <c r="C1727" s="1">
        <f>IFERROR(__xludf.DUMMYFUNCTION("""COMPUTED_VALUE"""),16500.0)</f>
        <v>16500</v>
      </c>
      <c r="D1727" s="1">
        <f>IFERROR(__xludf.DUMMYFUNCTION("""COMPUTED_VALUE"""),15400.0)</f>
        <v>15400</v>
      </c>
      <c r="E1727" s="1">
        <f>IFERROR(__xludf.DUMMYFUNCTION("""COMPUTED_VALUE"""),15650.0)</f>
        <v>15650</v>
      </c>
      <c r="F1727" s="1">
        <f>IFERROR(__xludf.DUMMYFUNCTION("""COMPUTED_VALUE"""),1769679.0)</f>
        <v>1769679</v>
      </c>
    </row>
    <row r="1728">
      <c r="A1728" s="2">
        <f>IFERROR(__xludf.DUMMYFUNCTION("""COMPUTED_VALUE"""),43481.64583333333)</f>
        <v>43481.64583</v>
      </c>
      <c r="B1728" s="1">
        <f>IFERROR(__xludf.DUMMYFUNCTION("""COMPUTED_VALUE"""),15800.0)</f>
        <v>15800</v>
      </c>
      <c r="C1728" s="1">
        <f>IFERROR(__xludf.DUMMYFUNCTION("""COMPUTED_VALUE"""),20300.0)</f>
        <v>20300</v>
      </c>
      <c r="D1728" s="1">
        <f>IFERROR(__xludf.DUMMYFUNCTION("""COMPUTED_VALUE"""),15150.0)</f>
        <v>15150</v>
      </c>
      <c r="E1728" s="1">
        <f>IFERROR(__xludf.DUMMYFUNCTION("""COMPUTED_VALUE"""),20300.0)</f>
        <v>20300</v>
      </c>
      <c r="F1728" s="1">
        <f>IFERROR(__xludf.DUMMYFUNCTION("""COMPUTED_VALUE"""),5130423.0)</f>
        <v>5130423</v>
      </c>
    </row>
    <row r="1729">
      <c r="A1729" s="2">
        <f>IFERROR(__xludf.DUMMYFUNCTION("""COMPUTED_VALUE"""),43482.64583333333)</f>
        <v>43482.64583</v>
      </c>
      <c r="B1729" s="1">
        <f>IFERROR(__xludf.DUMMYFUNCTION("""COMPUTED_VALUE"""),22050.0)</f>
        <v>22050</v>
      </c>
      <c r="C1729" s="1">
        <f>IFERROR(__xludf.DUMMYFUNCTION("""COMPUTED_VALUE"""),24550.0)</f>
        <v>24550</v>
      </c>
      <c r="D1729" s="1">
        <f>IFERROR(__xludf.DUMMYFUNCTION("""COMPUTED_VALUE"""),21400.0)</f>
        <v>21400</v>
      </c>
      <c r="E1729" s="1">
        <f>IFERROR(__xludf.DUMMYFUNCTION("""COMPUTED_VALUE"""),22550.0)</f>
        <v>22550</v>
      </c>
      <c r="F1729" s="1">
        <f>IFERROR(__xludf.DUMMYFUNCTION("""COMPUTED_VALUE"""),7560688.0)</f>
        <v>7560688</v>
      </c>
    </row>
    <row r="1730">
      <c r="A1730" s="2">
        <f>IFERROR(__xludf.DUMMYFUNCTION("""COMPUTED_VALUE"""),43483.64583333333)</f>
        <v>43483.64583</v>
      </c>
      <c r="B1730" s="1">
        <f>IFERROR(__xludf.DUMMYFUNCTION("""COMPUTED_VALUE"""),21750.0)</f>
        <v>21750</v>
      </c>
      <c r="C1730" s="1">
        <f>IFERROR(__xludf.DUMMYFUNCTION("""COMPUTED_VALUE"""),21800.0)</f>
        <v>21800</v>
      </c>
      <c r="D1730" s="1">
        <f>IFERROR(__xludf.DUMMYFUNCTION("""COMPUTED_VALUE"""),19900.0)</f>
        <v>19900</v>
      </c>
      <c r="E1730" s="1">
        <f>IFERROR(__xludf.DUMMYFUNCTION("""COMPUTED_VALUE"""),20700.0)</f>
        <v>20700</v>
      </c>
      <c r="F1730" s="1">
        <f>IFERROR(__xludf.DUMMYFUNCTION("""COMPUTED_VALUE"""),2577538.0)</f>
        <v>2577538</v>
      </c>
    </row>
    <row r="1731">
      <c r="A1731" s="2">
        <f>IFERROR(__xludf.DUMMYFUNCTION("""COMPUTED_VALUE"""),43486.64583333333)</f>
        <v>43486.64583</v>
      </c>
      <c r="B1731" s="1">
        <f>IFERROR(__xludf.DUMMYFUNCTION("""COMPUTED_VALUE"""),20450.0)</f>
        <v>20450</v>
      </c>
      <c r="C1731" s="1">
        <f>IFERROR(__xludf.DUMMYFUNCTION("""COMPUTED_VALUE"""),24300.0)</f>
        <v>24300</v>
      </c>
      <c r="D1731" s="1">
        <f>IFERROR(__xludf.DUMMYFUNCTION("""COMPUTED_VALUE"""),20250.0)</f>
        <v>20250</v>
      </c>
      <c r="E1731" s="1">
        <f>IFERROR(__xludf.DUMMYFUNCTION("""COMPUTED_VALUE"""),21000.0)</f>
        <v>21000</v>
      </c>
      <c r="F1731" s="1">
        <f>IFERROR(__xludf.DUMMYFUNCTION("""COMPUTED_VALUE"""),5326352.0)</f>
        <v>5326352</v>
      </c>
    </row>
    <row r="1732">
      <c r="A1732" s="2">
        <f>IFERROR(__xludf.DUMMYFUNCTION("""COMPUTED_VALUE"""),43487.64583333333)</f>
        <v>43487.64583</v>
      </c>
      <c r="B1732" s="1">
        <f>IFERROR(__xludf.DUMMYFUNCTION("""COMPUTED_VALUE"""),21600.0)</f>
        <v>21600</v>
      </c>
      <c r="C1732" s="1">
        <f>IFERROR(__xludf.DUMMYFUNCTION("""COMPUTED_VALUE"""),22700.0)</f>
        <v>22700</v>
      </c>
      <c r="D1732" s="1">
        <f>IFERROR(__xludf.DUMMYFUNCTION("""COMPUTED_VALUE"""),20950.0)</f>
        <v>20950</v>
      </c>
      <c r="E1732" s="1">
        <f>IFERROR(__xludf.DUMMYFUNCTION("""COMPUTED_VALUE"""),21300.0)</f>
        <v>21300</v>
      </c>
      <c r="F1732" s="1">
        <f>IFERROR(__xludf.DUMMYFUNCTION("""COMPUTED_VALUE"""),1796710.0)</f>
        <v>1796710</v>
      </c>
    </row>
    <row r="1733">
      <c r="A1733" s="2">
        <f>IFERROR(__xludf.DUMMYFUNCTION("""COMPUTED_VALUE"""),43488.64583333333)</f>
        <v>43488.64583</v>
      </c>
      <c r="B1733" s="1">
        <f>IFERROR(__xludf.DUMMYFUNCTION("""COMPUTED_VALUE"""),21950.0)</f>
        <v>21950</v>
      </c>
      <c r="C1733" s="1">
        <f>IFERROR(__xludf.DUMMYFUNCTION("""COMPUTED_VALUE"""),23000.0)</f>
        <v>23000</v>
      </c>
      <c r="D1733" s="1">
        <f>IFERROR(__xludf.DUMMYFUNCTION("""COMPUTED_VALUE"""),20350.0)</f>
        <v>20350</v>
      </c>
      <c r="E1733" s="1">
        <f>IFERROR(__xludf.DUMMYFUNCTION("""COMPUTED_VALUE"""),20800.0)</f>
        <v>20800</v>
      </c>
      <c r="F1733" s="1">
        <f>IFERROR(__xludf.DUMMYFUNCTION("""COMPUTED_VALUE"""),2137015.0)</f>
        <v>2137015</v>
      </c>
    </row>
    <row r="1734">
      <c r="A1734" s="2">
        <f>IFERROR(__xludf.DUMMYFUNCTION("""COMPUTED_VALUE"""),43489.64583333333)</f>
        <v>43489.64583</v>
      </c>
      <c r="B1734" s="1">
        <f>IFERROR(__xludf.DUMMYFUNCTION("""COMPUTED_VALUE"""),20950.0)</f>
        <v>20950</v>
      </c>
      <c r="C1734" s="1">
        <f>IFERROR(__xludf.DUMMYFUNCTION("""COMPUTED_VALUE"""),22350.0)</f>
        <v>22350</v>
      </c>
      <c r="D1734" s="1">
        <f>IFERROR(__xludf.DUMMYFUNCTION("""COMPUTED_VALUE"""),19600.0)</f>
        <v>19600</v>
      </c>
      <c r="E1734" s="1">
        <f>IFERROR(__xludf.DUMMYFUNCTION("""COMPUTED_VALUE"""),19950.0)</f>
        <v>19950</v>
      </c>
      <c r="F1734" s="1">
        <f>IFERROR(__xludf.DUMMYFUNCTION("""COMPUTED_VALUE"""),1666667.0)</f>
        <v>1666667</v>
      </c>
    </row>
    <row r="1735">
      <c r="A1735" s="2">
        <f>IFERROR(__xludf.DUMMYFUNCTION("""COMPUTED_VALUE"""),43490.64583333333)</f>
        <v>43490.64583</v>
      </c>
      <c r="B1735" s="1">
        <f>IFERROR(__xludf.DUMMYFUNCTION("""COMPUTED_VALUE"""),20150.0)</f>
        <v>20150</v>
      </c>
      <c r="C1735" s="1">
        <f>IFERROR(__xludf.DUMMYFUNCTION("""COMPUTED_VALUE"""),20550.0)</f>
        <v>20550</v>
      </c>
      <c r="D1735" s="1">
        <f>IFERROR(__xludf.DUMMYFUNCTION("""COMPUTED_VALUE"""),19550.0)</f>
        <v>19550</v>
      </c>
      <c r="E1735" s="1">
        <f>IFERROR(__xludf.DUMMYFUNCTION("""COMPUTED_VALUE"""),19600.0)</f>
        <v>19600</v>
      </c>
      <c r="F1735" s="1">
        <f>IFERROR(__xludf.DUMMYFUNCTION("""COMPUTED_VALUE"""),900540.0)</f>
        <v>900540</v>
      </c>
    </row>
    <row r="1736">
      <c r="A1736" s="2">
        <f>IFERROR(__xludf.DUMMYFUNCTION("""COMPUTED_VALUE"""),43493.64583333333)</f>
        <v>43493.64583</v>
      </c>
      <c r="B1736" s="1">
        <f>IFERROR(__xludf.DUMMYFUNCTION("""COMPUTED_VALUE"""),19650.0)</f>
        <v>19650</v>
      </c>
      <c r="C1736" s="1">
        <f>IFERROR(__xludf.DUMMYFUNCTION("""COMPUTED_VALUE"""),19850.0)</f>
        <v>19850</v>
      </c>
      <c r="D1736" s="1">
        <f>IFERROR(__xludf.DUMMYFUNCTION("""COMPUTED_VALUE"""),18250.0)</f>
        <v>18250</v>
      </c>
      <c r="E1736" s="1">
        <f>IFERROR(__xludf.DUMMYFUNCTION("""COMPUTED_VALUE"""),18400.0)</f>
        <v>18400</v>
      </c>
      <c r="F1736" s="1">
        <f>IFERROR(__xludf.DUMMYFUNCTION("""COMPUTED_VALUE"""),1329221.0)</f>
        <v>1329221</v>
      </c>
    </row>
    <row r="1737">
      <c r="A1737" s="2">
        <f>IFERROR(__xludf.DUMMYFUNCTION("""COMPUTED_VALUE"""),43494.64583333333)</f>
        <v>43494.64583</v>
      </c>
      <c r="B1737" s="1">
        <f>IFERROR(__xludf.DUMMYFUNCTION("""COMPUTED_VALUE"""),18450.0)</f>
        <v>18450</v>
      </c>
      <c r="C1737" s="1">
        <f>IFERROR(__xludf.DUMMYFUNCTION("""COMPUTED_VALUE"""),19150.0)</f>
        <v>19150</v>
      </c>
      <c r="D1737" s="1">
        <f>IFERROR(__xludf.DUMMYFUNCTION("""COMPUTED_VALUE"""),17800.0)</f>
        <v>17800</v>
      </c>
      <c r="E1737" s="1">
        <f>IFERROR(__xludf.DUMMYFUNCTION("""COMPUTED_VALUE"""),18350.0)</f>
        <v>18350</v>
      </c>
      <c r="F1737" s="1">
        <f>IFERROR(__xludf.DUMMYFUNCTION("""COMPUTED_VALUE"""),949308.0)</f>
        <v>949308</v>
      </c>
    </row>
    <row r="1738">
      <c r="A1738" s="2">
        <f>IFERROR(__xludf.DUMMYFUNCTION("""COMPUTED_VALUE"""),43495.64583333333)</f>
        <v>43495.64583</v>
      </c>
      <c r="B1738" s="1">
        <f>IFERROR(__xludf.DUMMYFUNCTION("""COMPUTED_VALUE"""),18400.0)</f>
        <v>18400</v>
      </c>
      <c r="C1738" s="1">
        <f>IFERROR(__xludf.DUMMYFUNCTION("""COMPUTED_VALUE"""),19750.0)</f>
        <v>19750</v>
      </c>
      <c r="D1738" s="1">
        <f>IFERROR(__xludf.DUMMYFUNCTION("""COMPUTED_VALUE"""),18250.0)</f>
        <v>18250</v>
      </c>
      <c r="E1738" s="1">
        <f>IFERROR(__xludf.DUMMYFUNCTION("""COMPUTED_VALUE"""),18650.0)</f>
        <v>18650</v>
      </c>
      <c r="F1738" s="1">
        <f>IFERROR(__xludf.DUMMYFUNCTION("""COMPUTED_VALUE"""),1580824.0)</f>
        <v>1580824</v>
      </c>
    </row>
    <row r="1739">
      <c r="A1739" s="2">
        <f>IFERROR(__xludf.DUMMYFUNCTION("""COMPUTED_VALUE"""),43496.64583333333)</f>
        <v>43496.64583</v>
      </c>
      <c r="B1739" s="1">
        <f>IFERROR(__xludf.DUMMYFUNCTION("""COMPUTED_VALUE"""),18650.0)</f>
        <v>18650</v>
      </c>
      <c r="C1739" s="1">
        <f>IFERROR(__xludf.DUMMYFUNCTION("""COMPUTED_VALUE"""),18850.0)</f>
        <v>18850</v>
      </c>
      <c r="D1739" s="1">
        <f>IFERROR(__xludf.DUMMYFUNCTION("""COMPUTED_VALUE"""),17400.0)</f>
        <v>17400</v>
      </c>
      <c r="E1739" s="1">
        <f>IFERROR(__xludf.DUMMYFUNCTION("""COMPUTED_VALUE"""),17400.0)</f>
        <v>17400</v>
      </c>
      <c r="F1739" s="1">
        <f>IFERROR(__xludf.DUMMYFUNCTION("""COMPUTED_VALUE"""),827935.0)</f>
        <v>827935</v>
      </c>
    </row>
    <row r="1740">
      <c r="A1740" s="2">
        <f>IFERROR(__xludf.DUMMYFUNCTION("""COMPUTED_VALUE"""),43497.64583333333)</f>
        <v>43497.64583</v>
      </c>
      <c r="B1740" s="1">
        <f>IFERROR(__xludf.DUMMYFUNCTION("""COMPUTED_VALUE"""),17300.0)</f>
        <v>17300</v>
      </c>
      <c r="C1740" s="1">
        <f>IFERROR(__xludf.DUMMYFUNCTION("""COMPUTED_VALUE"""),17600.0)</f>
        <v>17600</v>
      </c>
      <c r="D1740" s="1">
        <f>IFERROR(__xludf.DUMMYFUNCTION("""COMPUTED_VALUE"""),16500.0)</f>
        <v>16500</v>
      </c>
      <c r="E1740" s="1">
        <f>IFERROR(__xludf.DUMMYFUNCTION("""COMPUTED_VALUE"""),16900.0)</f>
        <v>16900</v>
      </c>
      <c r="F1740" s="1">
        <f>IFERROR(__xludf.DUMMYFUNCTION("""COMPUTED_VALUE"""),603291.0)</f>
        <v>603291</v>
      </c>
    </row>
    <row r="1741">
      <c r="A1741" s="2">
        <f>IFERROR(__xludf.DUMMYFUNCTION("""COMPUTED_VALUE"""),43503.64583333333)</f>
        <v>43503.64583</v>
      </c>
      <c r="B1741" s="1">
        <f>IFERROR(__xludf.DUMMYFUNCTION("""COMPUTED_VALUE"""),16850.0)</f>
        <v>16850</v>
      </c>
      <c r="C1741" s="1">
        <f>IFERROR(__xludf.DUMMYFUNCTION("""COMPUTED_VALUE"""),17500.0)</f>
        <v>17500</v>
      </c>
      <c r="D1741" s="1">
        <f>IFERROR(__xludf.DUMMYFUNCTION("""COMPUTED_VALUE"""),16600.0)</f>
        <v>16600</v>
      </c>
      <c r="E1741" s="1">
        <f>IFERROR(__xludf.DUMMYFUNCTION("""COMPUTED_VALUE"""),16750.0)</f>
        <v>16750</v>
      </c>
      <c r="F1741" s="1">
        <f>IFERROR(__xludf.DUMMYFUNCTION("""COMPUTED_VALUE"""),521270.0)</f>
        <v>521270</v>
      </c>
    </row>
    <row r="1742">
      <c r="A1742" s="2">
        <f>IFERROR(__xludf.DUMMYFUNCTION("""COMPUTED_VALUE"""),43504.64583333333)</f>
        <v>43504.64583</v>
      </c>
      <c r="B1742" s="1">
        <f>IFERROR(__xludf.DUMMYFUNCTION("""COMPUTED_VALUE"""),16700.0)</f>
        <v>16700</v>
      </c>
      <c r="C1742" s="1">
        <f>IFERROR(__xludf.DUMMYFUNCTION("""COMPUTED_VALUE"""),17300.0)</f>
        <v>17300</v>
      </c>
      <c r="D1742" s="1">
        <f>IFERROR(__xludf.DUMMYFUNCTION("""COMPUTED_VALUE"""),16650.0)</f>
        <v>16650</v>
      </c>
      <c r="E1742" s="1">
        <f>IFERROR(__xludf.DUMMYFUNCTION("""COMPUTED_VALUE"""),16850.0)</f>
        <v>16850</v>
      </c>
      <c r="F1742" s="1">
        <f>IFERROR(__xludf.DUMMYFUNCTION("""COMPUTED_VALUE"""),335086.0)</f>
        <v>335086</v>
      </c>
    </row>
    <row r="1743">
      <c r="A1743" s="2">
        <f>IFERROR(__xludf.DUMMYFUNCTION("""COMPUTED_VALUE"""),43507.64583333333)</f>
        <v>43507.64583</v>
      </c>
      <c r="B1743" s="1">
        <f>IFERROR(__xludf.DUMMYFUNCTION("""COMPUTED_VALUE"""),17150.0)</f>
        <v>17150</v>
      </c>
      <c r="C1743" s="1">
        <f>IFERROR(__xludf.DUMMYFUNCTION("""COMPUTED_VALUE"""),17500.0)</f>
        <v>17500</v>
      </c>
      <c r="D1743" s="1">
        <f>IFERROR(__xludf.DUMMYFUNCTION("""COMPUTED_VALUE"""),16700.0)</f>
        <v>16700</v>
      </c>
      <c r="E1743" s="1">
        <f>IFERROR(__xludf.DUMMYFUNCTION("""COMPUTED_VALUE"""),16800.0)</f>
        <v>16800</v>
      </c>
      <c r="F1743" s="1">
        <f>IFERROR(__xludf.DUMMYFUNCTION("""COMPUTED_VALUE"""),363291.0)</f>
        <v>363291</v>
      </c>
    </row>
    <row r="1744">
      <c r="A1744" s="2">
        <f>IFERROR(__xludf.DUMMYFUNCTION("""COMPUTED_VALUE"""),43508.64583333333)</f>
        <v>43508.64583</v>
      </c>
      <c r="B1744" s="1">
        <f>IFERROR(__xludf.DUMMYFUNCTION("""COMPUTED_VALUE"""),16750.0)</f>
        <v>16750</v>
      </c>
      <c r="C1744" s="1">
        <f>IFERROR(__xludf.DUMMYFUNCTION("""COMPUTED_VALUE"""),17150.0)</f>
        <v>17150</v>
      </c>
      <c r="D1744" s="1">
        <f>IFERROR(__xludf.DUMMYFUNCTION("""COMPUTED_VALUE"""),16250.0)</f>
        <v>16250</v>
      </c>
      <c r="E1744" s="1">
        <f>IFERROR(__xludf.DUMMYFUNCTION("""COMPUTED_VALUE"""),16450.0)</f>
        <v>16450</v>
      </c>
      <c r="F1744" s="1">
        <f>IFERROR(__xludf.DUMMYFUNCTION("""COMPUTED_VALUE"""),287875.0)</f>
        <v>287875</v>
      </c>
    </row>
    <row r="1745">
      <c r="A1745" s="2">
        <f>IFERROR(__xludf.DUMMYFUNCTION("""COMPUTED_VALUE"""),43509.64583333333)</f>
        <v>43509.64583</v>
      </c>
      <c r="B1745" s="1">
        <f>IFERROR(__xludf.DUMMYFUNCTION("""COMPUTED_VALUE"""),16450.0)</f>
        <v>16450</v>
      </c>
      <c r="C1745" s="1">
        <f>IFERROR(__xludf.DUMMYFUNCTION("""COMPUTED_VALUE"""),16600.0)</f>
        <v>16600</v>
      </c>
      <c r="D1745" s="1">
        <f>IFERROR(__xludf.DUMMYFUNCTION("""COMPUTED_VALUE"""),16200.0)</f>
        <v>16200</v>
      </c>
      <c r="E1745" s="1">
        <f>IFERROR(__xludf.DUMMYFUNCTION("""COMPUTED_VALUE"""),16400.0)</f>
        <v>16400</v>
      </c>
      <c r="F1745" s="1">
        <f>IFERROR(__xludf.DUMMYFUNCTION("""COMPUTED_VALUE"""),194328.0)</f>
        <v>194328</v>
      </c>
    </row>
    <row r="1746">
      <c r="A1746" s="2">
        <f>IFERROR(__xludf.DUMMYFUNCTION("""COMPUTED_VALUE"""),43510.64583333333)</f>
        <v>43510.64583</v>
      </c>
      <c r="B1746" s="1">
        <f>IFERROR(__xludf.DUMMYFUNCTION("""COMPUTED_VALUE"""),16550.0)</f>
        <v>16550</v>
      </c>
      <c r="C1746" s="1">
        <f>IFERROR(__xludf.DUMMYFUNCTION("""COMPUTED_VALUE"""),17100.0)</f>
        <v>17100</v>
      </c>
      <c r="D1746" s="1">
        <f>IFERROR(__xludf.DUMMYFUNCTION("""COMPUTED_VALUE"""),16350.0)</f>
        <v>16350</v>
      </c>
      <c r="E1746" s="1">
        <f>IFERROR(__xludf.DUMMYFUNCTION("""COMPUTED_VALUE"""),17000.0)</f>
        <v>17000</v>
      </c>
      <c r="F1746" s="1">
        <f>IFERROR(__xludf.DUMMYFUNCTION("""COMPUTED_VALUE"""),341638.0)</f>
        <v>341638</v>
      </c>
    </row>
    <row r="1747">
      <c r="A1747" s="2">
        <f>IFERROR(__xludf.DUMMYFUNCTION("""COMPUTED_VALUE"""),43511.64583333333)</f>
        <v>43511.64583</v>
      </c>
      <c r="B1747" s="1">
        <f>IFERROR(__xludf.DUMMYFUNCTION("""COMPUTED_VALUE"""),16950.0)</f>
        <v>16950</v>
      </c>
      <c r="C1747" s="1">
        <f>IFERROR(__xludf.DUMMYFUNCTION("""COMPUTED_VALUE"""),16950.0)</f>
        <v>16950</v>
      </c>
      <c r="D1747" s="1">
        <f>IFERROR(__xludf.DUMMYFUNCTION("""COMPUTED_VALUE"""),16300.0)</f>
        <v>16300</v>
      </c>
      <c r="E1747" s="1">
        <f>IFERROR(__xludf.DUMMYFUNCTION("""COMPUTED_VALUE"""),16350.0)</f>
        <v>16350</v>
      </c>
      <c r="F1747" s="1">
        <f>IFERROR(__xludf.DUMMYFUNCTION("""COMPUTED_VALUE"""),200781.0)</f>
        <v>200781</v>
      </c>
    </row>
    <row r="1748">
      <c r="A1748" s="2">
        <f>IFERROR(__xludf.DUMMYFUNCTION("""COMPUTED_VALUE"""),43514.64583333333)</f>
        <v>43514.64583</v>
      </c>
      <c r="B1748" s="1">
        <f>IFERROR(__xludf.DUMMYFUNCTION("""COMPUTED_VALUE"""),16550.0)</f>
        <v>16550</v>
      </c>
      <c r="C1748" s="1">
        <f>IFERROR(__xludf.DUMMYFUNCTION("""COMPUTED_VALUE"""),17000.0)</f>
        <v>17000</v>
      </c>
      <c r="D1748" s="1">
        <f>IFERROR(__xludf.DUMMYFUNCTION("""COMPUTED_VALUE"""),16500.0)</f>
        <v>16500</v>
      </c>
      <c r="E1748" s="1">
        <f>IFERROR(__xludf.DUMMYFUNCTION("""COMPUTED_VALUE"""),16700.0)</f>
        <v>16700</v>
      </c>
      <c r="F1748" s="1">
        <f>IFERROR(__xludf.DUMMYFUNCTION("""COMPUTED_VALUE"""),210534.0)</f>
        <v>210534</v>
      </c>
    </row>
    <row r="1749">
      <c r="A1749" s="2">
        <f>IFERROR(__xludf.DUMMYFUNCTION("""COMPUTED_VALUE"""),43515.64583333333)</f>
        <v>43515.64583</v>
      </c>
      <c r="B1749" s="1">
        <f>IFERROR(__xludf.DUMMYFUNCTION("""COMPUTED_VALUE"""),16850.0)</f>
        <v>16850</v>
      </c>
      <c r="C1749" s="1">
        <f>IFERROR(__xludf.DUMMYFUNCTION("""COMPUTED_VALUE"""),16900.0)</f>
        <v>16900</v>
      </c>
      <c r="D1749" s="1">
        <f>IFERROR(__xludf.DUMMYFUNCTION("""COMPUTED_VALUE"""),16300.0)</f>
        <v>16300</v>
      </c>
      <c r="E1749" s="1">
        <f>IFERROR(__xludf.DUMMYFUNCTION("""COMPUTED_VALUE"""),16350.0)</f>
        <v>16350</v>
      </c>
      <c r="F1749" s="1">
        <f>IFERROR(__xludf.DUMMYFUNCTION("""COMPUTED_VALUE"""),209187.0)</f>
        <v>209187</v>
      </c>
    </row>
    <row r="1750">
      <c r="A1750" s="2">
        <f>IFERROR(__xludf.DUMMYFUNCTION("""COMPUTED_VALUE"""),43516.64583333333)</f>
        <v>43516.64583</v>
      </c>
      <c r="B1750" s="1">
        <f>IFERROR(__xludf.DUMMYFUNCTION("""COMPUTED_VALUE"""),16400.0)</f>
        <v>16400</v>
      </c>
      <c r="C1750" s="1">
        <f>IFERROR(__xludf.DUMMYFUNCTION("""COMPUTED_VALUE"""),16500.0)</f>
        <v>16500</v>
      </c>
      <c r="D1750" s="1">
        <f>IFERROR(__xludf.DUMMYFUNCTION("""COMPUTED_VALUE"""),15700.0)</f>
        <v>15700</v>
      </c>
      <c r="E1750" s="1">
        <f>IFERROR(__xludf.DUMMYFUNCTION("""COMPUTED_VALUE"""),15900.0)</f>
        <v>15900</v>
      </c>
      <c r="F1750" s="1">
        <f>IFERROR(__xludf.DUMMYFUNCTION("""COMPUTED_VALUE"""),233394.0)</f>
        <v>233394</v>
      </c>
    </row>
    <row r="1751">
      <c r="A1751" s="2">
        <f>IFERROR(__xludf.DUMMYFUNCTION("""COMPUTED_VALUE"""),43517.64583333333)</f>
        <v>43517.64583</v>
      </c>
      <c r="B1751" s="1">
        <f>IFERROR(__xludf.DUMMYFUNCTION("""COMPUTED_VALUE"""),16000.0)</f>
        <v>16000</v>
      </c>
      <c r="C1751" s="1">
        <f>IFERROR(__xludf.DUMMYFUNCTION("""COMPUTED_VALUE"""),16200.0)</f>
        <v>16200</v>
      </c>
      <c r="D1751" s="1">
        <f>IFERROR(__xludf.DUMMYFUNCTION("""COMPUTED_VALUE"""),15650.0)</f>
        <v>15650</v>
      </c>
      <c r="E1751" s="1">
        <f>IFERROR(__xludf.DUMMYFUNCTION("""COMPUTED_VALUE"""),15650.0)</f>
        <v>15650</v>
      </c>
      <c r="F1751" s="1">
        <f>IFERROR(__xludf.DUMMYFUNCTION("""COMPUTED_VALUE"""),175088.0)</f>
        <v>175088</v>
      </c>
    </row>
    <row r="1752">
      <c r="A1752" s="2">
        <f>IFERROR(__xludf.DUMMYFUNCTION("""COMPUTED_VALUE"""),43518.64583333333)</f>
        <v>43518.64583</v>
      </c>
      <c r="B1752" s="1">
        <f>IFERROR(__xludf.DUMMYFUNCTION("""COMPUTED_VALUE"""),15500.0)</f>
        <v>15500</v>
      </c>
      <c r="C1752" s="1">
        <f>IFERROR(__xludf.DUMMYFUNCTION("""COMPUTED_VALUE"""),15800.0)</f>
        <v>15800</v>
      </c>
      <c r="D1752" s="1">
        <f>IFERROR(__xludf.DUMMYFUNCTION("""COMPUTED_VALUE"""),15350.0)</f>
        <v>15350</v>
      </c>
      <c r="E1752" s="1">
        <f>IFERROR(__xludf.DUMMYFUNCTION("""COMPUTED_VALUE"""),15450.0)</f>
        <v>15450</v>
      </c>
      <c r="F1752" s="1">
        <f>IFERROR(__xludf.DUMMYFUNCTION("""COMPUTED_VALUE"""),145045.0)</f>
        <v>145045</v>
      </c>
    </row>
    <row r="1753">
      <c r="A1753" s="2">
        <f>IFERROR(__xludf.DUMMYFUNCTION("""COMPUTED_VALUE"""),43521.64583333333)</f>
        <v>43521.64583</v>
      </c>
      <c r="B1753" s="1">
        <f>IFERROR(__xludf.DUMMYFUNCTION("""COMPUTED_VALUE"""),15550.0)</f>
        <v>15550</v>
      </c>
      <c r="C1753" s="1">
        <f>IFERROR(__xludf.DUMMYFUNCTION("""COMPUTED_VALUE"""),16150.0)</f>
        <v>16150</v>
      </c>
      <c r="D1753" s="1">
        <f>IFERROR(__xludf.DUMMYFUNCTION("""COMPUTED_VALUE"""),15450.0)</f>
        <v>15450</v>
      </c>
      <c r="E1753" s="1">
        <f>IFERROR(__xludf.DUMMYFUNCTION("""COMPUTED_VALUE"""),15950.0)</f>
        <v>15950</v>
      </c>
      <c r="F1753" s="1">
        <f>IFERROR(__xludf.DUMMYFUNCTION("""COMPUTED_VALUE"""),144858.0)</f>
        <v>144858</v>
      </c>
    </row>
    <row r="1754">
      <c r="A1754" s="2">
        <f>IFERROR(__xludf.DUMMYFUNCTION("""COMPUTED_VALUE"""),43522.64583333333)</f>
        <v>43522.64583</v>
      </c>
      <c r="B1754" s="1">
        <f>IFERROR(__xludf.DUMMYFUNCTION("""COMPUTED_VALUE"""),15900.0)</f>
        <v>15900</v>
      </c>
      <c r="C1754" s="1">
        <f>IFERROR(__xludf.DUMMYFUNCTION("""COMPUTED_VALUE"""),16450.0)</f>
        <v>16450</v>
      </c>
      <c r="D1754" s="1">
        <f>IFERROR(__xludf.DUMMYFUNCTION("""COMPUTED_VALUE"""),15750.0)</f>
        <v>15750</v>
      </c>
      <c r="E1754" s="1">
        <f>IFERROR(__xludf.DUMMYFUNCTION("""COMPUTED_VALUE"""),16000.0)</f>
        <v>16000</v>
      </c>
      <c r="F1754" s="1">
        <f>IFERROR(__xludf.DUMMYFUNCTION("""COMPUTED_VALUE"""),210298.0)</f>
        <v>210298</v>
      </c>
    </row>
    <row r="1755">
      <c r="A1755" s="2">
        <f>IFERROR(__xludf.DUMMYFUNCTION("""COMPUTED_VALUE"""),43523.64583333333)</f>
        <v>43523.64583</v>
      </c>
      <c r="B1755" s="1">
        <f>IFERROR(__xludf.DUMMYFUNCTION("""COMPUTED_VALUE"""),16200.0)</f>
        <v>16200</v>
      </c>
      <c r="C1755" s="1">
        <f>IFERROR(__xludf.DUMMYFUNCTION("""COMPUTED_VALUE"""),20150.0)</f>
        <v>20150</v>
      </c>
      <c r="D1755" s="1">
        <f>IFERROR(__xludf.DUMMYFUNCTION("""COMPUTED_VALUE"""),16000.0)</f>
        <v>16000</v>
      </c>
      <c r="E1755" s="1">
        <f>IFERROR(__xludf.DUMMYFUNCTION("""COMPUTED_VALUE"""),17950.0)</f>
        <v>17950</v>
      </c>
      <c r="F1755" s="1">
        <f>IFERROR(__xludf.DUMMYFUNCTION("""COMPUTED_VALUE"""),5672401.0)</f>
        <v>5672401</v>
      </c>
    </row>
    <row r="1756">
      <c r="A1756" s="2">
        <f>IFERROR(__xludf.DUMMYFUNCTION("""COMPUTED_VALUE"""),43524.64583333333)</f>
        <v>43524.64583</v>
      </c>
      <c r="B1756" s="1">
        <f>IFERROR(__xludf.DUMMYFUNCTION("""COMPUTED_VALUE"""),17800.0)</f>
        <v>17800</v>
      </c>
      <c r="C1756" s="1">
        <f>IFERROR(__xludf.DUMMYFUNCTION("""COMPUTED_VALUE"""),19450.0)</f>
        <v>19450</v>
      </c>
      <c r="D1756" s="1">
        <f>IFERROR(__xludf.DUMMYFUNCTION("""COMPUTED_VALUE"""),16450.0)</f>
        <v>16450</v>
      </c>
      <c r="E1756" s="1">
        <f>IFERROR(__xludf.DUMMYFUNCTION("""COMPUTED_VALUE"""),16800.0)</f>
        <v>16800</v>
      </c>
      <c r="F1756" s="1">
        <f>IFERROR(__xludf.DUMMYFUNCTION("""COMPUTED_VALUE"""),2337896.0)</f>
        <v>2337896</v>
      </c>
    </row>
    <row r="1757">
      <c r="A1757" s="2">
        <f>IFERROR(__xludf.DUMMYFUNCTION("""COMPUTED_VALUE"""),43528.64583333333)</f>
        <v>43528.64583</v>
      </c>
      <c r="B1757" s="1">
        <f>IFERROR(__xludf.DUMMYFUNCTION("""COMPUTED_VALUE"""),17350.0)</f>
        <v>17350</v>
      </c>
      <c r="C1757" s="1">
        <f>IFERROR(__xludf.DUMMYFUNCTION("""COMPUTED_VALUE"""),18300.0)</f>
        <v>18300</v>
      </c>
      <c r="D1757" s="1">
        <f>IFERROR(__xludf.DUMMYFUNCTION("""COMPUTED_VALUE"""),16800.0)</f>
        <v>16800</v>
      </c>
      <c r="E1757" s="1">
        <f>IFERROR(__xludf.DUMMYFUNCTION("""COMPUTED_VALUE"""),16900.0)</f>
        <v>16900</v>
      </c>
      <c r="F1757" s="1">
        <f>IFERROR(__xludf.DUMMYFUNCTION("""COMPUTED_VALUE"""),1084654.0)</f>
        <v>1084654</v>
      </c>
    </row>
    <row r="1758">
      <c r="A1758" s="2">
        <f>IFERROR(__xludf.DUMMYFUNCTION("""COMPUTED_VALUE"""),43529.64583333333)</f>
        <v>43529.64583</v>
      </c>
      <c r="B1758" s="1">
        <f>IFERROR(__xludf.DUMMYFUNCTION("""COMPUTED_VALUE"""),16550.0)</f>
        <v>16550</v>
      </c>
      <c r="C1758" s="1">
        <f>IFERROR(__xludf.DUMMYFUNCTION("""COMPUTED_VALUE"""),16700.0)</f>
        <v>16700</v>
      </c>
      <c r="D1758" s="1">
        <f>IFERROR(__xludf.DUMMYFUNCTION("""COMPUTED_VALUE"""),15750.0)</f>
        <v>15750</v>
      </c>
      <c r="E1758" s="1">
        <f>IFERROR(__xludf.DUMMYFUNCTION("""COMPUTED_VALUE"""),15900.0)</f>
        <v>15900</v>
      </c>
      <c r="F1758" s="1">
        <f>IFERROR(__xludf.DUMMYFUNCTION("""COMPUTED_VALUE"""),476034.0)</f>
        <v>476034</v>
      </c>
    </row>
    <row r="1759">
      <c r="A1759" s="2">
        <f>IFERROR(__xludf.DUMMYFUNCTION("""COMPUTED_VALUE"""),43530.64583333333)</f>
        <v>43530.64583</v>
      </c>
      <c r="B1759" s="1">
        <f>IFERROR(__xludf.DUMMYFUNCTION("""COMPUTED_VALUE"""),16000.0)</f>
        <v>16000</v>
      </c>
      <c r="C1759" s="1">
        <f>IFERROR(__xludf.DUMMYFUNCTION("""COMPUTED_VALUE"""),16850.0)</f>
        <v>16850</v>
      </c>
      <c r="D1759" s="1">
        <f>IFERROR(__xludf.DUMMYFUNCTION("""COMPUTED_VALUE"""),15900.0)</f>
        <v>15900</v>
      </c>
      <c r="E1759" s="1">
        <f>IFERROR(__xludf.DUMMYFUNCTION("""COMPUTED_VALUE"""),16050.0)</f>
        <v>16050</v>
      </c>
      <c r="F1759" s="1">
        <f>IFERROR(__xludf.DUMMYFUNCTION("""COMPUTED_VALUE"""),508871.0)</f>
        <v>508871</v>
      </c>
    </row>
    <row r="1760">
      <c r="A1760" s="2">
        <f>IFERROR(__xludf.DUMMYFUNCTION("""COMPUTED_VALUE"""),43531.64583333333)</f>
        <v>43531.64583</v>
      </c>
      <c r="B1760" s="1">
        <f>IFERROR(__xludf.DUMMYFUNCTION("""COMPUTED_VALUE"""),15900.0)</f>
        <v>15900</v>
      </c>
      <c r="C1760" s="1">
        <f>IFERROR(__xludf.DUMMYFUNCTION("""COMPUTED_VALUE"""),16450.0)</f>
        <v>16450</v>
      </c>
      <c r="D1760" s="1">
        <f>IFERROR(__xludf.DUMMYFUNCTION("""COMPUTED_VALUE"""),15450.0)</f>
        <v>15450</v>
      </c>
      <c r="E1760" s="1">
        <f>IFERROR(__xludf.DUMMYFUNCTION("""COMPUTED_VALUE"""),16450.0)</f>
        <v>16450</v>
      </c>
      <c r="F1760" s="1">
        <f>IFERROR(__xludf.DUMMYFUNCTION("""COMPUTED_VALUE"""),450574.0)</f>
        <v>450574</v>
      </c>
    </row>
    <row r="1761">
      <c r="A1761" s="2">
        <f>IFERROR(__xludf.DUMMYFUNCTION("""COMPUTED_VALUE"""),43532.64583333333)</f>
        <v>43532.64583</v>
      </c>
      <c r="B1761" s="1">
        <f>IFERROR(__xludf.DUMMYFUNCTION("""COMPUTED_VALUE"""),18050.0)</f>
        <v>18050</v>
      </c>
      <c r="C1761" s="1">
        <f>IFERROR(__xludf.DUMMYFUNCTION("""COMPUTED_VALUE"""),18350.0)</f>
        <v>18350</v>
      </c>
      <c r="D1761" s="1">
        <f>IFERROR(__xludf.DUMMYFUNCTION("""COMPUTED_VALUE"""),16650.0)</f>
        <v>16650</v>
      </c>
      <c r="E1761" s="1">
        <f>IFERROR(__xludf.DUMMYFUNCTION("""COMPUTED_VALUE"""),16650.0)</f>
        <v>16650</v>
      </c>
      <c r="F1761" s="1">
        <f>IFERROR(__xludf.DUMMYFUNCTION("""COMPUTED_VALUE"""),1264322.0)</f>
        <v>1264322</v>
      </c>
    </row>
    <row r="1762">
      <c r="A1762" s="2">
        <f>IFERROR(__xludf.DUMMYFUNCTION("""COMPUTED_VALUE"""),43535.64583333333)</f>
        <v>43535.64583</v>
      </c>
      <c r="B1762" s="1">
        <f>IFERROR(__xludf.DUMMYFUNCTION("""COMPUTED_VALUE"""),16600.0)</f>
        <v>16600</v>
      </c>
      <c r="C1762" s="1">
        <f>IFERROR(__xludf.DUMMYFUNCTION("""COMPUTED_VALUE"""),16950.0)</f>
        <v>16950</v>
      </c>
      <c r="D1762" s="1">
        <f>IFERROR(__xludf.DUMMYFUNCTION("""COMPUTED_VALUE"""),16350.0)</f>
        <v>16350</v>
      </c>
      <c r="E1762" s="1">
        <f>IFERROR(__xludf.DUMMYFUNCTION("""COMPUTED_VALUE"""),16650.0)</f>
        <v>16650</v>
      </c>
      <c r="F1762" s="1">
        <f>IFERROR(__xludf.DUMMYFUNCTION("""COMPUTED_VALUE"""),246622.0)</f>
        <v>246622</v>
      </c>
    </row>
    <row r="1763">
      <c r="A1763" s="2">
        <f>IFERROR(__xludf.DUMMYFUNCTION("""COMPUTED_VALUE"""),43536.64583333333)</f>
        <v>43536.64583</v>
      </c>
      <c r="B1763" s="1">
        <f>IFERROR(__xludf.DUMMYFUNCTION("""COMPUTED_VALUE"""),16800.0)</f>
        <v>16800</v>
      </c>
      <c r="C1763" s="1">
        <f>IFERROR(__xludf.DUMMYFUNCTION("""COMPUTED_VALUE"""),16900.0)</f>
        <v>16900</v>
      </c>
      <c r="D1763" s="1">
        <f>IFERROR(__xludf.DUMMYFUNCTION("""COMPUTED_VALUE"""),16550.0)</f>
        <v>16550</v>
      </c>
      <c r="E1763" s="1">
        <f>IFERROR(__xludf.DUMMYFUNCTION("""COMPUTED_VALUE"""),16600.0)</f>
        <v>16600</v>
      </c>
      <c r="F1763" s="1">
        <f>IFERROR(__xludf.DUMMYFUNCTION("""COMPUTED_VALUE"""),211528.0)</f>
        <v>211528</v>
      </c>
    </row>
    <row r="1764">
      <c r="A1764" s="2">
        <f>IFERROR(__xludf.DUMMYFUNCTION("""COMPUTED_VALUE"""),43537.64583333333)</f>
        <v>43537.64583</v>
      </c>
      <c r="B1764" s="1">
        <f>IFERROR(__xludf.DUMMYFUNCTION("""COMPUTED_VALUE"""),16650.0)</f>
        <v>16650</v>
      </c>
      <c r="C1764" s="1">
        <f>IFERROR(__xludf.DUMMYFUNCTION("""COMPUTED_VALUE"""),16800.0)</f>
        <v>16800</v>
      </c>
      <c r="D1764" s="1">
        <f>IFERROR(__xludf.DUMMYFUNCTION("""COMPUTED_VALUE"""),15900.0)</f>
        <v>15900</v>
      </c>
      <c r="E1764" s="1">
        <f>IFERROR(__xludf.DUMMYFUNCTION("""COMPUTED_VALUE"""),16350.0)</f>
        <v>16350</v>
      </c>
      <c r="F1764" s="1">
        <f>IFERROR(__xludf.DUMMYFUNCTION("""COMPUTED_VALUE"""),210177.0)</f>
        <v>210177</v>
      </c>
    </row>
    <row r="1765">
      <c r="A1765" s="2">
        <f>IFERROR(__xludf.DUMMYFUNCTION("""COMPUTED_VALUE"""),43538.64583333333)</f>
        <v>43538.64583</v>
      </c>
      <c r="B1765" s="1">
        <f>IFERROR(__xludf.DUMMYFUNCTION("""COMPUTED_VALUE"""),16400.0)</f>
        <v>16400</v>
      </c>
      <c r="C1765" s="1">
        <f>IFERROR(__xludf.DUMMYFUNCTION("""COMPUTED_VALUE"""),16800.0)</f>
        <v>16800</v>
      </c>
      <c r="D1765" s="1">
        <f>IFERROR(__xludf.DUMMYFUNCTION("""COMPUTED_VALUE"""),16250.0)</f>
        <v>16250</v>
      </c>
      <c r="E1765" s="1">
        <f>IFERROR(__xludf.DUMMYFUNCTION("""COMPUTED_VALUE"""),16550.0)</f>
        <v>16550</v>
      </c>
      <c r="F1765" s="1">
        <f>IFERROR(__xludf.DUMMYFUNCTION("""COMPUTED_VALUE"""),141940.0)</f>
        <v>141940</v>
      </c>
    </row>
    <row r="1766">
      <c r="A1766" s="2">
        <f>IFERROR(__xludf.DUMMYFUNCTION("""COMPUTED_VALUE"""),43539.64583333333)</f>
        <v>43539.64583</v>
      </c>
      <c r="B1766" s="1">
        <f>IFERROR(__xludf.DUMMYFUNCTION("""COMPUTED_VALUE"""),16400.0)</f>
        <v>16400</v>
      </c>
      <c r="C1766" s="1">
        <f>IFERROR(__xludf.DUMMYFUNCTION("""COMPUTED_VALUE"""),16600.0)</f>
        <v>16600</v>
      </c>
      <c r="D1766" s="1">
        <f>IFERROR(__xludf.DUMMYFUNCTION("""COMPUTED_VALUE"""),15900.0)</f>
        <v>15900</v>
      </c>
      <c r="E1766" s="1">
        <f>IFERROR(__xludf.DUMMYFUNCTION("""COMPUTED_VALUE"""),16050.0)</f>
        <v>16050</v>
      </c>
      <c r="F1766" s="1">
        <f>IFERROR(__xludf.DUMMYFUNCTION("""COMPUTED_VALUE"""),168955.0)</f>
        <v>168955</v>
      </c>
    </row>
    <row r="1767">
      <c r="A1767" s="2">
        <f>IFERROR(__xludf.DUMMYFUNCTION("""COMPUTED_VALUE"""),43542.64583333333)</f>
        <v>43542.64583</v>
      </c>
      <c r="B1767" s="1">
        <f>IFERROR(__xludf.DUMMYFUNCTION("""COMPUTED_VALUE"""),15900.0)</f>
        <v>15900</v>
      </c>
      <c r="C1767" s="1">
        <f>IFERROR(__xludf.DUMMYFUNCTION("""COMPUTED_VALUE"""),16400.0)</f>
        <v>16400</v>
      </c>
      <c r="D1767" s="1">
        <f>IFERROR(__xludf.DUMMYFUNCTION("""COMPUTED_VALUE"""),15900.0)</f>
        <v>15900</v>
      </c>
      <c r="E1767" s="1">
        <f>IFERROR(__xludf.DUMMYFUNCTION("""COMPUTED_VALUE"""),16150.0)</f>
        <v>16150</v>
      </c>
      <c r="F1767" s="1">
        <f>IFERROR(__xludf.DUMMYFUNCTION("""COMPUTED_VALUE"""),79069.0)</f>
        <v>79069</v>
      </c>
    </row>
    <row r="1768">
      <c r="A1768" s="2">
        <f>IFERROR(__xludf.DUMMYFUNCTION("""COMPUTED_VALUE"""),43543.64583333333)</f>
        <v>43543.64583</v>
      </c>
      <c r="B1768" s="1">
        <f>IFERROR(__xludf.DUMMYFUNCTION("""COMPUTED_VALUE"""),16250.0)</f>
        <v>16250</v>
      </c>
      <c r="C1768" s="1">
        <f>IFERROR(__xludf.DUMMYFUNCTION("""COMPUTED_VALUE"""),16400.0)</f>
        <v>16400</v>
      </c>
      <c r="D1768" s="1">
        <f>IFERROR(__xludf.DUMMYFUNCTION("""COMPUTED_VALUE"""),15950.0)</f>
        <v>15950</v>
      </c>
      <c r="E1768" s="1">
        <f>IFERROR(__xludf.DUMMYFUNCTION("""COMPUTED_VALUE"""),16000.0)</f>
        <v>16000</v>
      </c>
      <c r="F1768" s="1">
        <f>IFERROR(__xludf.DUMMYFUNCTION("""COMPUTED_VALUE"""),92234.0)</f>
        <v>92234</v>
      </c>
    </row>
    <row r="1769">
      <c r="A1769" s="2">
        <f>IFERROR(__xludf.DUMMYFUNCTION("""COMPUTED_VALUE"""),43544.64583333333)</f>
        <v>43544.64583</v>
      </c>
      <c r="B1769" s="1">
        <f>IFERROR(__xludf.DUMMYFUNCTION("""COMPUTED_VALUE"""),16250.0)</f>
        <v>16250</v>
      </c>
      <c r="C1769" s="1">
        <f>IFERROR(__xludf.DUMMYFUNCTION("""COMPUTED_VALUE"""),17150.0)</f>
        <v>17150</v>
      </c>
      <c r="D1769" s="1">
        <f>IFERROR(__xludf.DUMMYFUNCTION("""COMPUTED_VALUE"""),16100.0)</f>
        <v>16100</v>
      </c>
      <c r="E1769" s="1">
        <f>IFERROR(__xludf.DUMMYFUNCTION("""COMPUTED_VALUE"""),16900.0)</f>
        <v>16900</v>
      </c>
      <c r="F1769" s="1">
        <f>IFERROR(__xludf.DUMMYFUNCTION("""COMPUTED_VALUE"""),536815.0)</f>
        <v>536815</v>
      </c>
    </row>
    <row r="1770">
      <c r="A1770" s="2">
        <f>IFERROR(__xludf.DUMMYFUNCTION("""COMPUTED_VALUE"""),43545.64583333333)</f>
        <v>43545.64583</v>
      </c>
      <c r="B1770" s="1">
        <f>IFERROR(__xludf.DUMMYFUNCTION("""COMPUTED_VALUE"""),17050.0)</f>
        <v>17050</v>
      </c>
      <c r="C1770" s="1">
        <f>IFERROR(__xludf.DUMMYFUNCTION("""COMPUTED_VALUE"""),17350.0)</f>
        <v>17350</v>
      </c>
      <c r="D1770" s="1">
        <f>IFERROR(__xludf.DUMMYFUNCTION("""COMPUTED_VALUE"""),16700.0)</f>
        <v>16700</v>
      </c>
      <c r="E1770" s="1">
        <f>IFERROR(__xludf.DUMMYFUNCTION("""COMPUTED_VALUE"""),17200.0)</f>
        <v>17200</v>
      </c>
      <c r="F1770" s="1">
        <f>IFERROR(__xludf.DUMMYFUNCTION("""COMPUTED_VALUE"""),366909.0)</f>
        <v>366909</v>
      </c>
    </row>
    <row r="1771">
      <c r="A1771" s="2">
        <f>IFERROR(__xludf.DUMMYFUNCTION("""COMPUTED_VALUE"""),43546.64583333333)</f>
        <v>43546.64583</v>
      </c>
      <c r="B1771" s="1">
        <f>IFERROR(__xludf.DUMMYFUNCTION("""COMPUTED_VALUE"""),17350.0)</f>
        <v>17350</v>
      </c>
      <c r="C1771" s="1">
        <f>IFERROR(__xludf.DUMMYFUNCTION("""COMPUTED_VALUE"""),20400.0)</f>
        <v>20400</v>
      </c>
      <c r="D1771" s="1">
        <f>IFERROR(__xludf.DUMMYFUNCTION("""COMPUTED_VALUE"""),16900.0)</f>
        <v>16900</v>
      </c>
      <c r="E1771" s="1">
        <f>IFERROR(__xludf.DUMMYFUNCTION("""COMPUTED_VALUE"""),17850.0)</f>
        <v>17850</v>
      </c>
      <c r="F1771" s="1">
        <f>IFERROR(__xludf.DUMMYFUNCTION("""COMPUTED_VALUE"""),5196732.0)</f>
        <v>5196732</v>
      </c>
    </row>
    <row r="1772">
      <c r="A1772" s="2">
        <f>IFERROR(__xludf.DUMMYFUNCTION("""COMPUTED_VALUE"""),43549.64583333333)</f>
        <v>43549.64583</v>
      </c>
      <c r="B1772" s="1">
        <f>IFERROR(__xludf.DUMMYFUNCTION("""COMPUTED_VALUE"""),17650.0)</f>
        <v>17650</v>
      </c>
      <c r="C1772" s="1">
        <f>IFERROR(__xludf.DUMMYFUNCTION("""COMPUTED_VALUE"""),17850.0)</f>
        <v>17850</v>
      </c>
      <c r="D1772" s="1">
        <f>IFERROR(__xludf.DUMMYFUNCTION("""COMPUTED_VALUE"""),17050.0)</f>
        <v>17050</v>
      </c>
      <c r="E1772" s="1">
        <f>IFERROR(__xludf.DUMMYFUNCTION("""COMPUTED_VALUE"""),17050.0)</f>
        <v>17050</v>
      </c>
      <c r="F1772" s="1">
        <f>IFERROR(__xludf.DUMMYFUNCTION("""COMPUTED_VALUE"""),411163.0)</f>
        <v>411163</v>
      </c>
    </row>
    <row r="1773">
      <c r="A1773" s="2">
        <f>IFERROR(__xludf.DUMMYFUNCTION("""COMPUTED_VALUE"""),43550.64583333333)</f>
        <v>43550.64583</v>
      </c>
      <c r="B1773" s="1">
        <f>IFERROR(__xludf.DUMMYFUNCTION("""COMPUTED_VALUE"""),17150.0)</f>
        <v>17150</v>
      </c>
      <c r="C1773" s="1">
        <f>IFERROR(__xludf.DUMMYFUNCTION("""COMPUTED_VALUE"""),18050.0)</f>
        <v>18050</v>
      </c>
      <c r="D1773" s="1">
        <f>IFERROR(__xludf.DUMMYFUNCTION("""COMPUTED_VALUE"""),17050.0)</f>
        <v>17050</v>
      </c>
      <c r="E1773" s="1">
        <f>IFERROR(__xludf.DUMMYFUNCTION("""COMPUTED_VALUE"""),17150.0)</f>
        <v>17150</v>
      </c>
      <c r="F1773" s="1">
        <f>IFERROR(__xludf.DUMMYFUNCTION("""COMPUTED_VALUE"""),842871.0)</f>
        <v>842871</v>
      </c>
    </row>
    <row r="1774">
      <c r="A1774" s="2">
        <f>IFERROR(__xludf.DUMMYFUNCTION("""COMPUTED_VALUE"""),43551.64583333333)</f>
        <v>43551.64583</v>
      </c>
      <c r="B1774" s="1">
        <f>IFERROR(__xludf.DUMMYFUNCTION("""COMPUTED_VALUE"""),17150.0)</f>
        <v>17150</v>
      </c>
      <c r="C1774" s="1">
        <f>IFERROR(__xludf.DUMMYFUNCTION("""COMPUTED_VALUE"""),18200.0)</f>
        <v>18200</v>
      </c>
      <c r="D1774" s="1">
        <f>IFERROR(__xludf.DUMMYFUNCTION("""COMPUTED_VALUE"""),16850.0)</f>
        <v>16850</v>
      </c>
      <c r="E1774" s="1">
        <f>IFERROR(__xludf.DUMMYFUNCTION("""COMPUTED_VALUE"""),18200.0)</f>
        <v>18200</v>
      </c>
      <c r="F1774" s="1">
        <f>IFERROR(__xludf.DUMMYFUNCTION("""COMPUTED_VALUE"""),738313.0)</f>
        <v>738313</v>
      </c>
    </row>
    <row r="1775">
      <c r="A1775" s="2">
        <f>IFERROR(__xludf.DUMMYFUNCTION("""COMPUTED_VALUE"""),43552.64583333333)</f>
        <v>43552.64583</v>
      </c>
      <c r="B1775" s="1">
        <f>IFERROR(__xludf.DUMMYFUNCTION("""COMPUTED_VALUE"""),18100.0)</f>
        <v>18100</v>
      </c>
      <c r="C1775" s="1">
        <f>IFERROR(__xludf.DUMMYFUNCTION("""COMPUTED_VALUE"""),18800.0)</f>
        <v>18800</v>
      </c>
      <c r="D1775" s="1">
        <f>IFERROR(__xludf.DUMMYFUNCTION("""COMPUTED_VALUE"""),17400.0)</f>
        <v>17400</v>
      </c>
      <c r="E1775" s="1">
        <f>IFERROR(__xludf.DUMMYFUNCTION("""COMPUTED_VALUE"""),17400.0)</f>
        <v>17400</v>
      </c>
      <c r="F1775" s="1">
        <f>IFERROR(__xludf.DUMMYFUNCTION("""COMPUTED_VALUE"""),895016.0)</f>
        <v>895016</v>
      </c>
    </row>
    <row r="1776">
      <c r="A1776" s="2">
        <f>IFERROR(__xludf.DUMMYFUNCTION("""COMPUTED_VALUE"""),43553.64583333333)</f>
        <v>43553.64583</v>
      </c>
      <c r="B1776" s="1">
        <f>IFERROR(__xludf.DUMMYFUNCTION("""COMPUTED_VALUE"""),17550.0)</f>
        <v>17550</v>
      </c>
      <c r="C1776" s="1">
        <f>IFERROR(__xludf.DUMMYFUNCTION("""COMPUTED_VALUE"""),18750.0)</f>
        <v>18750</v>
      </c>
      <c r="D1776" s="1">
        <f>IFERROR(__xludf.DUMMYFUNCTION("""COMPUTED_VALUE"""),17450.0)</f>
        <v>17450</v>
      </c>
      <c r="E1776" s="1">
        <f>IFERROR(__xludf.DUMMYFUNCTION("""COMPUTED_VALUE"""),18000.0)</f>
        <v>18000</v>
      </c>
      <c r="F1776" s="1">
        <f>IFERROR(__xludf.DUMMYFUNCTION("""COMPUTED_VALUE"""),897148.0)</f>
        <v>897148</v>
      </c>
    </row>
    <row r="1777">
      <c r="A1777" s="2">
        <f>IFERROR(__xludf.DUMMYFUNCTION("""COMPUTED_VALUE"""),43556.64583333333)</f>
        <v>43556.64583</v>
      </c>
      <c r="B1777" s="1">
        <f>IFERROR(__xludf.DUMMYFUNCTION("""COMPUTED_VALUE"""),18000.0)</f>
        <v>18000</v>
      </c>
      <c r="C1777" s="1">
        <f>IFERROR(__xludf.DUMMYFUNCTION("""COMPUTED_VALUE"""),18250.0)</f>
        <v>18250</v>
      </c>
      <c r="D1777" s="1">
        <f>IFERROR(__xludf.DUMMYFUNCTION("""COMPUTED_VALUE"""),17650.0)</f>
        <v>17650</v>
      </c>
      <c r="E1777" s="1">
        <f>IFERROR(__xludf.DUMMYFUNCTION("""COMPUTED_VALUE"""),17800.0)</f>
        <v>17800</v>
      </c>
      <c r="F1777" s="1">
        <f>IFERROR(__xludf.DUMMYFUNCTION("""COMPUTED_VALUE"""),312931.0)</f>
        <v>312931</v>
      </c>
    </row>
    <row r="1778">
      <c r="A1778" s="2">
        <f>IFERROR(__xludf.DUMMYFUNCTION("""COMPUTED_VALUE"""),43557.64583333333)</f>
        <v>43557.64583</v>
      </c>
      <c r="B1778" s="1">
        <f>IFERROR(__xludf.DUMMYFUNCTION("""COMPUTED_VALUE"""),18300.0)</f>
        <v>18300</v>
      </c>
      <c r="C1778" s="1">
        <f>IFERROR(__xludf.DUMMYFUNCTION("""COMPUTED_VALUE"""),18600.0)</f>
        <v>18600</v>
      </c>
      <c r="D1778" s="1">
        <f>IFERROR(__xludf.DUMMYFUNCTION("""COMPUTED_VALUE"""),17650.0)</f>
        <v>17650</v>
      </c>
      <c r="E1778" s="1">
        <f>IFERROR(__xludf.DUMMYFUNCTION("""COMPUTED_VALUE"""),17650.0)</f>
        <v>17650</v>
      </c>
      <c r="F1778" s="1">
        <f>IFERROR(__xludf.DUMMYFUNCTION("""COMPUTED_VALUE"""),509693.0)</f>
        <v>509693</v>
      </c>
    </row>
    <row r="1779">
      <c r="A1779" s="2">
        <f>IFERROR(__xludf.DUMMYFUNCTION("""COMPUTED_VALUE"""),43558.64583333333)</f>
        <v>43558.64583</v>
      </c>
      <c r="B1779" s="1">
        <f>IFERROR(__xludf.DUMMYFUNCTION("""COMPUTED_VALUE"""),17650.0)</f>
        <v>17650</v>
      </c>
      <c r="C1779" s="1">
        <f>IFERROR(__xludf.DUMMYFUNCTION("""COMPUTED_VALUE"""),18050.0)</f>
        <v>18050</v>
      </c>
      <c r="D1779" s="1">
        <f>IFERROR(__xludf.DUMMYFUNCTION("""COMPUTED_VALUE"""),17200.0)</f>
        <v>17200</v>
      </c>
      <c r="E1779" s="1">
        <f>IFERROR(__xludf.DUMMYFUNCTION("""COMPUTED_VALUE"""),17400.0)</f>
        <v>17400</v>
      </c>
      <c r="F1779" s="1">
        <f>IFERROR(__xludf.DUMMYFUNCTION("""COMPUTED_VALUE"""),293628.0)</f>
        <v>293628</v>
      </c>
    </row>
    <row r="1780">
      <c r="A1780" s="2">
        <f>IFERROR(__xludf.DUMMYFUNCTION("""COMPUTED_VALUE"""),43559.64583333333)</f>
        <v>43559.64583</v>
      </c>
      <c r="B1780" s="1">
        <f>IFERROR(__xludf.DUMMYFUNCTION("""COMPUTED_VALUE"""),17400.0)</f>
        <v>17400</v>
      </c>
      <c r="C1780" s="1">
        <f>IFERROR(__xludf.DUMMYFUNCTION("""COMPUTED_VALUE"""),17550.0)</f>
        <v>17550</v>
      </c>
      <c r="D1780" s="1">
        <f>IFERROR(__xludf.DUMMYFUNCTION("""COMPUTED_VALUE"""),17000.0)</f>
        <v>17000</v>
      </c>
      <c r="E1780" s="1">
        <f>IFERROR(__xludf.DUMMYFUNCTION("""COMPUTED_VALUE"""),17100.0)</f>
        <v>17100</v>
      </c>
      <c r="F1780" s="1">
        <f>IFERROR(__xludf.DUMMYFUNCTION("""COMPUTED_VALUE"""),195188.0)</f>
        <v>195188</v>
      </c>
    </row>
    <row r="1781">
      <c r="A1781" s="2">
        <f>IFERROR(__xludf.DUMMYFUNCTION("""COMPUTED_VALUE"""),43560.64583333333)</f>
        <v>43560.64583</v>
      </c>
      <c r="B1781" s="1">
        <f>IFERROR(__xludf.DUMMYFUNCTION("""COMPUTED_VALUE"""),17150.0)</f>
        <v>17150</v>
      </c>
      <c r="C1781" s="1">
        <f>IFERROR(__xludf.DUMMYFUNCTION("""COMPUTED_VALUE"""),17800.0)</f>
        <v>17800</v>
      </c>
      <c r="D1781" s="1">
        <f>IFERROR(__xludf.DUMMYFUNCTION("""COMPUTED_VALUE"""),17100.0)</f>
        <v>17100</v>
      </c>
      <c r="E1781" s="1">
        <f>IFERROR(__xludf.DUMMYFUNCTION("""COMPUTED_VALUE"""),17800.0)</f>
        <v>17800</v>
      </c>
      <c r="F1781" s="1">
        <f>IFERROR(__xludf.DUMMYFUNCTION("""COMPUTED_VALUE"""),249828.0)</f>
        <v>249828</v>
      </c>
    </row>
    <row r="1782">
      <c r="A1782" s="2">
        <f>IFERROR(__xludf.DUMMYFUNCTION("""COMPUTED_VALUE"""),43563.64583333333)</f>
        <v>43563.64583</v>
      </c>
      <c r="B1782" s="1">
        <f>IFERROR(__xludf.DUMMYFUNCTION("""COMPUTED_VALUE"""),18000.0)</f>
        <v>18000</v>
      </c>
      <c r="C1782" s="1">
        <f>IFERROR(__xludf.DUMMYFUNCTION("""COMPUTED_VALUE"""),18800.0)</f>
        <v>18800</v>
      </c>
      <c r="D1782" s="1">
        <f>IFERROR(__xludf.DUMMYFUNCTION("""COMPUTED_VALUE"""),17550.0)</f>
        <v>17550</v>
      </c>
      <c r="E1782" s="1">
        <f>IFERROR(__xludf.DUMMYFUNCTION("""COMPUTED_VALUE"""),18700.0)</f>
        <v>18700</v>
      </c>
      <c r="F1782" s="1">
        <f>IFERROR(__xludf.DUMMYFUNCTION("""COMPUTED_VALUE"""),473020.0)</f>
        <v>473020</v>
      </c>
    </row>
    <row r="1783">
      <c r="A1783" s="2">
        <f>IFERROR(__xludf.DUMMYFUNCTION("""COMPUTED_VALUE"""),43564.64583333333)</f>
        <v>43564.64583</v>
      </c>
      <c r="B1783" s="1">
        <f>IFERROR(__xludf.DUMMYFUNCTION("""COMPUTED_VALUE"""),18600.0)</f>
        <v>18600</v>
      </c>
      <c r="C1783" s="1">
        <f>IFERROR(__xludf.DUMMYFUNCTION("""COMPUTED_VALUE"""),18650.0)</f>
        <v>18650</v>
      </c>
      <c r="D1783" s="1">
        <f>IFERROR(__xludf.DUMMYFUNCTION("""COMPUTED_VALUE"""),18150.0)</f>
        <v>18150</v>
      </c>
      <c r="E1783" s="1">
        <f>IFERROR(__xludf.DUMMYFUNCTION("""COMPUTED_VALUE"""),18300.0)</f>
        <v>18300</v>
      </c>
      <c r="F1783" s="1">
        <f>IFERROR(__xludf.DUMMYFUNCTION("""COMPUTED_VALUE"""),260226.0)</f>
        <v>260226</v>
      </c>
    </row>
    <row r="1784">
      <c r="A1784" s="2">
        <f>IFERROR(__xludf.DUMMYFUNCTION("""COMPUTED_VALUE"""),43565.64583333333)</f>
        <v>43565.64583</v>
      </c>
      <c r="B1784" s="1">
        <f>IFERROR(__xludf.DUMMYFUNCTION("""COMPUTED_VALUE"""),18200.0)</f>
        <v>18200</v>
      </c>
      <c r="C1784" s="1">
        <f>IFERROR(__xludf.DUMMYFUNCTION("""COMPUTED_VALUE"""),18300.0)</f>
        <v>18300</v>
      </c>
      <c r="D1784" s="1">
        <f>IFERROR(__xludf.DUMMYFUNCTION("""COMPUTED_VALUE"""),16850.0)</f>
        <v>16850</v>
      </c>
      <c r="E1784" s="1">
        <f>IFERROR(__xludf.DUMMYFUNCTION("""COMPUTED_VALUE"""),17350.0)</f>
        <v>17350</v>
      </c>
      <c r="F1784" s="1">
        <f>IFERROR(__xludf.DUMMYFUNCTION("""COMPUTED_VALUE"""),431224.0)</f>
        <v>431224</v>
      </c>
    </row>
    <row r="1785">
      <c r="A1785" s="2">
        <f>IFERROR(__xludf.DUMMYFUNCTION("""COMPUTED_VALUE"""),43566.64583333333)</f>
        <v>43566.64583</v>
      </c>
      <c r="B1785" s="1">
        <f>IFERROR(__xludf.DUMMYFUNCTION("""COMPUTED_VALUE"""),17500.0)</f>
        <v>17500</v>
      </c>
      <c r="C1785" s="1">
        <f>IFERROR(__xludf.DUMMYFUNCTION("""COMPUTED_VALUE"""),17550.0)</f>
        <v>17550</v>
      </c>
      <c r="D1785" s="1">
        <f>IFERROR(__xludf.DUMMYFUNCTION("""COMPUTED_VALUE"""),17000.0)</f>
        <v>17000</v>
      </c>
      <c r="E1785" s="1">
        <f>IFERROR(__xludf.DUMMYFUNCTION("""COMPUTED_VALUE"""),17100.0)</f>
        <v>17100</v>
      </c>
      <c r="F1785" s="1">
        <f>IFERROR(__xludf.DUMMYFUNCTION("""COMPUTED_VALUE"""),202151.0)</f>
        <v>202151</v>
      </c>
    </row>
    <row r="1786">
      <c r="A1786" s="2">
        <f>IFERROR(__xludf.DUMMYFUNCTION("""COMPUTED_VALUE"""),43567.64583333333)</f>
        <v>43567.64583</v>
      </c>
      <c r="B1786" s="1">
        <f>IFERROR(__xludf.DUMMYFUNCTION("""COMPUTED_VALUE"""),17000.0)</f>
        <v>17000</v>
      </c>
      <c r="C1786" s="1">
        <f>IFERROR(__xludf.DUMMYFUNCTION("""COMPUTED_VALUE"""),17350.0)</f>
        <v>17350</v>
      </c>
      <c r="D1786" s="1">
        <f>IFERROR(__xludf.DUMMYFUNCTION("""COMPUTED_VALUE"""),16900.0)</f>
        <v>16900</v>
      </c>
      <c r="E1786" s="1">
        <f>IFERROR(__xludf.DUMMYFUNCTION("""COMPUTED_VALUE"""),16950.0)</f>
        <v>16950</v>
      </c>
      <c r="F1786" s="1">
        <f>IFERROR(__xludf.DUMMYFUNCTION("""COMPUTED_VALUE"""),130696.0)</f>
        <v>130696</v>
      </c>
    </row>
    <row r="1787">
      <c r="A1787" s="2">
        <f>IFERROR(__xludf.DUMMYFUNCTION("""COMPUTED_VALUE"""),43570.64583333333)</f>
        <v>43570.64583</v>
      </c>
      <c r="B1787" s="1">
        <f>IFERROR(__xludf.DUMMYFUNCTION("""COMPUTED_VALUE"""),17000.0)</f>
        <v>17000</v>
      </c>
      <c r="C1787" s="1">
        <f>IFERROR(__xludf.DUMMYFUNCTION("""COMPUTED_VALUE"""),17050.0)</f>
        <v>17050</v>
      </c>
      <c r="D1787" s="1">
        <f>IFERROR(__xludf.DUMMYFUNCTION("""COMPUTED_VALUE"""),16650.0)</f>
        <v>16650</v>
      </c>
      <c r="E1787" s="1">
        <f>IFERROR(__xludf.DUMMYFUNCTION("""COMPUTED_VALUE"""),16850.0)</f>
        <v>16850</v>
      </c>
      <c r="F1787" s="1">
        <f>IFERROR(__xludf.DUMMYFUNCTION("""COMPUTED_VALUE"""),156920.0)</f>
        <v>156920</v>
      </c>
    </row>
    <row r="1788">
      <c r="A1788" s="2">
        <f>IFERROR(__xludf.DUMMYFUNCTION("""COMPUTED_VALUE"""),43571.64583333333)</f>
        <v>43571.64583</v>
      </c>
      <c r="B1788" s="1">
        <f>IFERROR(__xludf.DUMMYFUNCTION("""COMPUTED_VALUE"""),17000.0)</f>
        <v>17000</v>
      </c>
      <c r="C1788" s="1">
        <f>IFERROR(__xludf.DUMMYFUNCTION("""COMPUTED_VALUE"""),17000.0)</f>
        <v>17000</v>
      </c>
      <c r="D1788" s="1">
        <f>IFERROR(__xludf.DUMMYFUNCTION("""COMPUTED_VALUE"""),16350.0)</f>
        <v>16350</v>
      </c>
      <c r="E1788" s="1">
        <f>IFERROR(__xludf.DUMMYFUNCTION("""COMPUTED_VALUE"""),16450.0)</f>
        <v>16450</v>
      </c>
      <c r="F1788" s="1">
        <f>IFERROR(__xludf.DUMMYFUNCTION("""COMPUTED_VALUE"""),159359.0)</f>
        <v>159359</v>
      </c>
    </row>
    <row r="1789">
      <c r="A1789" s="2">
        <f>IFERROR(__xludf.DUMMYFUNCTION("""COMPUTED_VALUE"""),43572.64583333333)</f>
        <v>43572.64583</v>
      </c>
      <c r="B1789" s="1">
        <f>IFERROR(__xludf.DUMMYFUNCTION("""COMPUTED_VALUE"""),16500.0)</f>
        <v>16500</v>
      </c>
      <c r="C1789" s="1">
        <f>IFERROR(__xludf.DUMMYFUNCTION("""COMPUTED_VALUE"""),16950.0)</f>
        <v>16950</v>
      </c>
      <c r="D1789" s="1">
        <f>IFERROR(__xludf.DUMMYFUNCTION("""COMPUTED_VALUE"""),16400.0)</f>
        <v>16400</v>
      </c>
      <c r="E1789" s="1">
        <f>IFERROR(__xludf.DUMMYFUNCTION("""COMPUTED_VALUE"""),16400.0)</f>
        <v>16400</v>
      </c>
      <c r="F1789" s="1">
        <f>IFERROR(__xludf.DUMMYFUNCTION("""COMPUTED_VALUE"""),149492.0)</f>
        <v>149492</v>
      </c>
    </row>
    <row r="1790">
      <c r="A1790" s="2">
        <f>IFERROR(__xludf.DUMMYFUNCTION("""COMPUTED_VALUE"""),43573.64583333333)</f>
        <v>43573.64583</v>
      </c>
      <c r="B1790" s="1">
        <f>IFERROR(__xludf.DUMMYFUNCTION("""COMPUTED_VALUE"""),16600.0)</f>
        <v>16600</v>
      </c>
      <c r="C1790" s="1">
        <f>IFERROR(__xludf.DUMMYFUNCTION("""COMPUTED_VALUE"""),16600.0)</f>
        <v>16600</v>
      </c>
      <c r="D1790" s="1">
        <f>IFERROR(__xludf.DUMMYFUNCTION("""COMPUTED_VALUE"""),16000.0)</f>
        <v>16000</v>
      </c>
      <c r="E1790" s="1">
        <f>IFERROR(__xludf.DUMMYFUNCTION("""COMPUTED_VALUE"""),16000.0)</f>
        <v>16000</v>
      </c>
      <c r="F1790" s="1">
        <f>IFERROR(__xludf.DUMMYFUNCTION("""COMPUTED_VALUE"""),122910.0)</f>
        <v>122910</v>
      </c>
    </row>
    <row r="1791">
      <c r="A1791" s="2">
        <f>IFERROR(__xludf.DUMMYFUNCTION("""COMPUTED_VALUE"""),43574.64583333333)</f>
        <v>43574.64583</v>
      </c>
      <c r="B1791" s="1">
        <f>IFERROR(__xludf.DUMMYFUNCTION("""COMPUTED_VALUE"""),16250.0)</f>
        <v>16250</v>
      </c>
      <c r="C1791" s="1">
        <f>IFERROR(__xludf.DUMMYFUNCTION("""COMPUTED_VALUE"""),16250.0)</f>
        <v>16250</v>
      </c>
      <c r="D1791" s="1">
        <f>IFERROR(__xludf.DUMMYFUNCTION("""COMPUTED_VALUE"""),15950.0)</f>
        <v>15950</v>
      </c>
      <c r="E1791" s="1">
        <f>IFERROR(__xludf.DUMMYFUNCTION("""COMPUTED_VALUE"""),15950.0)</f>
        <v>15950</v>
      </c>
      <c r="F1791" s="1">
        <f>IFERROR(__xludf.DUMMYFUNCTION("""COMPUTED_VALUE"""),64041.0)</f>
        <v>64041</v>
      </c>
    </row>
    <row r="1792">
      <c r="A1792" s="2">
        <f>IFERROR(__xludf.DUMMYFUNCTION("""COMPUTED_VALUE"""),43577.64583333333)</f>
        <v>43577.64583</v>
      </c>
      <c r="B1792" s="1">
        <f>IFERROR(__xludf.DUMMYFUNCTION("""COMPUTED_VALUE"""),16050.0)</f>
        <v>16050</v>
      </c>
      <c r="C1792" s="1">
        <f>IFERROR(__xludf.DUMMYFUNCTION("""COMPUTED_VALUE"""),16300.0)</f>
        <v>16300</v>
      </c>
      <c r="D1792" s="1">
        <f>IFERROR(__xludf.DUMMYFUNCTION("""COMPUTED_VALUE"""),16000.0)</f>
        <v>16000</v>
      </c>
      <c r="E1792" s="1">
        <f>IFERROR(__xludf.DUMMYFUNCTION("""COMPUTED_VALUE"""),16200.0)</f>
        <v>16200</v>
      </c>
      <c r="F1792" s="1">
        <f>IFERROR(__xludf.DUMMYFUNCTION("""COMPUTED_VALUE"""),54862.0)</f>
        <v>54862</v>
      </c>
    </row>
    <row r="1793">
      <c r="A1793" s="2">
        <f>IFERROR(__xludf.DUMMYFUNCTION("""COMPUTED_VALUE"""),43578.64583333333)</f>
        <v>43578.64583</v>
      </c>
      <c r="B1793" s="1">
        <f>IFERROR(__xludf.DUMMYFUNCTION("""COMPUTED_VALUE"""),16300.0)</f>
        <v>16300</v>
      </c>
      <c r="C1793" s="1">
        <f>IFERROR(__xludf.DUMMYFUNCTION("""COMPUTED_VALUE"""),17500.0)</f>
        <v>17500</v>
      </c>
      <c r="D1793" s="1">
        <f>IFERROR(__xludf.DUMMYFUNCTION("""COMPUTED_VALUE"""),16000.0)</f>
        <v>16000</v>
      </c>
      <c r="E1793" s="1">
        <f>IFERROR(__xludf.DUMMYFUNCTION("""COMPUTED_VALUE"""),16450.0)</f>
        <v>16450</v>
      </c>
      <c r="F1793" s="1">
        <f>IFERROR(__xludf.DUMMYFUNCTION("""COMPUTED_VALUE"""),322922.0)</f>
        <v>322922</v>
      </c>
    </row>
    <row r="1794">
      <c r="A1794" s="2">
        <f>IFERROR(__xludf.DUMMYFUNCTION("""COMPUTED_VALUE"""),43579.64583333333)</f>
        <v>43579.64583</v>
      </c>
      <c r="B1794" s="1">
        <f>IFERROR(__xludf.DUMMYFUNCTION("""COMPUTED_VALUE"""),16500.0)</f>
        <v>16500</v>
      </c>
      <c r="C1794" s="1">
        <f>IFERROR(__xludf.DUMMYFUNCTION("""COMPUTED_VALUE"""),17200.0)</f>
        <v>17200</v>
      </c>
      <c r="D1794" s="1">
        <f>IFERROR(__xludf.DUMMYFUNCTION("""COMPUTED_VALUE"""),16350.0)</f>
        <v>16350</v>
      </c>
      <c r="E1794" s="1">
        <f>IFERROR(__xludf.DUMMYFUNCTION("""COMPUTED_VALUE"""),16850.0)</f>
        <v>16850</v>
      </c>
      <c r="F1794" s="1">
        <f>IFERROR(__xludf.DUMMYFUNCTION("""COMPUTED_VALUE"""),190920.0)</f>
        <v>190920</v>
      </c>
    </row>
    <row r="1795">
      <c r="A1795" s="2">
        <f>IFERROR(__xludf.DUMMYFUNCTION("""COMPUTED_VALUE"""),43580.64583333333)</f>
        <v>43580.64583</v>
      </c>
      <c r="B1795" s="1">
        <f>IFERROR(__xludf.DUMMYFUNCTION("""COMPUTED_VALUE"""),16700.0)</f>
        <v>16700</v>
      </c>
      <c r="C1795" s="1">
        <f>IFERROR(__xludf.DUMMYFUNCTION("""COMPUTED_VALUE"""),17500.0)</f>
        <v>17500</v>
      </c>
      <c r="D1795" s="1">
        <f>IFERROR(__xludf.DUMMYFUNCTION("""COMPUTED_VALUE"""),16550.0)</f>
        <v>16550</v>
      </c>
      <c r="E1795" s="1">
        <f>IFERROR(__xludf.DUMMYFUNCTION("""COMPUTED_VALUE"""),17150.0)</f>
        <v>17150</v>
      </c>
      <c r="F1795" s="1">
        <f>IFERROR(__xludf.DUMMYFUNCTION("""COMPUTED_VALUE"""),333721.0)</f>
        <v>333721</v>
      </c>
    </row>
    <row r="1796">
      <c r="A1796" s="2">
        <f>IFERROR(__xludf.DUMMYFUNCTION("""COMPUTED_VALUE"""),43581.64583333333)</f>
        <v>43581.64583</v>
      </c>
      <c r="B1796" s="1">
        <f>IFERROR(__xludf.DUMMYFUNCTION("""COMPUTED_VALUE"""),17250.0)</f>
        <v>17250</v>
      </c>
      <c r="C1796" s="1">
        <f>IFERROR(__xludf.DUMMYFUNCTION("""COMPUTED_VALUE"""),17500.0)</f>
        <v>17500</v>
      </c>
      <c r="D1796" s="1">
        <f>IFERROR(__xludf.DUMMYFUNCTION("""COMPUTED_VALUE"""),16950.0)</f>
        <v>16950</v>
      </c>
      <c r="E1796" s="1">
        <f>IFERROR(__xludf.DUMMYFUNCTION("""COMPUTED_VALUE"""),17150.0)</f>
        <v>17150</v>
      </c>
      <c r="F1796" s="1">
        <f>IFERROR(__xludf.DUMMYFUNCTION("""COMPUTED_VALUE"""),176104.0)</f>
        <v>176104</v>
      </c>
    </row>
    <row r="1797">
      <c r="A1797" s="2">
        <f>IFERROR(__xludf.DUMMYFUNCTION("""COMPUTED_VALUE"""),43584.64583333333)</f>
        <v>43584.64583</v>
      </c>
      <c r="B1797" s="1">
        <f>IFERROR(__xludf.DUMMYFUNCTION("""COMPUTED_VALUE"""),17200.0)</f>
        <v>17200</v>
      </c>
      <c r="C1797" s="1">
        <f>IFERROR(__xludf.DUMMYFUNCTION("""COMPUTED_VALUE"""),17650.0)</f>
        <v>17650</v>
      </c>
      <c r="D1797" s="1">
        <f>IFERROR(__xludf.DUMMYFUNCTION("""COMPUTED_VALUE"""),16800.0)</f>
        <v>16800</v>
      </c>
      <c r="E1797" s="1">
        <f>IFERROR(__xludf.DUMMYFUNCTION("""COMPUTED_VALUE"""),17500.0)</f>
        <v>17500</v>
      </c>
      <c r="F1797" s="1">
        <f>IFERROR(__xludf.DUMMYFUNCTION("""COMPUTED_VALUE"""),150049.0)</f>
        <v>150049</v>
      </c>
    </row>
    <row r="1798">
      <c r="A1798" s="2">
        <f>IFERROR(__xludf.DUMMYFUNCTION("""COMPUTED_VALUE"""),43585.64583333333)</f>
        <v>43585.64583</v>
      </c>
      <c r="B1798" s="1">
        <f>IFERROR(__xludf.DUMMYFUNCTION("""COMPUTED_VALUE"""),17500.0)</f>
        <v>17500</v>
      </c>
      <c r="C1798" s="1">
        <f>IFERROR(__xludf.DUMMYFUNCTION("""COMPUTED_VALUE"""),17500.0)</f>
        <v>17500</v>
      </c>
      <c r="D1798" s="1">
        <f>IFERROR(__xludf.DUMMYFUNCTION("""COMPUTED_VALUE"""),16950.0)</f>
        <v>16950</v>
      </c>
      <c r="E1798" s="1">
        <f>IFERROR(__xludf.DUMMYFUNCTION("""COMPUTED_VALUE"""),17000.0)</f>
        <v>17000</v>
      </c>
      <c r="F1798" s="1">
        <f>IFERROR(__xludf.DUMMYFUNCTION("""COMPUTED_VALUE"""),95663.0)</f>
        <v>95663</v>
      </c>
    </row>
    <row r="1799">
      <c r="A1799" s="2">
        <f>IFERROR(__xludf.DUMMYFUNCTION("""COMPUTED_VALUE"""),43587.64583333333)</f>
        <v>43587.64583</v>
      </c>
      <c r="B1799" s="1">
        <f>IFERROR(__xludf.DUMMYFUNCTION("""COMPUTED_VALUE"""),17000.0)</f>
        <v>17000</v>
      </c>
      <c r="C1799" s="1">
        <f>IFERROR(__xludf.DUMMYFUNCTION("""COMPUTED_VALUE"""),17050.0)</f>
        <v>17050</v>
      </c>
      <c r="D1799" s="1">
        <f>IFERROR(__xludf.DUMMYFUNCTION("""COMPUTED_VALUE"""),16600.0)</f>
        <v>16600</v>
      </c>
      <c r="E1799" s="1">
        <f>IFERROR(__xludf.DUMMYFUNCTION("""COMPUTED_VALUE"""),16700.0)</f>
        <v>16700</v>
      </c>
      <c r="F1799" s="1">
        <f>IFERROR(__xludf.DUMMYFUNCTION("""COMPUTED_VALUE"""),85491.0)</f>
        <v>85491</v>
      </c>
    </row>
    <row r="1800">
      <c r="A1800" s="2">
        <f>IFERROR(__xludf.DUMMYFUNCTION("""COMPUTED_VALUE"""),43588.64583333333)</f>
        <v>43588.64583</v>
      </c>
      <c r="B1800" s="1">
        <f>IFERROR(__xludf.DUMMYFUNCTION("""COMPUTED_VALUE"""),16700.0)</f>
        <v>16700</v>
      </c>
      <c r="C1800" s="1">
        <f>IFERROR(__xludf.DUMMYFUNCTION("""COMPUTED_VALUE"""),16950.0)</f>
        <v>16950</v>
      </c>
      <c r="D1800" s="1">
        <f>IFERROR(__xludf.DUMMYFUNCTION("""COMPUTED_VALUE"""),16450.0)</f>
        <v>16450</v>
      </c>
      <c r="E1800" s="1">
        <f>IFERROR(__xludf.DUMMYFUNCTION("""COMPUTED_VALUE"""),16700.0)</f>
        <v>16700</v>
      </c>
      <c r="F1800" s="1">
        <f>IFERROR(__xludf.DUMMYFUNCTION("""COMPUTED_VALUE"""),75400.0)</f>
        <v>75400</v>
      </c>
    </row>
    <row r="1801">
      <c r="A1801" s="2">
        <f>IFERROR(__xludf.DUMMYFUNCTION("""COMPUTED_VALUE"""),43592.64583333333)</f>
        <v>43592.64583</v>
      </c>
      <c r="B1801" s="1">
        <f>IFERROR(__xludf.DUMMYFUNCTION("""COMPUTED_VALUE"""),16500.0)</f>
        <v>16500</v>
      </c>
      <c r="C1801" s="1">
        <f>IFERROR(__xludf.DUMMYFUNCTION("""COMPUTED_VALUE"""),17400.0)</f>
        <v>17400</v>
      </c>
      <c r="D1801" s="1">
        <f>IFERROR(__xludf.DUMMYFUNCTION("""COMPUTED_VALUE"""),16100.0)</f>
        <v>16100</v>
      </c>
      <c r="E1801" s="1">
        <f>IFERROR(__xludf.DUMMYFUNCTION("""COMPUTED_VALUE"""),17300.0)</f>
        <v>17300</v>
      </c>
      <c r="F1801" s="1">
        <f>IFERROR(__xludf.DUMMYFUNCTION("""COMPUTED_VALUE"""),184032.0)</f>
        <v>184032</v>
      </c>
    </row>
    <row r="1802">
      <c r="A1802" s="2">
        <f>IFERROR(__xludf.DUMMYFUNCTION("""COMPUTED_VALUE"""),43593.64583333333)</f>
        <v>43593.64583</v>
      </c>
      <c r="B1802" s="1">
        <f>IFERROR(__xludf.DUMMYFUNCTION("""COMPUTED_VALUE"""),17150.0)</f>
        <v>17150</v>
      </c>
      <c r="C1802" s="1">
        <f>IFERROR(__xludf.DUMMYFUNCTION("""COMPUTED_VALUE"""),17450.0)</f>
        <v>17450</v>
      </c>
      <c r="D1802" s="1">
        <f>IFERROR(__xludf.DUMMYFUNCTION("""COMPUTED_VALUE"""),17000.0)</f>
        <v>17000</v>
      </c>
      <c r="E1802" s="1">
        <f>IFERROR(__xludf.DUMMYFUNCTION("""COMPUTED_VALUE"""),17200.0)</f>
        <v>17200</v>
      </c>
      <c r="F1802" s="1">
        <f>IFERROR(__xludf.DUMMYFUNCTION("""COMPUTED_VALUE"""),118576.0)</f>
        <v>118576</v>
      </c>
    </row>
    <row r="1803">
      <c r="A1803" s="2">
        <f>IFERROR(__xludf.DUMMYFUNCTION("""COMPUTED_VALUE"""),43594.64583333333)</f>
        <v>43594.64583</v>
      </c>
      <c r="B1803" s="1">
        <f>IFERROR(__xludf.DUMMYFUNCTION("""COMPUTED_VALUE"""),17200.0)</f>
        <v>17200</v>
      </c>
      <c r="C1803" s="1">
        <f>IFERROR(__xludf.DUMMYFUNCTION("""COMPUTED_VALUE"""),18200.0)</f>
        <v>18200</v>
      </c>
      <c r="D1803" s="1">
        <f>IFERROR(__xludf.DUMMYFUNCTION("""COMPUTED_VALUE"""),16900.0)</f>
        <v>16900</v>
      </c>
      <c r="E1803" s="1">
        <f>IFERROR(__xludf.DUMMYFUNCTION("""COMPUTED_VALUE"""),16900.0)</f>
        <v>16900</v>
      </c>
      <c r="F1803" s="1">
        <f>IFERROR(__xludf.DUMMYFUNCTION("""COMPUTED_VALUE"""),669046.0)</f>
        <v>669046</v>
      </c>
    </row>
    <row r="1804">
      <c r="A1804" s="2">
        <f>IFERROR(__xludf.DUMMYFUNCTION("""COMPUTED_VALUE"""),43595.64583333333)</f>
        <v>43595.64583</v>
      </c>
      <c r="B1804" s="1">
        <f>IFERROR(__xludf.DUMMYFUNCTION("""COMPUTED_VALUE"""),17100.0)</f>
        <v>17100</v>
      </c>
      <c r="C1804" s="1">
        <f>IFERROR(__xludf.DUMMYFUNCTION("""COMPUTED_VALUE"""),17650.0)</f>
        <v>17650</v>
      </c>
      <c r="D1804" s="1">
        <f>IFERROR(__xludf.DUMMYFUNCTION("""COMPUTED_VALUE"""),17000.0)</f>
        <v>17000</v>
      </c>
      <c r="E1804" s="1">
        <f>IFERROR(__xludf.DUMMYFUNCTION("""COMPUTED_VALUE"""),17300.0)</f>
        <v>17300</v>
      </c>
      <c r="F1804" s="1">
        <f>IFERROR(__xludf.DUMMYFUNCTION("""COMPUTED_VALUE"""),195499.0)</f>
        <v>195499</v>
      </c>
    </row>
    <row r="1805">
      <c r="A1805" s="2">
        <f>IFERROR(__xludf.DUMMYFUNCTION("""COMPUTED_VALUE"""),43598.64583333333)</f>
        <v>43598.64583</v>
      </c>
      <c r="B1805" s="1">
        <f>IFERROR(__xludf.DUMMYFUNCTION("""COMPUTED_VALUE"""),17300.0)</f>
        <v>17300</v>
      </c>
      <c r="C1805" s="1">
        <f>IFERROR(__xludf.DUMMYFUNCTION("""COMPUTED_VALUE"""),18500.0)</f>
        <v>18500</v>
      </c>
      <c r="D1805" s="1">
        <f>IFERROR(__xludf.DUMMYFUNCTION("""COMPUTED_VALUE"""),17300.0)</f>
        <v>17300</v>
      </c>
      <c r="E1805" s="1">
        <f>IFERROR(__xludf.DUMMYFUNCTION("""COMPUTED_VALUE"""),17750.0)</f>
        <v>17750</v>
      </c>
      <c r="F1805" s="1">
        <f>IFERROR(__xludf.DUMMYFUNCTION("""COMPUTED_VALUE"""),556812.0)</f>
        <v>556812</v>
      </c>
    </row>
    <row r="1806">
      <c r="A1806" s="2">
        <f>IFERROR(__xludf.DUMMYFUNCTION("""COMPUTED_VALUE"""),43599.64583333333)</f>
        <v>43599.64583</v>
      </c>
      <c r="B1806" s="1">
        <f>IFERROR(__xludf.DUMMYFUNCTION("""COMPUTED_VALUE"""),17500.0)</f>
        <v>17500</v>
      </c>
      <c r="C1806" s="1">
        <f>IFERROR(__xludf.DUMMYFUNCTION("""COMPUTED_VALUE"""),18450.0)</f>
        <v>18450</v>
      </c>
      <c r="D1806" s="1">
        <f>IFERROR(__xludf.DUMMYFUNCTION("""COMPUTED_VALUE"""),17200.0)</f>
        <v>17200</v>
      </c>
      <c r="E1806" s="1">
        <f>IFERROR(__xludf.DUMMYFUNCTION("""COMPUTED_VALUE"""),18400.0)</f>
        <v>18400</v>
      </c>
      <c r="F1806" s="1">
        <f>IFERROR(__xludf.DUMMYFUNCTION("""COMPUTED_VALUE"""),345191.0)</f>
        <v>345191</v>
      </c>
    </row>
    <row r="1807">
      <c r="A1807" s="2">
        <f>IFERROR(__xludf.DUMMYFUNCTION("""COMPUTED_VALUE"""),43600.64583333333)</f>
        <v>43600.64583</v>
      </c>
      <c r="B1807" s="1">
        <f>IFERROR(__xludf.DUMMYFUNCTION("""COMPUTED_VALUE"""),18600.0)</f>
        <v>18600</v>
      </c>
      <c r="C1807" s="1">
        <f>IFERROR(__xludf.DUMMYFUNCTION("""COMPUTED_VALUE"""),19650.0)</f>
        <v>19650</v>
      </c>
      <c r="D1807" s="1">
        <f>IFERROR(__xludf.DUMMYFUNCTION("""COMPUTED_VALUE"""),18150.0)</f>
        <v>18150</v>
      </c>
      <c r="E1807" s="1">
        <f>IFERROR(__xludf.DUMMYFUNCTION("""COMPUTED_VALUE"""),18400.0)</f>
        <v>18400</v>
      </c>
      <c r="F1807" s="1">
        <f>IFERROR(__xludf.DUMMYFUNCTION("""COMPUTED_VALUE"""),1149969.0)</f>
        <v>1149969</v>
      </c>
    </row>
    <row r="1808">
      <c r="A1808" s="2">
        <f>IFERROR(__xludf.DUMMYFUNCTION("""COMPUTED_VALUE"""),43601.64583333333)</f>
        <v>43601.64583</v>
      </c>
      <c r="B1808" s="1">
        <f>IFERROR(__xludf.DUMMYFUNCTION("""COMPUTED_VALUE"""),18400.0)</f>
        <v>18400</v>
      </c>
      <c r="C1808" s="1">
        <f>IFERROR(__xludf.DUMMYFUNCTION("""COMPUTED_VALUE"""),18400.0)</f>
        <v>18400</v>
      </c>
      <c r="D1808" s="1">
        <f>IFERROR(__xludf.DUMMYFUNCTION("""COMPUTED_VALUE"""),17250.0)</f>
        <v>17250</v>
      </c>
      <c r="E1808" s="1">
        <f>IFERROR(__xludf.DUMMYFUNCTION("""COMPUTED_VALUE"""),17350.0)</f>
        <v>17350</v>
      </c>
      <c r="F1808" s="1">
        <f>IFERROR(__xludf.DUMMYFUNCTION("""COMPUTED_VALUE"""),386778.0)</f>
        <v>386778</v>
      </c>
    </row>
    <row r="1809">
      <c r="A1809" s="2">
        <f>IFERROR(__xludf.DUMMYFUNCTION("""COMPUTED_VALUE"""),43602.64583333333)</f>
        <v>43602.64583</v>
      </c>
      <c r="B1809" s="1">
        <f>IFERROR(__xludf.DUMMYFUNCTION("""COMPUTED_VALUE"""),17750.0)</f>
        <v>17750</v>
      </c>
      <c r="C1809" s="1">
        <f>IFERROR(__xludf.DUMMYFUNCTION("""COMPUTED_VALUE"""),18050.0)</f>
        <v>18050</v>
      </c>
      <c r="D1809" s="1">
        <f>IFERROR(__xludf.DUMMYFUNCTION("""COMPUTED_VALUE"""),16150.0)</f>
        <v>16150</v>
      </c>
      <c r="E1809" s="1">
        <f>IFERROR(__xludf.DUMMYFUNCTION("""COMPUTED_VALUE"""),16150.0)</f>
        <v>16150</v>
      </c>
      <c r="F1809" s="1">
        <f>IFERROR(__xludf.DUMMYFUNCTION("""COMPUTED_VALUE"""),535406.0)</f>
        <v>535406</v>
      </c>
    </row>
    <row r="1810">
      <c r="A1810" s="2">
        <f>IFERROR(__xludf.DUMMYFUNCTION("""COMPUTED_VALUE"""),43605.64583333333)</f>
        <v>43605.64583</v>
      </c>
      <c r="B1810" s="1">
        <f>IFERROR(__xludf.DUMMYFUNCTION("""COMPUTED_VALUE"""),16300.0)</f>
        <v>16300</v>
      </c>
      <c r="C1810" s="1">
        <f>IFERROR(__xludf.DUMMYFUNCTION("""COMPUTED_VALUE"""),16850.0)</f>
        <v>16850</v>
      </c>
      <c r="D1810" s="1">
        <f>IFERROR(__xludf.DUMMYFUNCTION("""COMPUTED_VALUE"""),16050.0)</f>
        <v>16050</v>
      </c>
      <c r="E1810" s="1">
        <f>IFERROR(__xludf.DUMMYFUNCTION("""COMPUTED_VALUE"""),16050.0)</f>
        <v>16050</v>
      </c>
      <c r="F1810" s="1">
        <f>IFERROR(__xludf.DUMMYFUNCTION("""COMPUTED_VALUE"""),178007.0)</f>
        <v>178007</v>
      </c>
    </row>
    <row r="1811">
      <c r="A1811" s="2">
        <f>IFERROR(__xludf.DUMMYFUNCTION("""COMPUTED_VALUE"""),43606.64583333333)</f>
        <v>43606.64583</v>
      </c>
      <c r="B1811" s="1">
        <f>IFERROR(__xludf.DUMMYFUNCTION("""COMPUTED_VALUE"""),15900.0)</f>
        <v>15900</v>
      </c>
      <c r="C1811" s="1">
        <f>IFERROR(__xludf.DUMMYFUNCTION("""COMPUTED_VALUE"""),17150.0)</f>
        <v>17150</v>
      </c>
      <c r="D1811" s="1">
        <f>IFERROR(__xludf.DUMMYFUNCTION("""COMPUTED_VALUE"""),15900.0)</f>
        <v>15900</v>
      </c>
      <c r="E1811" s="1">
        <f>IFERROR(__xludf.DUMMYFUNCTION("""COMPUTED_VALUE"""),16250.0)</f>
        <v>16250</v>
      </c>
      <c r="F1811" s="1">
        <f>IFERROR(__xludf.DUMMYFUNCTION("""COMPUTED_VALUE"""),278199.0)</f>
        <v>278199</v>
      </c>
    </row>
    <row r="1812">
      <c r="A1812" s="2">
        <f>IFERROR(__xludf.DUMMYFUNCTION("""COMPUTED_VALUE"""),43607.64583333333)</f>
        <v>43607.64583</v>
      </c>
      <c r="B1812" s="1">
        <f>IFERROR(__xludf.DUMMYFUNCTION("""COMPUTED_VALUE"""),16450.0)</f>
        <v>16450</v>
      </c>
      <c r="C1812" s="1">
        <f>IFERROR(__xludf.DUMMYFUNCTION("""COMPUTED_VALUE"""),20200.0)</f>
        <v>20200</v>
      </c>
      <c r="D1812" s="1">
        <f>IFERROR(__xludf.DUMMYFUNCTION("""COMPUTED_VALUE"""),16450.0)</f>
        <v>16450</v>
      </c>
      <c r="E1812" s="1">
        <f>IFERROR(__xludf.DUMMYFUNCTION("""COMPUTED_VALUE"""),17800.0)</f>
        <v>17800</v>
      </c>
      <c r="F1812" s="1">
        <f>IFERROR(__xludf.DUMMYFUNCTION("""COMPUTED_VALUE"""),4216509.0)</f>
        <v>4216509</v>
      </c>
    </row>
    <row r="1813">
      <c r="A1813" s="2">
        <f>IFERROR(__xludf.DUMMYFUNCTION("""COMPUTED_VALUE"""),43608.64583333333)</f>
        <v>43608.64583</v>
      </c>
      <c r="B1813" s="1">
        <f>IFERROR(__xludf.DUMMYFUNCTION("""COMPUTED_VALUE"""),17700.0)</f>
        <v>17700</v>
      </c>
      <c r="C1813" s="1">
        <f>IFERROR(__xludf.DUMMYFUNCTION("""COMPUTED_VALUE"""),17750.0)</f>
        <v>17750</v>
      </c>
      <c r="D1813" s="1">
        <f>IFERROR(__xludf.DUMMYFUNCTION("""COMPUTED_VALUE"""),16850.0)</f>
        <v>16850</v>
      </c>
      <c r="E1813" s="1">
        <f>IFERROR(__xludf.DUMMYFUNCTION("""COMPUTED_VALUE"""),16850.0)</f>
        <v>16850</v>
      </c>
      <c r="F1813" s="1">
        <f>IFERROR(__xludf.DUMMYFUNCTION("""COMPUTED_VALUE"""),518266.0)</f>
        <v>518266</v>
      </c>
    </row>
    <row r="1814">
      <c r="A1814" s="2">
        <f>IFERROR(__xludf.DUMMYFUNCTION("""COMPUTED_VALUE"""),43609.64583333333)</f>
        <v>43609.64583</v>
      </c>
      <c r="B1814" s="1">
        <f>IFERROR(__xludf.DUMMYFUNCTION("""COMPUTED_VALUE"""),16650.0)</f>
        <v>16650</v>
      </c>
      <c r="C1814" s="1">
        <f>IFERROR(__xludf.DUMMYFUNCTION("""COMPUTED_VALUE"""),17000.0)</f>
        <v>17000</v>
      </c>
      <c r="D1814" s="1">
        <f>IFERROR(__xludf.DUMMYFUNCTION("""COMPUTED_VALUE"""),16100.0)</f>
        <v>16100</v>
      </c>
      <c r="E1814" s="1">
        <f>IFERROR(__xludf.DUMMYFUNCTION("""COMPUTED_VALUE"""),16150.0)</f>
        <v>16150</v>
      </c>
      <c r="F1814" s="1">
        <f>IFERROR(__xludf.DUMMYFUNCTION("""COMPUTED_VALUE"""),313077.0)</f>
        <v>313077</v>
      </c>
    </row>
    <row r="1815">
      <c r="A1815" s="2">
        <f>IFERROR(__xludf.DUMMYFUNCTION("""COMPUTED_VALUE"""),43612.64583333333)</f>
        <v>43612.64583</v>
      </c>
      <c r="B1815" s="1">
        <f>IFERROR(__xludf.DUMMYFUNCTION("""COMPUTED_VALUE"""),16250.0)</f>
        <v>16250</v>
      </c>
      <c r="C1815" s="1">
        <f>IFERROR(__xludf.DUMMYFUNCTION("""COMPUTED_VALUE"""),16850.0)</f>
        <v>16850</v>
      </c>
      <c r="D1815" s="1">
        <f>IFERROR(__xludf.DUMMYFUNCTION("""COMPUTED_VALUE"""),16250.0)</f>
        <v>16250</v>
      </c>
      <c r="E1815" s="1">
        <f>IFERROR(__xludf.DUMMYFUNCTION("""COMPUTED_VALUE"""),16700.0)</f>
        <v>16700</v>
      </c>
      <c r="F1815" s="1">
        <f>IFERROR(__xludf.DUMMYFUNCTION("""COMPUTED_VALUE"""),189651.0)</f>
        <v>189651</v>
      </c>
    </row>
    <row r="1816">
      <c r="A1816" s="2">
        <f>IFERROR(__xludf.DUMMYFUNCTION("""COMPUTED_VALUE"""),43613.64583333333)</f>
        <v>43613.64583</v>
      </c>
      <c r="B1816" s="1">
        <f>IFERROR(__xludf.DUMMYFUNCTION("""COMPUTED_VALUE"""),16700.0)</f>
        <v>16700</v>
      </c>
      <c r="C1816" s="1">
        <f>IFERROR(__xludf.DUMMYFUNCTION("""COMPUTED_VALUE"""),16850.0)</f>
        <v>16850</v>
      </c>
      <c r="D1816" s="1">
        <f>IFERROR(__xludf.DUMMYFUNCTION("""COMPUTED_VALUE"""),16450.0)</f>
        <v>16450</v>
      </c>
      <c r="E1816" s="1">
        <f>IFERROR(__xludf.DUMMYFUNCTION("""COMPUTED_VALUE"""),16750.0)</f>
        <v>16750</v>
      </c>
      <c r="F1816" s="1">
        <f>IFERROR(__xludf.DUMMYFUNCTION("""COMPUTED_VALUE"""),137626.0)</f>
        <v>137626</v>
      </c>
    </row>
    <row r="1817">
      <c r="A1817" s="2">
        <f>IFERROR(__xludf.DUMMYFUNCTION("""COMPUTED_VALUE"""),43614.64583333333)</f>
        <v>43614.64583</v>
      </c>
      <c r="B1817" s="1">
        <f>IFERROR(__xludf.DUMMYFUNCTION("""COMPUTED_VALUE"""),16600.0)</f>
        <v>16600</v>
      </c>
      <c r="C1817" s="1">
        <f>IFERROR(__xludf.DUMMYFUNCTION("""COMPUTED_VALUE"""),16750.0)</f>
        <v>16750</v>
      </c>
      <c r="D1817" s="1">
        <f>IFERROR(__xludf.DUMMYFUNCTION("""COMPUTED_VALUE"""),16200.0)</f>
        <v>16200</v>
      </c>
      <c r="E1817" s="1">
        <f>IFERROR(__xludf.DUMMYFUNCTION("""COMPUTED_VALUE"""),16350.0)</f>
        <v>16350</v>
      </c>
      <c r="F1817" s="1">
        <f>IFERROR(__xludf.DUMMYFUNCTION("""COMPUTED_VALUE"""),101903.0)</f>
        <v>101903</v>
      </c>
    </row>
    <row r="1818">
      <c r="A1818" s="2">
        <f>IFERROR(__xludf.DUMMYFUNCTION("""COMPUTED_VALUE"""),43615.64583333333)</f>
        <v>43615.64583</v>
      </c>
      <c r="B1818" s="1">
        <f>IFERROR(__xludf.DUMMYFUNCTION("""COMPUTED_VALUE"""),16350.0)</f>
        <v>16350</v>
      </c>
      <c r="C1818" s="1">
        <f>IFERROR(__xludf.DUMMYFUNCTION("""COMPUTED_VALUE"""),16750.0)</f>
        <v>16750</v>
      </c>
      <c r="D1818" s="1">
        <f>IFERROR(__xludf.DUMMYFUNCTION("""COMPUTED_VALUE"""),16300.0)</f>
        <v>16300</v>
      </c>
      <c r="E1818" s="1">
        <f>IFERROR(__xludf.DUMMYFUNCTION("""COMPUTED_VALUE"""),16500.0)</f>
        <v>16500</v>
      </c>
      <c r="F1818" s="1">
        <f>IFERROR(__xludf.DUMMYFUNCTION("""COMPUTED_VALUE"""),94225.0)</f>
        <v>94225</v>
      </c>
    </row>
    <row r="1819">
      <c r="A1819" s="2">
        <f>IFERROR(__xludf.DUMMYFUNCTION("""COMPUTED_VALUE"""),43616.64583333333)</f>
        <v>43616.64583</v>
      </c>
      <c r="B1819" s="1">
        <f>IFERROR(__xludf.DUMMYFUNCTION("""COMPUTED_VALUE"""),16400.0)</f>
        <v>16400</v>
      </c>
      <c r="C1819" s="1">
        <f>IFERROR(__xludf.DUMMYFUNCTION("""COMPUTED_VALUE"""),16600.0)</f>
        <v>16600</v>
      </c>
      <c r="D1819" s="1">
        <f>IFERROR(__xludf.DUMMYFUNCTION("""COMPUTED_VALUE"""),16200.0)</f>
        <v>16200</v>
      </c>
      <c r="E1819" s="1">
        <f>IFERROR(__xludf.DUMMYFUNCTION("""COMPUTED_VALUE"""),16200.0)</f>
        <v>16200</v>
      </c>
      <c r="F1819" s="1">
        <f>IFERROR(__xludf.DUMMYFUNCTION("""COMPUTED_VALUE"""),122298.0)</f>
        <v>122298</v>
      </c>
    </row>
    <row r="1820">
      <c r="A1820" s="2">
        <f>IFERROR(__xludf.DUMMYFUNCTION("""COMPUTED_VALUE"""),43619.64583333333)</f>
        <v>43619.64583</v>
      </c>
      <c r="B1820" s="1">
        <f>IFERROR(__xludf.DUMMYFUNCTION("""COMPUTED_VALUE"""),16100.0)</f>
        <v>16100</v>
      </c>
      <c r="C1820" s="1">
        <f>IFERROR(__xludf.DUMMYFUNCTION("""COMPUTED_VALUE"""),16500.0)</f>
        <v>16500</v>
      </c>
      <c r="D1820" s="1">
        <f>IFERROR(__xludf.DUMMYFUNCTION("""COMPUTED_VALUE"""),16000.0)</f>
        <v>16000</v>
      </c>
      <c r="E1820" s="1">
        <f>IFERROR(__xludf.DUMMYFUNCTION("""COMPUTED_VALUE"""),16150.0)</f>
        <v>16150</v>
      </c>
      <c r="F1820" s="1">
        <f>IFERROR(__xludf.DUMMYFUNCTION("""COMPUTED_VALUE"""),85766.0)</f>
        <v>85766</v>
      </c>
    </row>
    <row r="1821">
      <c r="A1821" s="2">
        <f>IFERROR(__xludf.DUMMYFUNCTION("""COMPUTED_VALUE"""),43620.64583333333)</f>
        <v>43620.64583</v>
      </c>
      <c r="B1821" s="1">
        <f>IFERROR(__xludf.DUMMYFUNCTION("""COMPUTED_VALUE"""),16250.0)</f>
        <v>16250</v>
      </c>
      <c r="C1821" s="1">
        <f>IFERROR(__xludf.DUMMYFUNCTION("""COMPUTED_VALUE"""),16950.0)</f>
        <v>16950</v>
      </c>
      <c r="D1821" s="1">
        <f>IFERROR(__xludf.DUMMYFUNCTION("""COMPUTED_VALUE"""),16250.0)</f>
        <v>16250</v>
      </c>
      <c r="E1821" s="1">
        <f>IFERROR(__xludf.DUMMYFUNCTION("""COMPUTED_VALUE"""),16250.0)</f>
        <v>16250</v>
      </c>
      <c r="F1821" s="1">
        <f>IFERROR(__xludf.DUMMYFUNCTION("""COMPUTED_VALUE"""),203956.0)</f>
        <v>203956</v>
      </c>
    </row>
    <row r="1822">
      <c r="A1822" s="2">
        <f>IFERROR(__xludf.DUMMYFUNCTION("""COMPUTED_VALUE"""),43621.64583333333)</f>
        <v>43621.64583</v>
      </c>
      <c r="B1822" s="1">
        <f>IFERROR(__xludf.DUMMYFUNCTION("""COMPUTED_VALUE"""),16550.0)</f>
        <v>16550</v>
      </c>
      <c r="C1822" s="1">
        <f>IFERROR(__xludf.DUMMYFUNCTION("""COMPUTED_VALUE"""),16750.0)</f>
        <v>16750</v>
      </c>
      <c r="D1822" s="1">
        <f>IFERROR(__xludf.DUMMYFUNCTION("""COMPUTED_VALUE"""),16350.0)</f>
        <v>16350</v>
      </c>
      <c r="E1822" s="1">
        <f>IFERROR(__xludf.DUMMYFUNCTION("""COMPUTED_VALUE"""),16500.0)</f>
        <v>16500</v>
      </c>
      <c r="F1822" s="1">
        <f>IFERROR(__xludf.DUMMYFUNCTION("""COMPUTED_VALUE"""),121876.0)</f>
        <v>121876</v>
      </c>
    </row>
    <row r="1823">
      <c r="A1823" s="2">
        <f>IFERROR(__xludf.DUMMYFUNCTION("""COMPUTED_VALUE"""),43623.64583333333)</f>
        <v>43623.64583</v>
      </c>
      <c r="B1823" s="1">
        <f>IFERROR(__xludf.DUMMYFUNCTION("""COMPUTED_VALUE"""),16950.0)</f>
        <v>16950</v>
      </c>
      <c r="C1823" s="1">
        <f>IFERROR(__xludf.DUMMYFUNCTION("""COMPUTED_VALUE"""),18100.0)</f>
        <v>18100</v>
      </c>
      <c r="D1823" s="1">
        <f>IFERROR(__xludf.DUMMYFUNCTION("""COMPUTED_VALUE"""),16100.0)</f>
        <v>16100</v>
      </c>
      <c r="E1823" s="1">
        <f>IFERROR(__xludf.DUMMYFUNCTION("""COMPUTED_VALUE"""),16750.0)</f>
        <v>16750</v>
      </c>
      <c r="F1823" s="1">
        <f>IFERROR(__xludf.DUMMYFUNCTION("""COMPUTED_VALUE"""),555428.0)</f>
        <v>555428</v>
      </c>
    </row>
    <row r="1824">
      <c r="A1824" s="2">
        <f>IFERROR(__xludf.DUMMYFUNCTION("""COMPUTED_VALUE"""),43626.64583333333)</f>
        <v>43626.64583</v>
      </c>
      <c r="B1824" s="1">
        <f>IFERROR(__xludf.DUMMYFUNCTION("""COMPUTED_VALUE"""),16800.0)</f>
        <v>16800</v>
      </c>
      <c r="C1824" s="1">
        <f>IFERROR(__xludf.DUMMYFUNCTION("""COMPUTED_VALUE"""),16900.0)</f>
        <v>16900</v>
      </c>
      <c r="D1824" s="1">
        <f>IFERROR(__xludf.DUMMYFUNCTION("""COMPUTED_VALUE"""),16550.0)</f>
        <v>16550</v>
      </c>
      <c r="E1824" s="1">
        <f>IFERROR(__xludf.DUMMYFUNCTION("""COMPUTED_VALUE"""),16900.0)</f>
        <v>16900</v>
      </c>
      <c r="F1824" s="1">
        <f>IFERROR(__xludf.DUMMYFUNCTION("""COMPUTED_VALUE"""),115849.0)</f>
        <v>115849</v>
      </c>
    </row>
    <row r="1825">
      <c r="A1825" s="2">
        <f>IFERROR(__xludf.DUMMYFUNCTION("""COMPUTED_VALUE"""),43627.64583333333)</f>
        <v>43627.64583</v>
      </c>
      <c r="B1825" s="1">
        <f>IFERROR(__xludf.DUMMYFUNCTION("""COMPUTED_VALUE"""),17000.0)</f>
        <v>17000</v>
      </c>
      <c r="C1825" s="1">
        <f>IFERROR(__xludf.DUMMYFUNCTION("""COMPUTED_VALUE"""),17050.0)</f>
        <v>17050</v>
      </c>
      <c r="D1825" s="1">
        <f>IFERROR(__xludf.DUMMYFUNCTION("""COMPUTED_VALUE"""),16650.0)</f>
        <v>16650</v>
      </c>
      <c r="E1825" s="1">
        <f>IFERROR(__xludf.DUMMYFUNCTION("""COMPUTED_VALUE"""),16700.0)</f>
        <v>16700</v>
      </c>
      <c r="F1825" s="1">
        <f>IFERROR(__xludf.DUMMYFUNCTION("""COMPUTED_VALUE"""),90394.0)</f>
        <v>90394</v>
      </c>
    </row>
    <row r="1826">
      <c r="A1826" s="2">
        <f>IFERROR(__xludf.DUMMYFUNCTION("""COMPUTED_VALUE"""),43628.64583333333)</f>
        <v>43628.64583</v>
      </c>
      <c r="B1826" s="1">
        <f>IFERROR(__xludf.DUMMYFUNCTION("""COMPUTED_VALUE"""),16600.0)</f>
        <v>16600</v>
      </c>
      <c r="C1826" s="1">
        <f>IFERROR(__xludf.DUMMYFUNCTION("""COMPUTED_VALUE"""),16950.0)</f>
        <v>16950</v>
      </c>
      <c r="D1826" s="1">
        <f>IFERROR(__xludf.DUMMYFUNCTION("""COMPUTED_VALUE"""),16500.0)</f>
        <v>16500</v>
      </c>
      <c r="E1826" s="1">
        <f>IFERROR(__xludf.DUMMYFUNCTION("""COMPUTED_VALUE"""),16900.0)</f>
        <v>16900</v>
      </c>
      <c r="F1826" s="1">
        <f>IFERROR(__xludf.DUMMYFUNCTION("""COMPUTED_VALUE"""),87339.0)</f>
        <v>87339</v>
      </c>
    </row>
    <row r="1827">
      <c r="A1827" s="2">
        <f>IFERROR(__xludf.DUMMYFUNCTION("""COMPUTED_VALUE"""),43629.64583333333)</f>
        <v>43629.64583</v>
      </c>
      <c r="B1827" s="1">
        <f>IFERROR(__xludf.DUMMYFUNCTION("""COMPUTED_VALUE"""),16900.0)</f>
        <v>16900</v>
      </c>
      <c r="C1827" s="1">
        <f>IFERROR(__xludf.DUMMYFUNCTION("""COMPUTED_VALUE"""),17750.0)</f>
        <v>17750</v>
      </c>
      <c r="D1827" s="1">
        <f>IFERROR(__xludf.DUMMYFUNCTION("""COMPUTED_VALUE"""),16800.0)</f>
        <v>16800</v>
      </c>
      <c r="E1827" s="1">
        <f>IFERROR(__xludf.DUMMYFUNCTION("""COMPUTED_VALUE"""),17450.0)</f>
        <v>17450</v>
      </c>
      <c r="F1827" s="1">
        <f>IFERROR(__xludf.DUMMYFUNCTION("""COMPUTED_VALUE"""),420282.0)</f>
        <v>420282</v>
      </c>
    </row>
    <row r="1828">
      <c r="A1828" s="2">
        <f>IFERROR(__xludf.DUMMYFUNCTION("""COMPUTED_VALUE"""),43630.64583333333)</f>
        <v>43630.64583</v>
      </c>
      <c r="B1828" s="1">
        <f>IFERROR(__xludf.DUMMYFUNCTION("""COMPUTED_VALUE"""),17800.0)</f>
        <v>17800</v>
      </c>
      <c r="C1828" s="1">
        <f>IFERROR(__xludf.DUMMYFUNCTION("""COMPUTED_VALUE"""),18300.0)</f>
        <v>18300</v>
      </c>
      <c r="D1828" s="1">
        <f>IFERROR(__xludf.DUMMYFUNCTION("""COMPUTED_VALUE"""),17400.0)</f>
        <v>17400</v>
      </c>
      <c r="E1828" s="1">
        <f>IFERROR(__xludf.DUMMYFUNCTION("""COMPUTED_VALUE"""),17400.0)</f>
        <v>17400</v>
      </c>
      <c r="F1828" s="1">
        <f>IFERROR(__xludf.DUMMYFUNCTION("""COMPUTED_VALUE"""),524339.0)</f>
        <v>524339</v>
      </c>
    </row>
    <row r="1829">
      <c r="A1829" s="2">
        <f>IFERROR(__xludf.DUMMYFUNCTION("""COMPUTED_VALUE"""),43633.64583333333)</f>
        <v>43633.64583</v>
      </c>
      <c r="B1829" s="1">
        <f>IFERROR(__xludf.DUMMYFUNCTION("""COMPUTED_VALUE"""),17700.0)</f>
        <v>17700</v>
      </c>
      <c r="C1829" s="1">
        <f>IFERROR(__xludf.DUMMYFUNCTION("""COMPUTED_VALUE"""),18350.0)</f>
        <v>18350</v>
      </c>
      <c r="D1829" s="1">
        <f>IFERROR(__xludf.DUMMYFUNCTION("""COMPUTED_VALUE"""),17500.0)</f>
        <v>17500</v>
      </c>
      <c r="E1829" s="1">
        <f>IFERROR(__xludf.DUMMYFUNCTION("""COMPUTED_VALUE"""),17550.0)</f>
        <v>17550</v>
      </c>
      <c r="F1829" s="1">
        <f>IFERROR(__xludf.DUMMYFUNCTION("""COMPUTED_VALUE"""),313271.0)</f>
        <v>313271</v>
      </c>
    </row>
    <row r="1830">
      <c r="A1830" s="2">
        <f>IFERROR(__xludf.DUMMYFUNCTION("""COMPUTED_VALUE"""),43634.64583333333)</f>
        <v>43634.64583</v>
      </c>
      <c r="B1830" s="1">
        <f>IFERROR(__xludf.DUMMYFUNCTION("""COMPUTED_VALUE"""),17750.0)</f>
        <v>17750</v>
      </c>
      <c r="C1830" s="1">
        <f>IFERROR(__xludf.DUMMYFUNCTION("""COMPUTED_VALUE"""),18200.0)</f>
        <v>18200</v>
      </c>
      <c r="D1830" s="1">
        <f>IFERROR(__xludf.DUMMYFUNCTION("""COMPUTED_VALUE"""),17400.0)</f>
        <v>17400</v>
      </c>
      <c r="E1830" s="1">
        <f>IFERROR(__xludf.DUMMYFUNCTION("""COMPUTED_VALUE"""),18000.0)</f>
        <v>18000</v>
      </c>
      <c r="F1830" s="1">
        <f>IFERROR(__xludf.DUMMYFUNCTION("""COMPUTED_VALUE"""),199288.0)</f>
        <v>199288</v>
      </c>
    </row>
    <row r="1831">
      <c r="A1831" s="2">
        <f>IFERROR(__xludf.DUMMYFUNCTION("""COMPUTED_VALUE"""),43635.64583333333)</f>
        <v>43635.64583</v>
      </c>
      <c r="B1831" s="1">
        <f>IFERROR(__xludf.DUMMYFUNCTION("""COMPUTED_VALUE"""),18250.0)</f>
        <v>18250</v>
      </c>
      <c r="C1831" s="1">
        <f>IFERROR(__xludf.DUMMYFUNCTION("""COMPUTED_VALUE"""),18450.0)</f>
        <v>18450</v>
      </c>
      <c r="D1831" s="1">
        <f>IFERROR(__xludf.DUMMYFUNCTION("""COMPUTED_VALUE"""),17800.0)</f>
        <v>17800</v>
      </c>
      <c r="E1831" s="1">
        <f>IFERROR(__xludf.DUMMYFUNCTION("""COMPUTED_VALUE"""),18050.0)</f>
        <v>18050</v>
      </c>
      <c r="F1831" s="1">
        <f>IFERROR(__xludf.DUMMYFUNCTION("""COMPUTED_VALUE"""),207799.0)</f>
        <v>207799</v>
      </c>
    </row>
    <row r="1832">
      <c r="A1832" s="2">
        <f>IFERROR(__xludf.DUMMYFUNCTION("""COMPUTED_VALUE"""),43636.64583333333)</f>
        <v>43636.64583</v>
      </c>
      <c r="B1832" s="1">
        <f>IFERROR(__xludf.DUMMYFUNCTION("""COMPUTED_VALUE"""),17950.0)</f>
        <v>17950</v>
      </c>
      <c r="C1832" s="1">
        <f>IFERROR(__xludf.DUMMYFUNCTION("""COMPUTED_VALUE"""),18500.0)</f>
        <v>18500</v>
      </c>
      <c r="D1832" s="1">
        <f>IFERROR(__xludf.DUMMYFUNCTION("""COMPUTED_VALUE"""),17950.0)</f>
        <v>17950</v>
      </c>
      <c r="E1832" s="1">
        <f>IFERROR(__xludf.DUMMYFUNCTION("""COMPUTED_VALUE"""),18500.0)</f>
        <v>18500</v>
      </c>
      <c r="F1832" s="1">
        <f>IFERROR(__xludf.DUMMYFUNCTION("""COMPUTED_VALUE"""),159947.0)</f>
        <v>159947</v>
      </c>
    </row>
    <row r="1833">
      <c r="A1833" s="2">
        <f>IFERROR(__xludf.DUMMYFUNCTION("""COMPUTED_VALUE"""),43637.64583333333)</f>
        <v>43637.64583</v>
      </c>
      <c r="B1833" s="1">
        <f>IFERROR(__xludf.DUMMYFUNCTION("""COMPUTED_VALUE"""),18450.0)</f>
        <v>18450</v>
      </c>
      <c r="C1833" s="1">
        <f>IFERROR(__xludf.DUMMYFUNCTION("""COMPUTED_VALUE"""),18600.0)</f>
        <v>18600</v>
      </c>
      <c r="D1833" s="1">
        <f>IFERROR(__xludf.DUMMYFUNCTION("""COMPUTED_VALUE"""),18200.0)</f>
        <v>18200</v>
      </c>
      <c r="E1833" s="1">
        <f>IFERROR(__xludf.DUMMYFUNCTION("""COMPUTED_VALUE"""),18550.0)</f>
        <v>18550</v>
      </c>
      <c r="F1833" s="1">
        <f>IFERROR(__xludf.DUMMYFUNCTION("""COMPUTED_VALUE"""),200446.0)</f>
        <v>200446</v>
      </c>
    </row>
    <row r="1834">
      <c r="A1834" s="2">
        <f>IFERROR(__xludf.DUMMYFUNCTION("""COMPUTED_VALUE"""),43640.64583333333)</f>
        <v>43640.64583</v>
      </c>
      <c r="B1834" s="1">
        <f>IFERROR(__xludf.DUMMYFUNCTION("""COMPUTED_VALUE"""),18600.0)</f>
        <v>18600</v>
      </c>
      <c r="C1834" s="1">
        <f>IFERROR(__xludf.DUMMYFUNCTION("""COMPUTED_VALUE"""),18800.0)</f>
        <v>18800</v>
      </c>
      <c r="D1834" s="1">
        <f>IFERROR(__xludf.DUMMYFUNCTION("""COMPUTED_VALUE"""),18250.0)</f>
        <v>18250</v>
      </c>
      <c r="E1834" s="1">
        <f>IFERROR(__xludf.DUMMYFUNCTION("""COMPUTED_VALUE"""),18400.0)</f>
        <v>18400</v>
      </c>
      <c r="F1834" s="1">
        <f>IFERROR(__xludf.DUMMYFUNCTION("""COMPUTED_VALUE"""),185924.0)</f>
        <v>185924</v>
      </c>
    </row>
    <row r="1835">
      <c r="A1835" s="2">
        <f>IFERROR(__xludf.DUMMYFUNCTION("""COMPUTED_VALUE"""),43641.64583333333)</f>
        <v>43641.64583</v>
      </c>
      <c r="B1835" s="1">
        <f>IFERROR(__xludf.DUMMYFUNCTION("""COMPUTED_VALUE"""),18300.0)</f>
        <v>18300</v>
      </c>
      <c r="C1835" s="1">
        <f>IFERROR(__xludf.DUMMYFUNCTION("""COMPUTED_VALUE"""),18450.0)</f>
        <v>18450</v>
      </c>
      <c r="D1835" s="1">
        <f>IFERROR(__xludf.DUMMYFUNCTION("""COMPUTED_VALUE"""),17400.0)</f>
        <v>17400</v>
      </c>
      <c r="E1835" s="1">
        <f>IFERROR(__xludf.DUMMYFUNCTION("""COMPUTED_VALUE"""),17450.0)</f>
        <v>17450</v>
      </c>
      <c r="F1835" s="1">
        <f>IFERROR(__xludf.DUMMYFUNCTION("""COMPUTED_VALUE"""),280829.0)</f>
        <v>280829</v>
      </c>
    </row>
    <row r="1836">
      <c r="A1836" s="2">
        <f>IFERROR(__xludf.DUMMYFUNCTION("""COMPUTED_VALUE"""),43642.64583333333)</f>
        <v>43642.64583</v>
      </c>
      <c r="B1836" s="1">
        <f>IFERROR(__xludf.DUMMYFUNCTION("""COMPUTED_VALUE"""),17650.0)</f>
        <v>17650</v>
      </c>
      <c r="C1836" s="1">
        <f>IFERROR(__xludf.DUMMYFUNCTION("""COMPUTED_VALUE"""),18200.0)</f>
        <v>18200</v>
      </c>
      <c r="D1836" s="1">
        <f>IFERROR(__xludf.DUMMYFUNCTION("""COMPUTED_VALUE"""),17550.0)</f>
        <v>17550</v>
      </c>
      <c r="E1836" s="1">
        <f>IFERROR(__xludf.DUMMYFUNCTION("""COMPUTED_VALUE"""),18100.0)</f>
        <v>18100</v>
      </c>
      <c r="F1836" s="1">
        <f>IFERROR(__xludf.DUMMYFUNCTION("""COMPUTED_VALUE"""),206260.0)</f>
        <v>206260</v>
      </c>
    </row>
    <row r="1837">
      <c r="A1837" s="2">
        <f>IFERROR(__xludf.DUMMYFUNCTION("""COMPUTED_VALUE"""),43643.64583333333)</f>
        <v>43643.64583</v>
      </c>
      <c r="B1837" s="1">
        <f>IFERROR(__xludf.DUMMYFUNCTION("""COMPUTED_VALUE"""),17950.0)</f>
        <v>17950</v>
      </c>
      <c r="C1837" s="1">
        <f>IFERROR(__xludf.DUMMYFUNCTION("""COMPUTED_VALUE"""),18350.0)</f>
        <v>18350</v>
      </c>
      <c r="D1837" s="1">
        <f>IFERROR(__xludf.DUMMYFUNCTION("""COMPUTED_VALUE"""),17500.0)</f>
        <v>17500</v>
      </c>
      <c r="E1837" s="1">
        <f>IFERROR(__xludf.DUMMYFUNCTION("""COMPUTED_VALUE"""),17700.0)</f>
        <v>17700</v>
      </c>
      <c r="F1837" s="1">
        <f>IFERROR(__xludf.DUMMYFUNCTION("""COMPUTED_VALUE"""),178334.0)</f>
        <v>178334</v>
      </c>
    </row>
    <row r="1838">
      <c r="A1838" s="2">
        <f>IFERROR(__xludf.DUMMYFUNCTION("""COMPUTED_VALUE"""),43644.64583333333)</f>
        <v>43644.64583</v>
      </c>
      <c r="B1838" s="1">
        <f>IFERROR(__xludf.DUMMYFUNCTION("""COMPUTED_VALUE"""),17600.0)</f>
        <v>17600</v>
      </c>
      <c r="C1838" s="1">
        <f>IFERROR(__xludf.DUMMYFUNCTION("""COMPUTED_VALUE"""),17800.0)</f>
        <v>17800</v>
      </c>
      <c r="D1838" s="1">
        <f>IFERROR(__xludf.DUMMYFUNCTION("""COMPUTED_VALUE"""),16950.0)</f>
        <v>16950</v>
      </c>
      <c r="E1838" s="1">
        <f>IFERROR(__xludf.DUMMYFUNCTION("""COMPUTED_VALUE"""),17000.0)</f>
        <v>17000</v>
      </c>
      <c r="F1838" s="1">
        <f>IFERROR(__xludf.DUMMYFUNCTION("""COMPUTED_VALUE"""),169032.0)</f>
        <v>169032</v>
      </c>
    </row>
    <row r="1839">
      <c r="A1839" s="2">
        <f>IFERROR(__xludf.DUMMYFUNCTION("""COMPUTED_VALUE"""),43647.64583333333)</f>
        <v>43647.64583</v>
      </c>
      <c r="B1839" s="1">
        <f>IFERROR(__xludf.DUMMYFUNCTION("""COMPUTED_VALUE"""),16750.0)</f>
        <v>16750</v>
      </c>
      <c r="C1839" s="1">
        <f>IFERROR(__xludf.DUMMYFUNCTION("""COMPUTED_VALUE"""),17250.0)</f>
        <v>17250</v>
      </c>
      <c r="D1839" s="1">
        <f>IFERROR(__xludf.DUMMYFUNCTION("""COMPUTED_VALUE"""),16700.0)</f>
        <v>16700</v>
      </c>
      <c r="E1839" s="1">
        <f>IFERROR(__xludf.DUMMYFUNCTION("""COMPUTED_VALUE"""),17050.0)</f>
        <v>17050</v>
      </c>
      <c r="F1839" s="1">
        <f>IFERROR(__xludf.DUMMYFUNCTION("""COMPUTED_VALUE"""),90623.0)</f>
        <v>90623</v>
      </c>
    </row>
    <row r="1840">
      <c r="A1840" s="2">
        <f>IFERROR(__xludf.DUMMYFUNCTION("""COMPUTED_VALUE"""),43648.64583333333)</f>
        <v>43648.64583</v>
      </c>
      <c r="B1840" s="1">
        <f>IFERROR(__xludf.DUMMYFUNCTION("""COMPUTED_VALUE"""),17050.0)</f>
        <v>17050</v>
      </c>
      <c r="C1840" s="1">
        <f>IFERROR(__xludf.DUMMYFUNCTION("""COMPUTED_VALUE"""),17300.0)</f>
        <v>17300</v>
      </c>
      <c r="D1840" s="1">
        <f>IFERROR(__xludf.DUMMYFUNCTION("""COMPUTED_VALUE"""),16850.0)</f>
        <v>16850</v>
      </c>
      <c r="E1840" s="1">
        <f>IFERROR(__xludf.DUMMYFUNCTION("""COMPUTED_VALUE"""),17050.0)</f>
        <v>17050</v>
      </c>
      <c r="F1840" s="1">
        <f>IFERROR(__xludf.DUMMYFUNCTION("""COMPUTED_VALUE"""),53949.0)</f>
        <v>53949</v>
      </c>
    </row>
    <row r="1841">
      <c r="A1841" s="2">
        <f>IFERROR(__xludf.DUMMYFUNCTION("""COMPUTED_VALUE"""),43649.64583333333)</f>
        <v>43649.64583</v>
      </c>
      <c r="B1841" s="1">
        <f>IFERROR(__xludf.DUMMYFUNCTION("""COMPUTED_VALUE"""),16950.0)</f>
        <v>16950</v>
      </c>
      <c r="C1841" s="1">
        <f>IFERROR(__xludf.DUMMYFUNCTION("""COMPUTED_VALUE"""),17200.0)</f>
        <v>17200</v>
      </c>
      <c r="D1841" s="1">
        <f>IFERROR(__xludf.DUMMYFUNCTION("""COMPUTED_VALUE"""),16800.0)</f>
        <v>16800</v>
      </c>
      <c r="E1841" s="1">
        <f>IFERROR(__xludf.DUMMYFUNCTION("""COMPUTED_VALUE"""),16900.0)</f>
        <v>16900</v>
      </c>
      <c r="F1841" s="1">
        <f>IFERROR(__xludf.DUMMYFUNCTION("""COMPUTED_VALUE"""),43036.0)</f>
        <v>43036</v>
      </c>
    </row>
    <row r="1842">
      <c r="A1842" s="2">
        <f>IFERROR(__xludf.DUMMYFUNCTION("""COMPUTED_VALUE"""),43650.64583333333)</f>
        <v>43650.64583</v>
      </c>
      <c r="B1842" s="1">
        <f>IFERROR(__xludf.DUMMYFUNCTION("""COMPUTED_VALUE"""),16800.0)</f>
        <v>16800</v>
      </c>
      <c r="C1842" s="1">
        <f>IFERROR(__xludf.DUMMYFUNCTION("""COMPUTED_VALUE"""),17100.0)</f>
        <v>17100</v>
      </c>
      <c r="D1842" s="1">
        <f>IFERROR(__xludf.DUMMYFUNCTION("""COMPUTED_VALUE"""),16250.0)</f>
        <v>16250</v>
      </c>
      <c r="E1842" s="1">
        <f>IFERROR(__xludf.DUMMYFUNCTION("""COMPUTED_VALUE"""),16450.0)</f>
        <v>16450</v>
      </c>
      <c r="F1842" s="1">
        <f>IFERROR(__xludf.DUMMYFUNCTION("""COMPUTED_VALUE"""),181257.0)</f>
        <v>181257</v>
      </c>
    </row>
    <row r="1843">
      <c r="A1843" s="2">
        <f>IFERROR(__xludf.DUMMYFUNCTION("""COMPUTED_VALUE"""),43651.64583333333)</f>
        <v>43651.64583</v>
      </c>
      <c r="B1843" s="1">
        <f>IFERROR(__xludf.DUMMYFUNCTION("""COMPUTED_VALUE"""),16450.0)</f>
        <v>16450</v>
      </c>
      <c r="C1843" s="1">
        <f>IFERROR(__xludf.DUMMYFUNCTION("""COMPUTED_VALUE"""),17100.0)</f>
        <v>17100</v>
      </c>
      <c r="D1843" s="1">
        <f>IFERROR(__xludf.DUMMYFUNCTION("""COMPUTED_VALUE"""),16350.0)</f>
        <v>16350</v>
      </c>
      <c r="E1843" s="1">
        <f>IFERROR(__xludf.DUMMYFUNCTION("""COMPUTED_VALUE"""),16600.0)</f>
        <v>16600</v>
      </c>
      <c r="F1843" s="1">
        <f>IFERROR(__xludf.DUMMYFUNCTION("""COMPUTED_VALUE"""),158999.0)</f>
        <v>158999</v>
      </c>
    </row>
    <row r="1844">
      <c r="A1844" s="2">
        <f>IFERROR(__xludf.DUMMYFUNCTION("""COMPUTED_VALUE"""),43654.64583333333)</f>
        <v>43654.64583</v>
      </c>
      <c r="B1844" s="1">
        <f>IFERROR(__xludf.DUMMYFUNCTION("""COMPUTED_VALUE"""),16600.0)</f>
        <v>16600</v>
      </c>
      <c r="C1844" s="1">
        <f>IFERROR(__xludf.DUMMYFUNCTION("""COMPUTED_VALUE"""),16600.0)</f>
        <v>16600</v>
      </c>
      <c r="D1844" s="1">
        <f>IFERROR(__xludf.DUMMYFUNCTION("""COMPUTED_VALUE"""),15600.0)</f>
        <v>15600</v>
      </c>
      <c r="E1844" s="1">
        <f>IFERROR(__xludf.DUMMYFUNCTION("""COMPUTED_VALUE"""),15650.0)</f>
        <v>15650</v>
      </c>
      <c r="F1844" s="1">
        <f>IFERROR(__xludf.DUMMYFUNCTION("""COMPUTED_VALUE"""),190743.0)</f>
        <v>190743</v>
      </c>
    </row>
    <row r="1845">
      <c r="A1845" s="2">
        <f>IFERROR(__xludf.DUMMYFUNCTION("""COMPUTED_VALUE"""),43655.64583333333)</f>
        <v>43655.64583</v>
      </c>
      <c r="B1845" s="1">
        <f>IFERROR(__xludf.DUMMYFUNCTION("""COMPUTED_VALUE"""),15500.0)</f>
        <v>15500</v>
      </c>
      <c r="C1845" s="1">
        <f>IFERROR(__xludf.DUMMYFUNCTION("""COMPUTED_VALUE"""),15950.0)</f>
        <v>15950</v>
      </c>
      <c r="D1845" s="1">
        <f>IFERROR(__xludf.DUMMYFUNCTION("""COMPUTED_VALUE"""),15100.0)</f>
        <v>15100</v>
      </c>
      <c r="E1845" s="1">
        <f>IFERROR(__xludf.DUMMYFUNCTION("""COMPUTED_VALUE"""),15100.0)</f>
        <v>15100</v>
      </c>
      <c r="F1845" s="1">
        <f>IFERROR(__xludf.DUMMYFUNCTION("""COMPUTED_VALUE"""),108025.0)</f>
        <v>108025</v>
      </c>
    </row>
    <row r="1846">
      <c r="A1846" s="2">
        <f>IFERROR(__xludf.DUMMYFUNCTION("""COMPUTED_VALUE"""),43656.64583333333)</f>
        <v>43656.64583</v>
      </c>
      <c r="B1846" s="1">
        <f>IFERROR(__xludf.DUMMYFUNCTION("""COMPUTED_VALUE"""),14950.0)</f>
        <v>14950</v>
      </c>
      <c r="C1846" s="1">
        <f>IFERROR(__xludf.DUMMYFUNCTION("""COMPUTED_VALUE"""),15350.0)</f>
        <v>15350</v>
      </c>
      <c r="D1846" s="1">
        <f>IFERROR(__xludf.DUMMYFUNCTION("""COMPUTED_VALUE"""),14900.0)</f>
        <v>14900</v>
      </c>
      <c r="E1846" s="1">
        <f>IFERROR(__xludf.DUMMYFUNCTION("""COMPUTED_VALUE"""),15150.0)</f>
        <v>15150</v>
      </c>
      <c r="F1846" s="1">
        <f>IFERROR(__xludf.DUMMYFUNCTION("""COMPUTED_VALUE"""),100665.0)</f>
        <v>100665</v>
      </c>
    </row>
    <row r="1847">
      <c r="A1847" s="2">
        <f>IFERROR(__xludf.DUMMYFUNCTION("""COMPUTED_VALUE"""),43657.64583333333)</f>
        <v>43657.64583</v>
      </c>
      <c r="B1847" s="1">
        <f>IFERROR(__xludf.DUMMYFUNCTION("""COMPUTED_VALUE"""),15150.0)</f>
        <v>15150</v>
      </c>
      <c r="C1847" s="1">
        <f>IFERROR(__xludf.DUMMYFUNCTION("""COMPUTED_VALUE"""),16000.0)</f>
        <v>16000</v>
      </c>
      <c r="D1847" s="1">
        <f>IFERROR(__xludf.DUMMYFUNCTION("""COMPUTED_VALUE"""),15100.0)</f>
        <v>15100</v>
      </c>
      <c r="E1847" s="1">
        <f>IFERROR(__xludf.DUMMYFUNCTION("""COMPUTED_VALUE"""),16000.0)</f>
        <v>16000</v>
      </c>
      <c r="F1847" s="1">
        <f>IFERROR(__xludf.DUMMYFUNCTION("""COMPUTED_VALUE"""),98719.0)</f>
        <v>98719</v>
      </c>
    </row>
    <row r="1848">
      <c r="A1848" s="2">
        <f>IFERROR(__xludf.DUMMYFUNCTION("""COMPUTED_VALUE"""),43658.64583333333)</f>
        <v>43658.64583</v>
      </c>
      <c r="B1848" s="1">
        <f>IFERROR(__xludf.DUMMYFUNCTION("""COMPUTED_VALUE"""),15900.0)</f>
        <v>15900</v>
      </c>
      <c r="C1848" s="1">
        <f>IFERROR(__xludf.DUMMYFUNCTION("""COMPUTED_VALUE"""),16400.0)</f>
        <v>16400</v>
      </c>
      <c r="D1848" s="1">
        <f>IFERROR(__xludf.DUMMYFUNCTION("""COMPUTED_VALUE"""),15900.0)</f>
        <v>15900</v>
      </c>
      <c r="E1848" s="1">
        <f>IFERROR(__xludf.DUMMYFUNCTION("""COMPUTED_VALUE"""),16300.0)</f>
        <v>16300</v>
      </c>
      <c r="F1848" s="1">
        <f>IFERROR(__xludf.DUMMYFUNCTION("""COMPUTED_VALUE"""),68393.0)</f>
        <v>68393</v>
      </c>
    </row>
    <row r="1849">
      <c r="A1849" s="2">
        <f>IFERROR(__xludf.DUMMYFUNCTION("""COMPUTED_VALUE"""),43661.64583333333)</f>
        <v>43661.64583</v>
      </c>
      <c r="B1849" s="1">
        <f>IFERROR(__xludf.DUMMYFUNCTION("""COMPUTED_VALUE"""),16250.0)</f>
        <v>16250</v>
      </c>
      <c r="C1849" s="1">
        <f>IFERROR(__xludf.DUMMYFUNCTION("""COMPUTED_VALUE"""),16400.0)</f>
        <v>16400</v>
      </c>
      <c r="D1849" s="1">
        <f>IFERROR(__xludf.DUMMYFUNCTION("""COMPUTED_VALUE"""),15850.0)</f>
        <v>15850</v>
      </c>
      <c r="E1849" s="1">
        <f>IFERROR(__xludf.DUMMYFUNCTION("""COMPUTED_VALUE"""),15850.0)</f>
        <v>15850</v>
      </c>
      <c r="F1849" s="1">
        <f>IFERROR(__xludf.DUMMYFUNCTION("""COMPUTED_VALUE"""),57828.0)</f>
        <v>57828</v>
      </c>
    </row>
    <row r="1850">
      <c r="A1850" s="2">
        <f>IFERROR(__xludf.DUMMYFUNCTION("""COMPUTED_VALUE"""),43662.64583333333)</f>
        <v>43662.64583</v>
      </c>
      <c r="B1850" s="1">
        <f>IFERROR(__xludf.DUMMYFUNCTION("""COMPUTED_VALUE"""),15800.0)</f>
        <v>15800</v>
      </c>
      <c r="C1850" s="1">
        <f>IFERROR(__xludf.DUMMYFUNCTION("""COMPUTED_VALUE"""),16150.0)</f>
        <v>16150</v>
      </c>
      <c r="D1850" s="1">
        <f>IFERROR(__xludf.DUMMYFUNCTION("""COMPUTED_VALUE"""),15500.0)</f>
        <v>15500</v>
      </c>
      <c r="E1850" s="1">
        <f>IFERROR(__xludf.DUMMYFUNCTION("""COMPUTED_VALUE"""),15750.0)</f>
        <v>15750</v>
      </c>
      <c r="F1850" s="1">
        <f>IFERROR(__xludf.DUMMYFUNCTION("""COMPUTED_VALUE"""),48183.0)</f>
        <v>48183</v>
      </c>
    </row>
    <row r="1851">
      <c r="A1851" s="2">
        <f>IFERROR(__xludf.DUMMYFUNCTION("""COMPUTED_VALUE"""),43663.64583333333)</f>
        <v>43663.64583</v>
      </c>
      <c r="B1851" s="1">
        <f>IFERROR(__xludf.DUMMYFUNCTION("""COMPUTED_VALUE"""),15600.0)</f>
        <v>15600</v>
      </c>
      <c r="C1851" s="1">
        <f>IFERROR(__xludf.DUMMYFUNCTION("""COMPUTED_VALUE"""),15750.0)</f>
        <v>15750</v>
      </c>
      <c r="D1851" s="1">
        <f>IFERROR(__xludf.DUMMYFUNCTION("""COMPUTED_VALUE"""),15250.0)</f>
        <v>15250</v>
      </c>
      <c r="E1851" s="1">
        <f>IFERROR(__xludf.DUMMYFUNCTION("""COMPUTED_VALUE"""),15450.0)</f>
        <v>15450</v>
      </c>
      <c r="F1851" s="1">
        <f>IFERROR(__xludf.DUMMYFUNCTION("""COMPUTED_VALUE"""),36234.0)</f>
        <v>36234</v>
      </c>
    </row>
    <row r="1852">
      <c r="A1852" s="2">
        <f>IFERROR(__xludf.DUMMYFUNCTION("""COMPUTED_VALUE"""),43664.64583333333)</f>
        <v>43664.64583</v>
      </c>
      <c r="B1852" s="1">
        <f>IFERROR(__xludf.DUMMYFUNCTION("""COMPUTED_VALUE"""),15600.0)</f>
        <v>15600</v>
      </c>
      <c r="C1852" s="1">
        <f>IFERROR(__xludf.DUMMYFUNCTION("""COMPUTED_VALUE"""),15850.0)</f>
        <v>15850</v>
      </c>
      <c r="D1852" s="1">
        <f>IFERROR(__xludf.DUMMYFUNCTION("""COMPUTED_VALUE"""),15400.0)</f>
        <v>15400</v>
      </c>
      <c r="E1852" s="1">
        <f>IFERROR(__xludf.DUMMYFUNCTION("""COMPUTED_VALUE"""),15450.0)</f>
        <v>15450</v>
      </c>
      <c r="F1852" s="1">
        <f>IFERROR(__xludf.DUMMYFUNCTION("""COMPUTED_VALUE"""),43300.0)</f>
        <v>43300</v>
      </c>
    </row>
    <row r="1853">
      <c r="A1853" s="2">
        <f>IFERROR(__xludf.DUMMYFUNCTION("""COMPUTED_VALUE"""),43665.64583333333)</f>
        <v>43665.64583</v>
      </c>
      <c r="B1853" s="1">
        <f>IFERROR(__xludf.DUMMYFUNCTION("""COMPUTED_VALUE"""),15500.0)</f>
        <v>15500</v>
      </c>
      <c r="C1853" s="1">
        <f>IFERROR(__xludf.DUMMYFUNCTION("""COMPUTED_VALUE"""),16250.0)</f>
        <v>16250</v>
      </c>
      <c r="D1853" s="1">
        <f>IFERROR(__xludf.DUMMYFUNCTION("""COMPUTED_VALUE"""),15500.0)</f>
        <v>15500</v>
      </c>
      <c r="E1853" s="1">
        <f>IFERROR(__xludf.DUMMYFUNCTION("""COMPUTED_VALUE"""),15950.0)</f>
        <v>15950</v>
      </c>
      <c r="F1853" s="1">
        <f>IFERROR(__xludf.DUMMYFUNCTION("""COMPUTED_VALUE"""),82195.0)</f>
        <v>82195</v>
      </c>
    </row>
    <row r="1854">
      <c r="A1854" s="2">
        <f>IFERROR(__xludf.DUMMYFUNCTION("""COMPUTED_VALUE"""),43668.64583333333)</f>
        <v>43668.64583</v>
      </c>
      <c r="B1854" s="1">
        <f>IFERROR(__xludf.DUMMYFUNCTION("""COMPUTED_VALUE"""),15800.0)</f>
        <v>15800</v>
      </c>
      <c r="C1854" s="1">
        <f>IFERROR(__xludf.DUMMYFUNCTION("""COMPUTED_VALUE"""),15850.0)</f>
        <v>15850</v>
      </c>
      <c r="D1854" s="1">
        <f>IFERROR(__xludf.DUMMYFUNCTION("""COMPUTED_VALUE"""),15400.0)</f>
        <v>15400</v>
      </c>
      <c r="E1854" s="1">
        <f>IFERROR(__xludf.DUMMYFUNCTION("""COMPUTED_VALUE"""),15450.0)</f>
        <v>15450</v>
      </c>
      <c r="F1854" s="1">
        <f>IFERROR(__xludf.DUMMYFUNCTION("""COMPUTED_VALUE"""),39728.0)</f>
        <v>39728</v>
      </c>
    </row>
    <row r="1855">
      <c r="A1855" s="2">
        <f>IFERROR(__xludf.DUMMYFUNCTION("""COMPUTED_VALUE"""),43669.64583333333)</f>
        <v>43669.64583</v>
      </c>
      <c r="B1855" s="1">
        <f>IFERROR(__xludf.DUMMYFUNCTION("""COMPUTED_VALUE"""),15450.0)</f>
        <v>15450</v>
      </c>
      <c r="C1855" s="1">
        <f>IFERROR(__xludf.DUMMYFUNCTION("""COMPUTED_VALUE"""),15550.0)</f>
        <v>15550</v>
      </c>
      <c r="D1855" s="1">
        <f>IFERROR(__xludf.DUMMYFUNCTION("""COMPUTED_VALUE"""),15100.0)</f>
        <v>15100</v>
      </c>
      <c r="E1855" s="1">
        <f>IFERROR(__xludf.DUMMYFUNCTION("""COMPUTED_VALUE"""),15200.0)</f>
        <v>15200</v>
      </c>
      <c r="F1855" s="1">
        <f>IFERROR(__xludf.DUMMYFUNCTION("""COMPUTED_VALUE"""),41309.0)</f>
        <v>41309</v>
      </c>
    </row>
    <row r="1856">
      <c r="A1856" s="2">
        <f>IFERROR(__xludf.DUMMYFUNCTION("""COMPUTED_VALUE"""),43670.64583333333)</f>
        <v>43670.64583</v>
      </c>
      <c r="B1856" s="1">
        <f>IFERROR(__xludf.DUMMYFUNCTION("""COMPUTED_VALUE"""),15000.0)</f>
        <v>15000</v>
      </c>
      <c r="C1856" s="1">
        <f>IFERROR(__xludf.DUMMYFUNCTION("""COMPUTED_VALUE"""),15450.0)</f>
        <v>15450</v>
      </c>
      <c r="D1856" s="1">
        <f>IFERROR(__xludf.DUMMYFUNCTION("""COMPUTED_VALUE"""),14200.0)</f>
        <v>14200</v>
      </c>
      <c r="E1856" s="1">
        <f>IFERROR(__xludf.DUMMYFUNCTION("""COMPUTED_VALUE"""),14450.0)</f>
        <v>14450</v>
      </c>
      <c r="F1856" s="1">
        <f>IFERROR(__xludf.DUMMYFUNCTION("""COMPUTED_VALUE"""),118807.0)</f>
        <v>118807</v>
      </c>
    </row>
    <row r="1857">
      <c r="A1857" s="2">
        <f>IFERROR(__xludf.DUMMYFUNCTION("""COMPUTED_VALUE"""),43671.64583333333)</f>
        <v>43671.64583</v>
      </c>
      <c r="B1857" s="1">
        <f>IFERROR(__xludf.DUMMYFUNCTION("""COMPUTED_VALUE"""),14450.0)</f>
        <v>14450</v>
      </c>
      <c r="C1857" s="1">
        <f>IFERROR(__xludf.DUMMYFUNCTION("""COMPUTED_VALUE"""),14650.0)</f>
        <v>14650</v>
      </c>
      <c r="D1857" s="1">
        <f>IFERROR(__xludf.DUMMYFUNCTION("""COMPUTED_VALUE"""),13600.0)</f>
        <v>13600</v>
      </c>
      <c r="E1857" s="1">
        <f>IFERROR(__xludf.DUMMYFUNCTION("""COMPUTED_VALUE"""),13850.0)</f>
        <v>13850</v>
      </c>
      <c r="F1857" s="1">
        <f>IFERROR(__xludf.DUMMYFUNCTION("""COMPUTED_VALUE"""),143967.0)</f>
        <v>143967</v>
      </c>
    </row>
    <row r="1858">
      <c r="A1858" s="2">
        <f>IFERROR(__xludf.DUMMYFUNCTION("""COMPUTED_VALUE"""),43672.64583333333)</f>
        <v>43672.64583</v>
      </c>
      <c r="B1858" s="1">
        <f>IFERROR(__xludf.DUMMYFUNCTION("""COMPUTED_VALUE"""),13750.0)</f>
        <v>13750</v>
      </c>
      <c r="C1858" s="1">
        <f>IFERROR(__xludf.DUMMYFUNCTION("""COMPUTED_VALUE"""),14100.0)</f>
        <v>14100</v>
      </c>
      <c r="D1858" s="1">
        <f>IFERROR(__xludf.DUMMYFUNCTION("""COMPUTED_VALUE"""),13600.0)</f>
        <v>13600</v>
      </c>
      <c r="E1858" s="1">
        <f>IFERROR(__xludf.DUMMYFUNCTION("""COMPUTED_VALUE"""),13800.0)</f>
        <v>13800</v>
      </c>
      <c r="F1858" s="1">
        <f>IFERROR(__xludf.DUMMYFUNCTION("""COMPUTED_VALUE"""),48481.0)</f>
        <v>48481</v>
      </c>
    </row>
    <row r="1859">
      <c r="A1859" s="2">
        <f>IFERROR(__xludf.DUMMYFUNCTION("""COMPUTED_VALUE"""),43675.64583333333)</f>
        <v>43675.64583</v>
      </c>
      <c r="B1859" s="1">
        <f>IFERROR(__xludf.DUMMYFUNCTION("""COMPUTED_VALUE"""),13550.0)</f>
        <v>13550</v>
      </c>
      <c r="C1859" s="1">
        <f>IFERROR(__xludf.DUMMYFUNCTION("""COMPUTED_VALUE"""),13750.0)</f>
        <v>13750</v>
      </c>
      <c r="D1859" s="1">
        <f>IFERROR(__xludf.DUMMYFUNCTION("""COMPUTED_VALUE"""),12500.0)</f>
        <v>12500</v>
      </c>
      <c r="E1859" s="1">
        <f>IFERROR(__xludf.DUMMYFUNCTION("""COMPUTED_VALUE"""),12550.0)</f>
        <v>12550</v>
      </c>
      <c r="F1859" s="1">
        <f>IFERROR(__xludf.DUMMYFUNCTION("""COMPUTED_VALUE"""),133536.0)</f>
        <v>133536</v>
      </c>
    </row>
    <row r="1860">
      <c r="A1860" s="2">
        <f>IFERROR(__xludf.DUMMYFUNCTION("""COMPUTED_VALUE"""),43676.64583333333)</f>
        <v>43676.64583</v>
      </c>
      <c r="B1860" s="1">
        <f>IFERROR(__xludf.DUMMYFUNCTION("""COMPUTED_VALUE"""),12350.0)</f>
        <v>12350</v>
      </c>
      <c r="C1860" s="1">
        <f>IFERROR(__xludf.DUMMYFUNCTION("""COMPUTED_VALUE"""),15000.0)</f>
        <v>15000</v>
      </c>
      <c r="D1860" s="1">
        <f>IFERROR(__xludf.DUMMYFUNCTION("""COMPUTED_VALUE"""),12350.0)</f>
        <v>12350</v>
      </c>
      <c r="E1860" s="1">
        <f>IFERROR(__xludf.DUMMYFUNCTION("""COMPUTED_VALUE"""),13300.0)</f>
        <v>13300</v>
      </c>
      <c r="F1860" s="1">
        <f>IFERROR(__xludf.DUMMYFUNCTION("""COMPUTED_VALUE"""),362219.0)</f>
        <v>362219</v>
      </c>
    </row>
    <row r="1861">
      <c r="A1861" s="2">
        <f>IFERROR(__xludf.DUMMYFUNCTION("""COMPUTED_VALUE"""),43677.64583333333)</f>
        <v>43677.64583</v>
      </c>
      <c r="B1861" s="1">
        <f>IFERROR(__xludf.DUMMYFUNCTION("""COMPUTED_VALUE"""),13050.0)</f>
        <v>13050</v>
      </c>
      <c r="C1861" s="1">
        <f>IFERROR(__xludf.DUMMYFUNCTION("""COMPUTED_VALUE"""),13900.0)</f>
        <v>13900</v>
      </c>
      <c r="D1861" s="1">
        <f>IFERROR(__xludf.DUMMYFUNCTION("""COMPUTED_VALUE"""),13000.0)</f>
        <v>13000</v>
      </c>
      <c r="E1861" s="1">
        <f>IFERROR(__xludf.DUMMYFUNCTION("""COMPUTED_VALUE"""),13700.0)</f>
        <v>13700</v>
      </c>
      <c r="F1861" s="1">
        <f>IFERROR(__xludf.DUMMYFUNCTION("""COMPUTED_VALUE"""),118863.0)</f>
        <v>118863</v>
      </c>
    </row>
    <row r="1862">
      <c r="A1862" s="2">
        <f>IFERROR(__xludf.DUMMYFUNCTION("""COMPUTED_VALUE"""),43678.64583333333)</f>
        <v>43678.64583</v>
      </c>
      <c r="B1862" s="1">
        <f>IFERROR(__xludf.DUMMYFUNCTION("""COMPUTED_VALUE"""),13600.0)</f>
        <v>13600</v>
      </c>
      <c r="C1862" s="1">
        <f>IFERROR(__xludf.DUMMYFUNCTION("""COMPUTED_VALUE"""),14000.0)</f>
        <v>14000</v>
      </c>
      <c r="D1862" s="1">
        <f>IFERROR(__xludf.DUMMYFUNCTION("""COMPUTED_VALUE"""),13350.0)</f>
        <v>13350</v>
      </c>
      <c r="E1862" s="1">
        <f>IFERROR(__xludf.DUMMYFUNCTION("""COMPUTED_VALUE"""),13400.0)</f>
        <v>13400</v>
      </c>
      <c r="F1862" s="1">
        <f>IFERROR(__xludf.DUMMYFUNCTION("""COMPUTED_VALUE"""),76734.0)</f>
        <v>76734</v>
      </c>
    </row>
    <row r="1863">
      <c r="A1863" s="2">
        <f>IFERROR(__xludf.DUMMYFUNCTION("""COMPUTED_VALUE"""),43679.64583333333)</f>
        <v>43679.64583</v>
      </c>
      <c r="B1863" s="1">
        <f>IFERROR(__xludf.DUMMYFUNCTION("""COMPUTED_VALUE"""),12950.0)</f>
        <v>12950</v>
      </c>
      <c r="C1863" s="1">
        <f>IFERROR(__xludf.DUMMYFUNCTION("""COMPUTED_VALUE"""),13650.0)</f>
        <v>13650</v>
      </c>
      <c r="D1863" s="1">
        <f>IFERROR(__xludf.DUMMYFUNCTION("""COMPUTED_VALUE"""),12800.0)</f>
        <v>12800</v>
      </c>
      <c r="E1863" s="1">
        <f>IFERROR(__xludf.DUMMYFUNCTION("""COMPUTED_VALUE"""),13550.0)</f>
        <v>13550</v>
      </c>
      <c r="F1863" s="1">
        <f>IFERROR(__xludf.DUMMYFUNCTION("""COMPUTED_VALUE"""),43522.0)</f>
        <v>43522</v>
      </c>
    </row>
    <row r="1864">
      <c r="A1864" s="2">
        <f>IFERROR(__xludf.DUMMYFUNCTION("""COMPUTED_VALUE"""),43682.64583333333)</f>
        <v>43682.64583</v>
      </c>
      <c r="B1864" s="1">
        <f>IFERROR(__xludf.DUMMYFUNCTION("""COMPUTED_VALUE"""),13350.0)</f>
        <v>13350</v>
      </c>
      <c r="C1864" s="1">
        <f>IFERROR(__xludf.DUMMYFUNCTION("""COMPUTED_VALUE"""),13600.0)</f>
        <v>13600</v>
      </c>
      <c r="D1864" s="1">
        <f>IFERROR(__xludf.DUMMYFUNCTION("""COMPUTED_VALUE"""),12500.0)</f>
        <v>12500</v>
      </c>
      <c r="E1864" s="1">
        <f>IFERROR(__xludf.DUMMYFUNCTION("""COMPUTED_VALUE"""),12550.0)</f>
        <v>12550</v>
      </c>
      <c r="F1864" s="1">
        <f>IFERROR(__xludf.DUMMYFUNCTION("""COMPUTED_VALUE"""),78401.0)</f>
        <v>78401</v>
      </c>
    </row>
    <row r="1865">
      <c r="A1865" s="2">
        <f>IFERROR(__xludf.DUMMYFUNCTION("""COMPUTED_VALUE"""),43683.64583333333)</f>
        <v>43683.64583</v>
      </c>
      <c r="B1865" s="1">
        <f>IFERROR(__xludf.DUMMYFUNCTION("""COMPUTED_VALUE"""),11750.0)</f>
        <v>11750</v>
      </c>
      <c r="C1865" s="1">
        <f>IFERROR(__xludf.DUMMYFUNCTION("""COMPUTED_VALUE"""),13100.0)</f>
        <v>13100</v>
      </c>
      <c r="D1865" s="1">
        <f>IFERROR(__xludf.DUMMYFUNCTION("""COMPUTED_VALUE"""),11600.0)</f>
        <v>11600</v>
      </c>
      <c r="E1865" s="1">
        <f>IFERROR(__xludf.DUMMYFUNCTION("""COMPUTED_VALUE"""),12200.0)</f>
        <v>12200</v>
      </c>
      <c r="F1865" s="1">
        <f>IFERROR(__xludf.DUMMYFUNCTION("""COMPUTED_VALUE"""),131634.0)</f>
        <v>131634</v>
      </c>
    </row>
    <row r="1866">
      <c r="A1866" s="2">
        <f>IFERROR(__xludf.DUMMYFUNCTION("""COMPUTED_VALUE"""),43684.64583333333)</f>
        <v>43684.64583</v>
      </c>
      <c r="B1866" s="1">
        <f>IFERROR(__xludf.DUMMYFUNCTION("""COMPUTED_VALUE"""),12100.0)</f>
        <v>12100</v>
      </c>
      <c r="C1866" s="1">
        <f>IFERROR(__xludf.DUMMYFUNCTION("""COMPUTED_VALUE"""),13100.0)</f>
        <v>13100</v>
      </c>
      <c r="D1866" s="1">
        <f>IFERROR(__xludf.DUMMYFUNCTION("""COMPUTED_VALUE"""),12100.0)</f>
        <v>12100</v>
      </c>
      <c r="E1866" s="1">
        <f>IFERROR(__xludf.DUMMYFUNCTION("""COMPUTED_VALUE"""),12900.0)</f>
        <v>12900</v>
      </c>
      <c r="F1866" s="1">
        <f>IFERROR(__xludf.DUMMYFUNCTION("""COMPUTED_VALUE"""),102777.0)</f>
        <v>102777</v>
      </c>
    </row>
    <row r="1867">
      <c r="A1867" s="2">
        <f>IFERROR(__xludf.DUMMYFUNCTION("""COMPUTED_VALUE"""),43685.64583333333)</f>
        <v>43685.64583</v>
      </c>
      <c r="B1867" s="1">
        <f>IFERROR(__xludf.DUMMYFUNCTION("""COMPUTED_VALUE"""),13850.0)</f>
        <v>13850</v>
      </c>
      <c r="C1867" s="1">
        <f>IFERROR(__xludf.DUMMYFUNCTION("""COMPUTED_VALUE"""),14050.0)</f>
        <v>14050</v>
      </c>
      <c r="D1867" s="1">
        <f>IFERROR(__xludf.DUMMYFUNCTION("""COMPUTED_VALUE"""),13100.0)</f>
        <v>13100</v>
      </c>
      <c r="E1867" s="1">
        <f>IFERROR(__xludf.DUMMYFUNCTION("""COMPUTED_VALUE"""),13300.0)</f>
        <v>13300</v>
      </c>
      <c r="F1867" s="1">
        <f>IFERROR(__xludf.DUMMYFUNCTION("""COMPUTED_VALUE"""),154344.0)</f>
        <v>154344</v>
      </c>
    </row>
    <row r="1868">
      <c r="A1868" s="2">
        <f>IFERROR(__xludf.DUMMYFUNCTION("""COMPUTED_VALUE"""),43686.64583333333)</f>
        <v>43686.64583</v>
      </c>
      <c r="B1868" s="1">
        <f>IFERROR(__xludf.DUMMYFUNCTION("""COMPUTED_VALUE"""),13600.0)</f>
        <v>13600</v>
      </c>
      <c r="C1868" s="1">
        <f>IFERROR(__xludf.DUMMYFUNCTION("""COMPUTED_VALUE"""),13600.0)</f>
        <v>13600</v>
      </c>
      <c r="D1868" s="1">
        <f>IFERROR(__xludf.DUMMYFUNCTION("""COMPUTED_VALUE"""),13250.0)</f>
        <v>13250</v>
      </c>
      <c r="E1868" s="1">
        <f>IFERROR(__xludf.DUMMYFUNCTION("""COMPUTED_VALUE"""),13450.0)</f>
        <v>13450</v>
      </c>
      <c r="F1868" s="1">
        <f>IFERROR(__xludf.DUMMYFUNCTION("""COMPUTED_VALUE"""),34273.0)</f>
        <v>34273</v>
      </c>
    </row>
    <row r="1869">
      <c r="A1869" s="2">
        <f>IFERROR(__xludf.DUMMYFUNCTION("""COMPUTED_VALUE"""),43689.64583333333)</f>
        <v>43689.64583</v>
      </c>
      <c r="B1869" s="1">
        <f>IFERROR(__xludf.DUMMYFUNCTION("""COMPUTED_VALUE"""),13400.0)</f>
        <v>13400</v>
      </c>
      <c r="C1869" s="1">
        <f>IFERROR(__xludf.DUMMYFUNCTION("""COMPUTED_VALUE"""),13750.0)</f>
        <v>13750</v>
      </c>
      <c r="D1869" s="1">
        <f>IFERROR(__xludf.DUMMYFUNCTION("""COMPUTED_VALUE"""),13200.0)</f>
        <v>13200</v>
      </c>
      <c r="E1869" s="1">
        <f>IFERROR(__xludf.DUMMYFUNCTION("""COMPUTED_VALUE"""),13550.0)</f>
        <v>13550</v>
      </c>
      <c r="F1869" s="1">
        <f>IFERROR(__xludf.DUMMYFUNCTION("""COMPUTED_VALUE"""),62159.0)</f>
        <v>62159</v>
      </c>
    </row>
    <row r="1870">
      <c r="A1870" s="2">
        <f>IFERROR(__xludf.DUMMYFUNCTION("""COMPUTED_VALUE"""),43690.64583333333)</f>
        <v>43690.64583</v>
      </c>
      <c r="B1870" s="1">
        <f>IFERROR(__xludf.DUMMYFUNCTION("""COMPUTED_VALUE"""),13850.0)</f>
        <v>13850</v>
      </c>
      <c r="C1870" s="1">
        <f>IFERROR(__xludf.DUMMYFUNCTION("""COMPUTED_VALUE"""),14200.0)</f>
        <v>14200</v>
      </c>
      <c r="D1870" s="1">
        <f>IFERROR(__xludf.DUMMYFUNCTION("""COMPUTED_VALUE"""),13600.0)</f>
        <v>13600</v>
      </c>
      <c r="E1870" s="1">
        <f>IFERROR(__xludf.DUMMYFUNCTION("""COMPUTED_VALUE"""),14050.0)</f>
        <v>14050</v>
      </c>
      <c r="F1870" s="1">
        <f>IFERROR(__xludf.DUMMYFUNCTION("""COMPUTED_VALUE"""),130022.0)</f>
        <v>130022</v>
      </c>
    </row>
    <row r="1871">
      <c r="A1871" s="2">
        <f>IFERROR(__xludf.DUMMYFUNCTION("""COMPUTED_VALUE"""),43691.64583333333)</f>
        <v>43691.64583</v>
      </c>
      <c r="B1871" s="1">
        <f>IFERROR(__xludf.DUMMYFUNCTION("""COMPUTED_VALUE"""),14050.0)</f>
        <v>14050</v>
      </c>
      <c r="C1871" s="1">
        <f>IFERROR(__xludf.DUMMYFUNCTION("""COMPUTED_VALUE"""),14100.0)</f>
        <v>14100</v>
      </c>
      <c r="D1871" s="1">
        <f>IFERROR(__xludf.DUMMYFUNCTION("""COMPUTED_VALUE"""),13750.0)</f>
        <v>13750</v>
      </c>
      <c r="E1871" s="1">
        <f>IFERROR(__xludf.DUMMYFUNCTION("""COMPUTED_VALUE"""),13850.0)</f>
        <v>13850</v>
      </c>
      <c r="F1871" s="1">
        <f>IFERROR(__xludf.DUMMYFUNCTION("""COMPUTED_VALUE"""),45427.0)</f>
        <v>45427</v>
      </c>
    </row>
    <row r="1872">
      <c r="A1872" s="2">
        <f>IFERROR(__xludf.DUMMYFUNCTION("""COMPUTED_VALUE"""),43693.64583333333)</f>
        <v>43693.64583</v>
      </c>
      <c r="B1872" s="1">
        <f>IFERROR(__xludf.DUMMYFUNCTION("""COMPUTED_VALUE"""),13800.0)</f>
        <v>13800</v>
      </c>
      <c r="C1872" s="1">
        <f>IFERROR(__xludf.DUMMYFUNCTION("""COMPUTED_VALUE"""),13800.0)</f>
        <v>13800</v>
      </c>
      <c r="D1872" s="1">
        <f>IFERROR(__xludf.DUMMYFUNCTION("""COMPUTED_VALUE"""),13250.0)</f>
        <v>13250</v>
      </c>
      <c r="E1872" s="1">
        <f>IFERROR(__xludf.DUMMYFUNCTION("""COMPUTED_VALUE"""),13450.0)</f>
        <v>13450</v>
      </c>
      <c r="F1872" s="1">
        <f>IFERROR(__xludf.DUMMYFUNCTION("""COMPUTED_VALUE"""),48234.0)</f>
        <v>48234</v>
      </c>
    </row>
    <row r="1873">
      <c r="A1873" s="2">
        <f>IFERROR(__xludf.DUMMYFUNCTION("""COMPUTED_VALUE"""),43696.64583333333)</f>
        <v>43696.64583</v>
      </c>
      <c r="B1873" s="1">
        <f>IFERROR(__xludf.DUMMYFUNCTION("""COMPUTED_VALUE"""),13400.0)</f>
        <v>13400</v>
      </c>
      <c r="C1873" s="1">
        <f>IFERROR(__xludf.DUMMYFUNCTION("""COMPUTED_VALUE"""),13750.0)</f>
        <v>13750</v>
      </c>
      <c r="D1873" s="1">
        <f>IFERROR(__xludf.DUMMYFUNCTION("""COMPUTED_VALUE"""),13400.0)</f>
        <v>13400</v>
      </c>
      <c r="E1873" s="1">
        <f>IFERROR(__xludf.DUMMYFUNCTION("""COMPUTED_VALUE"""),13600.0)</f>
        <v>13600</v>
      </c>
      <c r="F1873" s="1">
        <f>IFERROR(__xludf.DUMMYFUNCTION("""COMPUTED_VALUE"""),36941.0)</f>
        <v>36941</v>
      </c>
    </row>
    <row r="1874">
      <c r="A1874" s="2">
        <f>IFERROR(__xludf.DUMMYFUNCTION("""COMPUTED_VALUE"""),43697.64583333333)</f>
        <v>43697.64583</v>
      </c>
      <c r="B1874" s="1">
        <f>IFERROR(__xludf.DUMMYFUNCTION("""COMPUTED_VALUE"""),13500.0)</f>
        <v>13500</v>
      </c>
      <c r="C1874" s="1">
        <f>IFERROR(__xludf.DUMMYFUNCTION("""COMPUTED_VALUE"""),14000.0)</f>
        <v>14000</v>
      </c>
      <c r="D1874" s="1">
        <f>IFERROR(__xludf.DUMMYFUNCTION("""COMPUTED_VALUE"""),13450.0)</f>
        <v>13450</v>
      </c>
      <c r="E1874" s="1">
        <f>IFERROR(__xludf.DUMMYFUNCTION("""COMPUTED_VALUE"""),13800.0)</f>
        <v>13800</v>
      </c>
      <c r="F1874" s="1">
        <f>IFERROR(__xludf.DUMMYFUNCTION("""COMPUTED_VALUE"""),48496.0)</f>
        <v>48496</v>
      </c>
    </row>
    <row r="1875">
      <c r="A1875" s="2">
        <f>IFERROR(__xludf.DUMMYFUNCTION("""COMPUTED_VALUE"""),43698.64583333333)</f>
        <v>43698.64583</v>
      </c>
      <c r="B1875" s="1">
        <f>IFERROR(__xludf.DUMMYFUNCTION("""COMPUTED_VALUE"""),13800.0)</f>
        <v>13800</v>
      </c>
      <c r="C1875" s="1">
        <f>IFERROR(__xludf.DUMMYFUNCTION("""COMPUTED_VALUE"""),14000.0)</f>
        <v>14000</v>
      </c>
      <c r="D1875" s="1">
        <f>IFERROR(__xludf.DUMMYFUNCTION("""COMPUTED_VALUE"""),13650.0)</f>
        <v>13650</v>
      </c>
      <c r="E1875" s="1">
        <f>IFERROR(__xludf.DUMMYFUNCTION("""COMPUTED_VALUE"""),13800.0)</f>
        <v>13800</v>
      </c>
      <c r="F1875" s="1">
        <f>IFERROR(__xludf.DUMMYFUNCTION("""COMPUTED_VALUE"""),20100.0)</f>
        <v>20100</v>
      </c>
    </row>
    <row r="1876">
      <c r="A1876" s="2">
        <f>IFERROR(__xludf.DUMMYFUNCTION("""COMPUTED_VALUE"""),43699.64583333333)</f>
        <v>43699.64583</v>
      </c>
      <c r="B1876" s="1">
        <f>IFERROR(__xludf.DUMMYFUNCTION("""COMPUTED_VALUE"""),13850.0)</f>
        <v>13850</v>
      </c>
      <c r="C1876" s="1">
        <f>IFERROR(__xludf.DUMMYFUNCTION("""COMPUTED_VALUE"""),14000.0)</f>
        <v>14000</v>
      </c>
      <c r="D1876" s="1">
        <f>IFERROR(__xludf.DUMMYFUNCTION("""COMPUTED_VALUE"""),13400.0)</f>
        <v>13400</v>
      </c>
      <c r="E1876" s="1">
        <f>IFERROR(__xludf.DUMMYFUNCTION("""COMPUTED_VALUE"""),13450.0)</f>
        <v>13450</v>
      </c>
      <c r="F1876" s="1">
        <f>IFERROR(__xludf.DUMMYFUNCTION("""COMPUTED_VALUE"""),44400.0)</f>
        <v>44400</v>
      </c>
    </row>
    <row r="1877">
      <c r="A1877" s="2">
        <f>IFERROR(__xludf.DUMMYFUNCTION("""COMPUTED_VALUE"""),43700.64583333333)</f>
        <v>43700.64583</v>
      </c>
      <c r="B1877" s="1">
        <f>IFERROR(__xludf.DUMMYFUNCTION("""COMPUTED_VALUE"""),13350.0)</f>
        <v>13350</v>
      </c>
      <c r="C1877" s="1">
        <f>IFERROR(__xludf.DUMMYFUNCTION("""COMPUTED_VALUE"""),15250.0)</f>
        <v>15250</v>
      </c>
      <c r="D1877" s="1">
        <f>IFERROR(__xludf.DUMMYFUNCTION("""COMPUTED_VALUE"""),13200.0)</f>
        <v>13200</v>
      </c>
      <c r="E1877" s="1">
        <f>IFERROR(__xludf.DUMMYFUNCTION("""COMPUTED_VALUE"""),13600.0)</f>
        <v>13600</v>
      </c>
      <c r="F1877" s="1">
        <f>IFERROR(__xludf.DUMMYFUNCTION("""COMPUTED_VALUE"""),441972.0)</f>
        <v>441972</v>
      </c>
    </row>
    <row r="1878">
      <c r="A1878" s="2">
        <f>IFERROR(__xludf.DUMMYFUNCTION("""COMPUTED_VALUE"""),43703.64583333333)</f>
        <v>43703.64583</v>
      </c>
      <c r="B1878" s="1">
        <f>IFERROR(__xludf.DUMMYFUNCTION("""COMPUTED_VALUE"""),13150.0)</f>
        <v>13150</v>
      </c>
      <c r="C1878" s="1">
        <f>IFERROR(__xludf.DUMMYFUNCTION("""COMPUTED_VALUE"""),13650.0)</f>
        <v>13650</v>
      </c>
      <c r="D1878" s="1">
        <f>IFERROR(__xludf.DUMMYFUNCTION("""COMPUTED_VALUE"""),12900.0)</f>
        <v>12900</v>
      </c>
      <c r="E1878" s="1">
        <f>IFERROR(__xludf.DUMMYFUNCTION("""COMPUTED_VALUE"""),12900.0)</f>
        <v>12900</v>
      </c>
      <c r="F1878" s="1">
        <f>IFERROR(__xludf.DUMMYFUNCTION("""COMPUTED_VALUE"""),69825.0)</f>
        <v>69825</v>
      </c>
    </row>
    <row r="1879">
      <c r="A1879" s="2">
        <f>IFERROR(__xludf.DUMMYFUNCTION("""COMPUTED_VALUE"""),43704.64583333333)</f>
        <v>43704.64583</v>
      </c>
      <c r="B1879" s="1">
        <f>IFERROR(__xludf.DUMMYFUNCTION("""COMPUTED_VALUE"""),13000.0)</f>
        <v>13000</v>
      </c>
      <c r="C1879" s="1">
        <f>IFERROR(__xludf.DUMMYFUNCTION("""COMPUTED_VALUE"""),13250.0)</f>
        <v>13250</v>
      </c>
      <c r="D1879" s="1">
        <f>IFERROR(__xludf.DUMMYFUNCTION("""COMPUTED_VALUE"""),12800.0)</f>
        <v>12800</v>
      </c>
      <c r="E1879" s="1">
        <f>IFERROR(__xludf.DUMMYFUNCTION("""COMPUTED_VALUE"""),12800.0)</f>
        <v>12800</v>
      </c>
      <c r="F1879" s="1">
        <f>IFERROR(__xludf.DUMMYFUNCTION("""COMPUTED_VALUE"""),56791.0)</f>
        <v>56791</v>
      </c>
    </row>
    <row r="1880">
      <c r="A1880" s="2">
        <f>IFERROR(__xludf.DUMMYFUNCTION("""COMPUTED_VALUE"""),43705.64583333333)</f>
        <v>43705.64583</v>
      </c>
      <c r="B1880" s="1">
        <f>IFERROR(__xludf.DUMMYFUNCTION("""COMPUTED_VALUE"""),12700.0)</f>
        <v>12700</v>
      </c>
      <c r="C1880" s="1">
        <f>IFERROR(__xludf.DUMMYFUNCTION("""COMPUTED_VALUE"""),13400.0)</f>
        <v>13400</v>
      </c>
      <c r="D1880" s="1">
        <f>IFERROR(__xludf.DUMMYFUNCTION("""COMPUTED_VALUE"""),12700.0)</f>
        <v>12700</v>
      </c>
      <c r="E1880" s="1">
        <f>IFERROR(__xludf.DUMMYFUNCTION("""COMPUTED_VALUE"""),13100.0)</f>
        <v>13100</v>
      </c>
      <c r="F1880" s="1">
        <f>IFERROR(__xludf.DUMMYFUNCTION("""COMPUTED_VALUE"""),38469.0)</f>
        <v>38469</v>
      </c>
    </row>
    <row r="1881">
      <c r="A1881" s="2">
        <f>IFERROR(__xludf.DUMMYFUNCTION("""COMPUTED_VALUE"""),43706.64583333333)</f>
        <v>43706.64583</v>
      </c>
      <c r="B1881" s="1">
        <f>IFERROR(__xludf.DUMMYFUNCTION("""COMPUTED_VALUE"""),13200.0)</f>
        <v>13200</v>
      </c>
      <c r="C1881" s="1">
        <f>IFERROR(__xludf.DUMMYFUNCTION("""COMPUTED_VALUE"""),13350.0)</f>
        <v>13350</v>
      </c>
      <c r="D1881" s="1">
        <f>IFERROR(__xludf.DUMMYFUNCTION("""COMPUTED_VALUE"""),12900.0)</f>
        <v>12900</v>
      </c>
      <c r="E1881" s="1">
        <f>IFERROR(__xludf.DUMMYFUNCTION("""COMPUTED_VALUE"""),12900.0)</f>
        <v>12900</v>
      </c>
      <c r="F1881" s="1">
        <f>IFERROR(__xludf.DUMMYFUNCTION("""COMPUTED_VALUE"""),34913.0)</f>
        <v>34913</v>
      </c>
    </row>
    <row r="1882">
      <c r="A1882" s="2">
        <f>IFERROR(__xludf.DUMMYFUNCTION("""COMPUTED_VALUE"""),43707.64583333333)</f>
        <v>43707.64583</v>
      </c>
      <c r="B1882" s="1">
        <f>IFERROR(__xludf.DUMMYFUNCTION("""COMPUTED_VALUE"""),13000.0)</f>
        <v>13000</v>
      </c>
      <c r="C1882" s="1">
        <f>IFERROR(__xludf.DUMMYFUNCTION("""COMPUTED_VALUE"""),13500.0)</f>
        <v>13500</v>
      </c>
      <c r="D1882" s="1">
        <f>IFERROR(__xludf.DUMMYFUNCTION("""COMPUTED_VALUE"""),13000.0)</f>
        <v>13000</v>
      </c>
      <c r="E1882" s="1">
        <f>IFERROR(__xludf.DUMMYFUNCTION("""COMPUTED_VALUE"""),13450.0)</f>
        <v>13450</v>
      </c>
      <c r="F1882" s="1">
        <f>IFERROR(__xludf.DUMMYFUNCTION("""COMPUTED_VALUE"""),33695.0)</f>
        <v>33695</v>
      </c>
    </row>
    <row r="1883">
      <c r="A1883" s="2">
        <f>IFERROR(__xludf.DUMMYFUNCTION("""COMPUTED_VALUE"""),43710.64583333333)</f>
        <v>43710.64583</v>
      </c>
      <c r="B1883" s="1">
        <f>IFERROR(__xludf.DUMMYFUNCTION("""COMPUTED_VALUE"""),13450.0)</f>
        <v>13450</v>
      </c>
      <c r="C1883" s="1">
        <f>IFERROR(__xludf.DUMMYFUNCTION("""COMPUTED_VALUE"""),14150.0)</f>
        <v>14150</v>
      </c>
      <c r="D1883" s="1">
        <f>IFERROR(__xludf.DUMMYFUNCTION("""COMPUTED_VALUE"""),13300.0)</f>
        <v>13300</v>
      </c>
      <c r="E1883" s="1">
        <f>IFERROR(__xludf.DUMMYFUNCTION("""COMPUTED_VALUE"""),13500.0)</f>
        <v>13500</v>
      </c>
      <c r="F1883" s="1">
        <f>IFERROR(__xludf.DUMMYFUNCTION("""COMPUTED_VALUE"""),60329.0)</f>
        <v>60329</v>
      </c>
    </row>
    <row r="1884">
      <c r="A1884" s="2">
        <f>IFERROR(__xludf.DUMMYFUNCTION("""COMPUTED_VALUE"""),43711.64583333333)</f>
        <v>43711.64583</v>
      </c>
      <c r="B1884" s="1">
        <f>IFERROR(__xludf.DUMMYFUNCTION("""COMPUTED_VALUE"""),13600.0)</f>
        <v>13600</v>
      </c>
      <c r="C1884" s="1">
        <f>IFERROR(__xludf.DUMMYFUNCTION("""COMPUTED_VALUE"""),13700.0)</f>
        <v>13700</v>
      </c>
      <c r="D1884" s="1">
        <f>IFERROR(__xludf.DUMMYFUNCTION("""COMPUTED_VALUE"""),13400.0)</f>
        <v>13400</v>
      </c>
      <c r="E1884" s="1">
        <f>IFERROR(__xludf.DUMMYFUNCTION("""COMPUTED_VALUE"""),13600.0)</f>
        <v>13600</v>
      </c>
      <c r="F1884" s="1">
        <f>IFERROR(__xludf.DUMMYFUNCTION("""COMPUTED_VALUE"""),29529.0)</f>
        <v>29529</v>
      </c>
    </row>
    <row r="1885">
      <c r="A1885" s="2">
        <f>IFERROR(__xludf.DUMMYFUNCTION("""COMPUTED_VALUE"""),43712.64583333333)</f>
        <v>43712.64583</v>
      </c>
      <c r="B1885" s="1">
        <f>IFERROR(__xludf.DUMMYFUNCTION("""COMPUTED_VALUE"""),13700.0)</f>
        <v>13700</v>
      </c>
      <c r="C1885" s="1">
        <f>IFERROR(__xludf.DUMMYFUNCTION("""COMPUTED_VALUE"""),13700.0)</f>
        <v>13700</v>
      </c>
      <c r="D1885" s="1">
        <f>IFERROR(__xludf.DUMMYFUNCTION("""COMPUTED_VALUE"""),13450.0)</f>
        <v>13450</v>
      </c>
      <c r="E1885" s="1">
        <f>IFERROR(__xludf.DUMMYFUNCTION("""COMPUTED_VALUE"""),13700.0)</f>
        <v>13700</v>
      </c>
      <c r="F1885" s="1">
        <f>IFERROR(__xludf.DUMMYFUNCTION("""COMPUTED_VALUE"""),24338.0)</f>
        <v>24338</v>
      </c>
    </row>
    <row r="1886">
      <c r="A1886" s="2">
        <f>IFERROR(__xludf.DUMMYFUNCTION("""COMPUTED_VALUE"""),43713.64583333333)</f>
        <v>43713.64583</v>
      </c>
      <c r="B1886" s="1">
        <f>IFERROR(__xludf.DUMMYFUNCTION("""COMPUTED_VALUE"""),13750.0)</f>
        <v>13750</v>
      </c>
      <c r="C1886" s="1">
        <f>IFERROR(__xludf.DUMMYFUNCTION("""COMPUTED_VALUE"""),13850.0)</f>
        <v>13850</v>
      </c>
      <c r="D1886" s="1">
        <f>IFERROR(__xludf.DUMMYFUNCTION("""COMPUTED_VALUE"""),13550.0)</f>
        <v>13550</v>
      </c>
      <c r="E1886" s="1">
        <f>IFERROR(__xludf.DUMMYFUNCTION("""COMPUTED_VALUE"""),13650.0)</f>
        <v>13650</v>
      </c>
      <c r="F1886" s="1">
        <f>IFERROR(__xludf.DUMMYFUNCTION("""COMPUTED_VALUE"""),23076.0)</f>
        <v>23076</v>
      </c>
    </row>
    <row r="1887">
      <c r="A1887" s="2">
        <f>IFERROR(__xludf.DUMMYFUNCTION("""COMPUTED_VALUE"""),43714.64583333333)</f>
        <v>43714.64583</v>
      </c>
      <c r="B1887" s="1">
        <f>IFERROR(__xludf.DUMMYFUNCTION("""COMPUTED_VALUE"""),13700.0)</f>
        <v>13700</v>
      </c>
      <c r="C1887" s="1">
        <f>IFERROR(__xludf.DUMMYFUNCTION("""COMPUTED_VALUE"""),13700.0)</f>
        <v>13700</v>
      </c>
      <c r="D1887" s="1">
        <f>IFERROR(__xludf.DUMMYFUNCTION("""COMPUTED_VALUE"""),13350.0)</f>
        <v>13350</v>
      </c>
      <c r="E1887" s="1">
        <f>IFERROR(__xludf.DUMMYFUNCTION("""COMPUTED_VALUE"""),13500.0)</f>
        <v>13500</v>
      </c>
      <c r="F1887" s="1">
        <f>IFERROR(__xludf.DUMMYFUNCTION("""COMPUTED_VALUE"""),20843.0)</f>
        <v>20843</v>
      </c>
    </row>
    <row r="1888">
      <c r="A1888" s="2">
        <f>IFERROR(__xludf.DUMMYFUNCTION("""COMPUTED_VALUE"""),43717.64583333333)</f>
        <v>43717.64583</v>
      </c>
      <c r="B1888" s="1">
        <f>IFERROR(__xludf.DUMMYFUNCTION("""COMPUTED_VALUE"""),13500.0)</f>
        <v>13500</v>
      </c>
      <c r="C1888" s="1">
        <f>IFERROR(__xludf.DUMMYFUNCTION("""COMPUTED_VALUE"""),13550.0)</f>
        <v>13550</v>
      </c>
      <c r="D1888" s="1">
        <f>IFERROR(__xludf.DUMMYFUNCTION("""COMPUTED_VALUE"""),13100.0)</f>
        <v>13100</v>
      </c>
      <c r="E1888" s="1">
        <f>IFERROR(__xludf.DUMMYFUNCTION("""COMPUTED_VALUE"""),13100.0)</f>
        <v>13100</v>
      </c>
      <c r="F1888" s="1">
        <f>IFERROR(__xludf.DUMMYFUNCTION("""COMPUTED_VALUE"""),42942.0)</f>
        <v>42942</v>
      </c>
    </row>
    <row r="1889">
      <c r="A1889" s="2">
        <f>IFERROR(__xludf.DUMMYFUNCTION("""COMPUTED_VALUE"""),43718.64583333333)</f>
        <v>43718.64583</v>
      </c>
      <c r="B1889" s="1">
        <f>IFERROR(__xludf.DUMMYFUNCTION("""COMPUTED_VALUE"""),13000.0)</f>
        <v>13000</v>
      </c>
      <c r="C1889" s="1">
        <f>IFERROR(__xludf.DUMMYFUNCTION("""COMPUTED_VALUE"""),13300.0)</f>
        <v>13300</v>
      </c>
      <c r="D1889" s="1">
        <f>IFERROR(__xludf.DUMMYFUNCTION("""COMPUTED_VALUE"""),12950.0)</f>
        <v>12950</v>
      </c>
      <c r="E1889" s="1">
        <f>IFERROR(__xludf.DUMMYFUNCTION("""COMPUTED_VALUE"""),13100.0)</f>
        <v>13100</v>
      </c>
      <c r="F1889" s="1">
        <f>IFERROR(__xludf.DUMMYFUNCTION("""COMPUTED_VALUE"""),24972.0)</f>
        <v>24972</v>
      </c>
    </row>
    <row r="1890">
      <c r="A1890" s="2">
        <f>IFERROR(__xludf.DUMMYFUNCTION("""COMPUTED_VALUE"""),43719.64583333333)</f>
        <v>43719.64583</v>
      </c>
      <c r="B1890" s="1">
        <f>IFERROR(__xludf.DUMMYFUNCTION("""COMPUTED_VALUE"""),13050.0)</f>
        <v>13050</v>
      </c>
      <c r="C1890" s="1">
        <f>IFERROR(__xludf.DUMMYFUNCTION("""COMPUTED_VALUE"""),13450.0)</f>
        <v>13450</v>
      </c>
      <c r="D1890" s="1">
        <f>IFERROR(__xludf.DUMMYFUNCTION("""COMPUTED_VALUE"""),13050.0)</f>
        <v>13050</v>
      </c>
      <c r="E1890" s="1">
        <f>IFERROR(__xludf.DUMMYFUNCTION("""COMPUTED_VALUE"""),13450.0)</f>
        <v>13450</v>
      </c>
      <c r="F1890" s="1">
        <f>IFERROR(__xludf.DUMMYFUNCTION("""COMPUTED_VALUE"""),29957.0)</f>
        <v>29957</v>
      </c>
    </row>
    <row r="1891">
      <c r="A1891" s="2">
        <f>IFERROR(__xludf.DUMMYFUNCTION("""COMPUTED_VALUE"""),43724.64583333333)</f>
        <v>43724.64583</v>
      </c>
      <c r="B1891" s="1">
        <f>IFERROR(__xludf.DUMMYFUNCTION("""COMPUTED_VALUE"""),13450.0)</f>
        <v>13450</v>
      </c>
      <c r="C1891" s="1">
        <f>IFERROR(__xludf.DUMMYFUNCTION("""COMPUTED_VALUE"""),13600.0)</f>
        <v>13600</v>
      </c>
      <c r="D1891" s="1">
        <f>IFERROR(__xludf.DUMMYFUNCTION("""COMPUTED_VALUE"""),13350.0)</f>
        <v>13350</v>
      </c>
      <c r="E1891" s="1">
        <f>IFERROR(__xludf.DUMMYFUNCTION("""COMPUTED_VALUE"""),13550.0)</f>
        <v>13550</v>
      </c>
      <c r="F1891" s="1">
        <f>IFERROR(__xludf.DUMMYFUNCTION("""COMPUTED_VALUE"""),20126.0)</f>
        <v>20126</v>
      </c>
    </row>
    <row r="1892">
      <c r="A1892" s="2">
        <f>IFERROR(__xludf.DUMMYFUNCTION("""COMPUTED_VALUE"""),43725.64583333333)</f>
        <v>43725.64583</v>
      </c>
      <c r="B1892" s="1">
        <f>IFERROR(__xludf.DUMMYFUNCTION("""COMPUTED_VALUE"""),13450.0)</f>
        <v>13450</v>
      </c>
      <c r="C1892" s="1">
        <f>IFERROR(__xludf.DUMMYFUNCTION("""COMPUTED_VALUE"""),13700.0)</f>
        <v>13700</v>
      </c>
      <c r="D1892" s="1">
        <f>IFERROR(__xludf.DUMMYFUNCTION("""COMPUTED_VALUE"""),13400.0)</f>
        <v>13400</v>
      </c>
      <c r="E1892" s="1">
        <f>IFERROR(__xludf.DUMMYFUNCTION("""COMPUTED_VALUE"""),13650.0)</f>
        <v>13650</v>
      </c>
      <c r="F1892" s="1">
        <f>IFERROR(__xludf.DUMMYFUNCTION("""COMPUTED_VALUE"""),40950.0)</f>
        <v>40950</v>
      </c>
    </row>
    <row r="1893">
      <c r="A1893" s="2">
        <f>IFERROR(__xludf.DUMMYFUNCTION("""COMPUTED_VALUE"""),43726.64583333333)</f>
        <v>43726.64583</v>
      </c>
      <c r="B1893" s="1">
        <f>IFERROR(__xludf.DUMMYFUNCTION("""COMPUTED_VALUE"""),13650.0)</f>
        <v>13650</v>
      </c>
      <c r="C1893" s="1">
        <f>IFERROR(__xludf.DUMMYFUNCTION("""COMPUTED_VALUE"""),13800.0)</f>
        <v>13800</v>
      </c>
      <c r="D1893" s="1">
        <f>IFERROR(__xludf.DUMMYFUNCTION("""COMPUTED_VALUE"""),13450.0)</f>
        <v>13450</v>
      </c>
      <c r="E1893" s="1">
        <f>IFERROR(__xludf.DUMMYFUNCTION("""COMPUTED_VALUE"""),13650.0)</f>
        <v>13650</v>
      </c>
      <c r="F1893" s="1">
        <f>IFERROR(__xludf.DUMMYFUNCTION("""COMPUTED_VALUE"""),61141.0)</f>
        <v>61141</v>
      </c>
    </row>
    <row r="1894">
      <c r="A1894" s="2">
        <f>IFERROR(__xludf.DUMMYFUNCTION("""COMPUTED_VALUE"""),43727.64583333333)</f>
        <v>43727.64583</v>
      </c>
      <c r="B1894" s="1">
        <f>IFERROR(__xludf.DUMMYFUNCTION("""COMPUTED_VALUE"""),13650.0)</f>
        <v>13650</v>
      </c>
      <c r="C1894" s="1">
        <f>IFERROR(__xludf.DUMMYFUNCTION("""COMPUTED_VALUE"""),13800.0)</f>
        <v>13800</v>
      </c>
      <c r="D1894" s="1">
        <f>IFERROR(__xludf.DUMMYFUNCTION("""COMPUTED_VALUE"""),13400.0)</f>
        <v>13400</v>
      </c>
      <c r="E1894" s="1">
        <f>IFERROR(__xludf.DUMMYFUNCTION("""COMPUTED_VALUE"""),13700.0)</f>
        <v>13700</v>
      </c>
      <c r="F1894" s="1">
        <f>IFERROR(__xludf.DUMMYFUNCTION("""COMPUTED_VALUE"""),45769.0)</f>
        <v>45769</v>
      </c>
    </row>
    <row r="1895">
      <c r="A1895" s="2">
        <f>IFERROR(__xludf.DUMMYFUNCTION("""COMPUTED_VALUE"""),43728.64583333333)</f>
        <v>43728.64583</v>
      </c>
      <c r="B1895" s="1">
        <f>IFERROR(__xludf.DUMMYFUNCTION("""COMPUTED_VALUE"""),13600.0)</f>
        <v>13600</v>
      </c>
      <c r="C1895" s="1">
        <f>IFERROR(__xludf.DUMMYFUNCTION("""COMPUTED_VALUE"""),13800.0)</f>
        <v>13800</v>
      </c>
      <c r="D1895" s="1">
        <f>IFERROR(__xludf.DUMMYFUNCTION("""COMPUTED_VALUE"""),13550.0)</f>
        <v>13550</v>
      </c>
      <c r="E1895" s="1">
        <f>IFERROR(__xludf.DUMMYFUNCTION("""COMPUTED_VALUE"""),13800.0)</f>
        <v>13800</v>
      </c>
      <c r="F1895" s="1">
        <f>IFERROR(__xludf.DUMMYFUNCTION("""COMPUTED_VALUE"""),27111.0)</f>
        <v>27111</v>
      </c>
    </row>
    <row r="1896">
      <c r="A1896" s="2">
        <f>IFERROR(__xludf.DUMMYFUNCTION("""COMPUTED_VALUE"""),43731.64583333333)</f>
        <v>43731.64583</v>
      </c>
      <c r="B1896" s="1">
        <f>IFERROR(__xludf.DUMMYFUNCTION("""COMPUTED_VALUE"""),14300.0)</f>
        <v>14300</v>
      </c>
      <c r="C1896" s="1">
        <f>IFERROR(__xludf.DUMMYFUNCTION("""COMPUTED_VALUE"""),14600.0)</f>
        <v>14600</v>
      </c>
      <c r="D1896" s="1">
        <f>IFERROR(__xludf.DUMMYFUNCTION("""COMPUTED_VALUE"""),13750.0)</f>
        <v>13750</v>
      </c>
      <c r="E1896" s="1">
        <f>IFERROR(__xludf.DUMMYFUNCTION("""COMPUTED_VALUE"""),13800.0)</f>
        <v>13800</v>
      </c>
      <c r="F1896" s="1">
        <f>IFERROR(__xludf.DUMMYFUNCTION("""COMPUTED_VALUE"""),180391.0)</f>
        <v>180391</v>
      </c>
    </row>
    <row r="1897">
      <c r="A1897" s="2">
        <f>IFERROR(__xludf.DUMMYFUNCTION("""COMPUTED_VALUE"""),43732.64583333333)</f>
        <v>43732.64583</v>
      </c>
      <c r="B1897" s="1">
        <f>IFERROR(__xludf.DUMMYFUNCTION("""COMPUTED_VALUE"""),13700.0)</f>
        <v>13700</v>
      </c>
      <c r="C1897" s="1">
        <f>IFERROR(__xludf.DUMMYFUNCTION("""COMPUTED_VALUE"""),13850.0)</f>
        <v>13850</v>
      </c>
      <c r="D1897" s="1">
        <f>IFERROR(__xludf.DUMMYFUNCTION("""COMPUTED_VALUE"""),13600.0)</f>
        <v>13600</v>
      </c>
      <c r="E1897" s="1">
        <f>IFERROR(__xludf.DUMMYFUNCTION("""COMPUTED_VALUE"""),13700.0)</f>
        <v>13700</v>
      </c>
      <c r="F1897" s="1">
        <f>IFERROR(__xludf.DUMMYFUNCTION("""COMPUTED_VALUE"""),47822.0)</f>
        <v>47822</v>
      </c>
    </row>
    <row r="1898">
      <c r="A1898" s="2">
        <f>IFERROR(__xludf.DUMMYFUNCTION("""COMPUTED_VALUE"""),43733.64583333333)</f>
        <v>43733.64583</v>
      </c>
      <c r="B1898" s="1">
        <f>IFERROR(__xludf.DUMMYFUNCTION("""COMPUTED_VALUE"""),13600.0)</f>
        <v>13600</v>
      </c>
      <c r="C1898" s="1">
        <f>IFERROR(__xludf.DUMMYFUNCTION("""COMPUTED_VALUE"""),13750.0)</f>
        <v>13750</v>
      </c>
      <c r="D1898" s="1">
        <f>IFERROR(__xludf.DUMMYFUNCTION("""COMPUTED_VALUE"""),13050.0)</f>
        <v>13050</v>
      </c>
      <c r="E1898" s="1">
        <f>IFERROR(__xludf.DUMMYFUNCTION("""COMPUTED_VALUE"""),13150.0)</f>
        <v>13150</v>
      </c>
      <c r="F1898" s="1">
        <f>IFERROR(__xludf.DUMMYFUNCTION("""COMPUTED_VALUE"""),75056.0)</f>
        <v>75056</v>
      </c>
    </row>
    <row r="1899">
      <c r="A1899" s="2">
        <f>IFERROR(__xludf.DUMMYFUNCTION("""COMPUTED_VALUE"""),43734.64583333333)</f>
        <v>43734.64583</v>
      </c>
      <c r="B1899" s="1">
        <f>IFERROR(__xludf.DUMMYFUNCTION("""COMPUTED_VALUE"""),13100.0)</f>
        <v>13100</v>
      </c>
      <c r="C1899" s="1">
        <f>IFERROR(__xludf.DUMMYFUNCTION("""COMPUTED_VALUE"""),13350.0)</f>
        <v>13350</v>
      </c>
      <c r="D1899" s="1">
        <f>IFERROR(__xludf.DUMMYFUNCTION("""COMPUTED_VALUE"""),12700.0)</f>
        <v>12700</v>
      </c>
      <c r="E1899" s="1">
        <f>IFERROR(__xludf.DUMMYFUNCTION("""COMPUTED_VALUE"""),13000.0)</f>
        <v>13000</v>
      </c>
      <c r="F1899" s="1">
        <f>IFERROR(__xludf.DUMMYFUNCTION("""COMPUTED_VALUE"""),106177.0)</f>
        <v>106177</v>
      </c>
    </row>
    <row r="1900">
      <c r="A1900" s="2">
        <f>IFERROR(__xludf.DUMMYFUNCTION("""COMPUTED_VALUE"""),43735.64583333333)</f>
        <v>43735.64583</v>
      </c>
      <c r="B1900" s="1">
        <f>IFERROR(__xludf.DUMMYFUNCTION("""COMPUTED_VALUE"""),12750.0)</f>
        <v>12750</v>
      </c>
      <c r="C1900" s="1">
        <f>IFERROR(__xludf.DUMMYFUNCTION("""COMPUTED_VALUE"""),13250.0)</f>
        <v>13250</v>
      </c>
      <c r="D1900" s="1">
        <f>IFERROR(__xludf.DUMMYFUNCTION("""COMPUTED_VALUE"""),12650.0)</f>
        <v>12650</v>
      </c>
      <c r="E1900" s="1">
        <f>IFERROR(__xludf.DUMMYFUNCTION("""COMPUTED_VALUE"""),12850.0)</f>
        <v>12850</v>
      </c>
      <c r="F1900" s="1">
        <f>IFERROR(__xludf.DUMMYFUNCTION("""COMPUTED_VALUE"""),65940.0)</f>
        <v>65940</v>
      </c>
    </row>
    <row r="1901">
      <c r="A1901" s="2">
        <f>IFERROR(__xludf.DUMMYFUNCTION("""COMPUTED_VALUE"""),43738.64583333333)</f>
        <v>43738.64583</v>
      </c>
      <c r="B1901" s="1">
        <f>IFERROR(__xludf.DUMMYFUNCTION("""COMPUTED_VALUE"""),12700.0)</f>
        <v>12700</v>
      </c>
      <c r="C1901" s="1">
        <f>IFERROR(__xludf.DUMMYFUNCTION("""COMPUTED_VALUE"""),12900.0)</f>
        <v>12900</v>
      </c>
      <c r="D1901" s="1">
        <f>IFERROR(__xludf.DUMMYFUNCTION("""COMPUTED_VALUE"""),12450.0)</f>
        <v>12450</v>
      </c>
      <c r="E1901" s="1">
        <f>IFERROR(__xludf.DUMMYFUNCTION("""COMPUTED_VALUE"""),12750.0)</f>
        <v>12750</v>
      </c>
      <c r="F1901" s="1">
        <f>IFERROR(__xludf.DUMMYFUNCTION("""COMPUTED_VALUE"""),51082.0)</f>
        <v>51082</v>
      </c>
    </row>
    <row r="1902">
      <c r="A1902" s="2">
        <f>IFERROR(__xludf.DUMMYFUNCTION("""COMPUTED_VALUE"""),43739.64583333333)</f>
        <v>43739.64583</v>
      </c>
      <c r="B1902" s="1">
        <f>IFERROR(__xludf.DUMMYFUNCTION("""COMPUTED_VALUE"""),12650.0)</f>
        <v>12650</v>
      </c>
      <c r="C1902" s="1">
        <f>IFERROR(__xludf.DUMMYFUNCTION("""COMPUTED_VALUE"""),12850.0)</f>
        <v>12850</v>
      </c>
      <c r="D1902" s="1">
        <f>IFERROR(__xludf.DUMMYFUNCTION("""COMPUTED_VALUE"""),12200.0)</f>
        <v>12200</v>
      </c>
      <c r="E1902" s="1">
        <f>IFERROR(__xludf.DUMMYFUNCTION("""COMPUTED_VALUE"""),12350.0)</f>
        <v>12350</v>
      </c>
      <c r="F1902" s="1">
        <f>IFERROR(__xludf.DUMMYFUNCTION("""COMPUTED_VALUE"""),179857.0)</f>
        <v>179857</v>
      </c>
    </row>
    <row r="1903">
      <c r="A1903" s="2">
        <f>IFERROR(__xludf.DUMMYFUNCTION("""COMPUTED_VALUE"""),43740.64583333333)</f>
        <v>43740.64583</v>
      </c>
      <c r="B1903" s="1">
        <f>IFERROR(__xludf.DUMMYFUNCTION("""COMPUTED_VALUE"""),12100.0)</f>
        <v>12100</v>
      </c>
      <c r="C1903" s="1">
        <f>IFERROR(__xludf.DUMMYFUNCTION("""COMPUTED_VALUE"""),12350.0)</f>
        <v>12350</v>
      </c>
      <c r="D1903" s="1">
        <f>IFERROR(__xludf.DUMMYFUNCTION("""COMPUTED_VALUE"""),12050.0)</f>
        <v>12050</v>
      </c>
      <c r="E1903" s="1">
        <f>IFERROR(__xludf.DUMMYFUNCTION("""COMPUTED_VALUE"""),12100.0)</f>
        <v>12100</v>
      </c>
      <c r="F1903" s="1">
        <f>IFERROR(__xludf.DUMMYFUNCTION("""COMPUTED_VALUE"""),69746.0)</f>
        <v>69746</v>
      </c>
    </row>
    <row r="1904">
      <c r="A1904" s="2">
        <f>IFERROR(__xludf.DUMMYFUNCTION("""COMPUTED_VALUE"""),43742.64583333333)</f>
        <v>43742.64583</v>
      </c>
      <c r="B1904" s="1">
        <f>IFERROR(__xludf.DUMMYFUNCTION("""COMPUTED_VALUE"""),12000.0)</f>
        <v>12000</v>
      </c>
      <c r="C1904" s="1">
        <f>IFERROR(__xludf.DUMMYFUNCTION("""COMPUTED_VALUE"""),12250.0)</f>
        <v>12250</v>
      </c>
      <c r="D1904" s="1">
        <f>IFERROR(__xludf.DUMMYFUNCTION("""COMPUTED_VALUE"""),12000.0)</f>
        <v>12000</v>
      </c>
      <c r="E1904" s="1">
        <f>IFERROR(__xludf.DUMMYFUNCTION("""COMPUTED_VALUE"""),12150.0)</f>
        <v>12150</v>
      </c>
      <c r="F1904" s="1">
        <f>IFERROR(__xludf.DUMMYFUNCTION("""COMPUTED_VALUE"""),39203.0)</f>
        <v>39203</v>
      </c>
    </row>
    <row r="1905">
      <c r="A1905" s="2">
        <f>IFERROR(__xludf.DUMMYFUNCTION("""COMPUTED_VALUE"""),43745.64583333333)</f>
        <v>43745.64583</v>
      </c>
      <c r="B1905" s="1">
        <f>IFERROR(__xludf.DUMMYFUNCTION("""COMPUTED_VALUE"""),12150.0)</f>
        <v>12150</v>
      </c>
      <c r="C1905" s="1">
        <f>IFERROR(__xludf.DUMMYFUNCTION("""COMPUTED_VALUE"""),12300.0)</f>
        <v>12300</v>
      </c>
      <c r="D1905" s="1">
        <f>IFERROR(__xludf.DUMMYFUNCTION("""COMPUTED_VALUE"""),11700.0)</f>
        <v>11700</v>
      </c>
      <c r="E1905" s="1">
        <f>IFERROR(__xludf.DUMMYFUNCTION("""COMPUTED_VALUE"""),11700.0)</f>
        <v>11700</v>
      </c>
      <c r="F1905" s="1">
        <f>IFERROR(__xludf.DUMMYFUNCTION("""COMPUTED_VALUE"""),77910.0)</f>
        <v>77910</v>
      </c>
    </row>
    <row r="1906">
      <c r="A1906" s="2">
        <f>IFERROR(__xludf.DUMMYFUNCTION("""COMPUTED_VALUE"""),43746.64583333333)</f>
        <v>43746.64583</v>
      </c>
      <c r="B1906" s="1">
        <f>IFERROR(__xludf.DUMMYFUNCTION("""COMPUTED_VALUE"""),11700.0)</f>
        <v>11700</v>
      </c>
      <c r="C1906" s="1">
        <f>IFERROR(__xludf.DUMMYFUNCTION("""COMPUTED_VALUE"""),12100.0)</f>
        <v>12100</v>
      </c>
      <c r="D1906" s="1">
        <f>IFERROR(__xludf.DUMMYFUNCTION("""COMPUTED_VALUE"""),11700.0)</f>
        <v>11700</v>
      </c>
      <c r="E1906" s="1">
        <f>IFERROR(__xludf.DUMMYFUNCTION("""COMPUTED_VALUE"""),11950.0)</f>
        <v>11950</v>
      </c>
      <c r="F1906" s="1">
        <f>IFERROR(__xludf.DUMMYFUNCTION("""COMPUTED_VALUE"""),41633.0)</f>
        <v>41633</v>
      </c>
    </row>
    <row r="1907">
      <c r="A1907" s="2">
        <f>IFERROR(__xludf.DUMMYFUNCTION("""COMPUTED_VALUE"""),43748.64583333333)</f>
        <v>43748.64583</v>
      </c>
      <c r="B1907" s="1">
        <f>IFERROR(__xludf.DUMMYFUNCTION("""COMPUTED_VALUE"""),11800.0)</f>
        <v>11800</v>
      </c>
      <c r="C1907" s="1">
        <f>IFERROR(__xludf.DUMMYFUNCTION("""COMPUTED_VALUE"""),12050.0)</f>
        <v>12050</v>
      </c>
      <c r="D1907" s="1">
        <f>IFERROR(__xludf.DUMMYFUNCTION("""COMPUTED_VALUE"""),11800.0)</f>
        <v>11800</v>
      </c>
      <c r="E1907" s="1">
        <f>IFERROR(__xludf.DUMMYFUNCTION("""COMPUTED_VALUE"""),11850.0)</f>
        <v>11850</v>
      </c>
      <c r="F1907" s="1">
        <f>IFERROR(__xludf.DUMMYFUNCTION("""COMPUTED_VALUE"""),26594.0)</f>
        <v>26594</v>
      </c>
    </row>
    <row r="1908">
      <c r="A1908" s="2">
        <f>IFERROR(__xludf.DUMMYFUNCTION("""COMPUTED_VALUE"""),43749.64583333333)</f>
        <v>43749.64583</v>
      </c>
      <c r="B1908" s="1">
        <f>IFERROR(__xludf.DUMMYFUNCTION("""COMPUTED_VALUE"""),11900.0)</f>
        <v>11900</v>
      </c>
      <c r="C1908" s="1">
        <f>IFERROR(__xludf.DUMMYFUNCTION("""COMPUTED_VALUE"""),12150.0)</f>
        <v>12150</v>
      </c>
      <c r="D1908" s="1">
        <f>IFERROR(__xludf.DUMMYFUNCTION("""COMPUTED_VALUE"""),11900.0)</f>
        <v>11900</v>
      </c>
      <c r="E1908" s="1">
        <f>IFERROR(__xludf.DUMMYFUNCTION("""COMPUTED_VALUE"""),11900.0)</f>
        <v>11900</v>
      </c>
      <c r="F1908" s="1">
        <f>IFERROR(__xludf.DUMMYFUNCTION("""COMPUTED_VALUE"""),27473.0)</f>
        <v>27473</v>
      </c>
    </row>
    <row r="1909">
      <c r="A1909" s="2">
        <f>IFERROR(__xludf.DUMMYFUNCTION("""COMPUTED_VALUE"""),43752.64583333333)</f>
        <v>43752.64583</v>
      </c>
      <c r="B1909" s="1">
        <f>IFERROR(__xludf.DUMMYFUNCTION("""COMPUTED_VALUE"""),11950.0)</f>
        <v>11950</v>
      </c>
      <c r="C1909" s="1">
        <f>IFERROR(__xludf.DUMMYFUNCTION("""COMPUTED_VALUE"""),12200.0)</f>
        <v>12200</v>
      </c>
      <c r="D1909" s="1">
        <f>IFERROR(__xludf.DUMMYFUNCTION("""COMPUTED_VALUE"""),11950.0)</f>
        <v>11950</v>
      </c>
      <c r="E1909" s="1">
        <f>IFERROR(__xludf.DUMMYFUNCTION("""COMPUTED_VALUE"""),12100.0)</f>
        <v>12100</v>
      </c>
      <c r="F1909" s="1">
        <f>IFERROR(__xludf.DUMMYFUNCTION("""COMPUTED_VALUE"""),28984.0)</f>
        <v>28984</v>
      </c>
    </row>
    <row r="1910">
      <c r="A1910" s="2">
        <f>IFERROR(__xludf.DUMMYFUNCTION("""COMPUTED_VALUE"""),43753.64583333333)</f>
        <v>43753.64583</v>
      </c>
      <c r="B1910" s="1">
        <f>IFERROR(__xludf.DUMMYFUNCTION("""COMPUTED_VALUE"""),12100.0)</f>
        <v>12100</v>
      </c>
      <c r="C1910" s="1">
        <f>IFERROR(__xludf.DUMMYFUNCTION("""COMPUTED_VALUE"""),12600.0)</f>
        <v>12600</v>
      </c>
      <c r="D1910" s="1">
        <f>IFERROR(__xludf.DUMMYFUNCTION("""COMPUTED_VALUE"""),12000.0)</f>
        <v>12000</v>
      </c>
      <c r="E1910" s="1">
        <f>IFERROR(__xludf.DUMMYFUNCTION("""COMPUTED_VALUE"""),12400.0)</f>
        <v>12400</v>
      </c>
      <c r="F1910" s="1">
        <f>IFERROR(__xludf.DUMMYFUNCTION("""COMPUTED_VALUE"""),58278.0)</f>
        <v>58278</v>
      </c>
    </row>
    <row r="1911">
      <c r="A1911" s="2">
        <f>IFERROR(__xludf.DUMMYFUNCTION("""COMPUTED_VALUE"""),43754.64583333333)</f>
        <v>43754.64583</v>
      </c>
      <c r="B1911" s="1">
        <f>IFERROR(__xludf.DUMMYFUNCTION("""COMPUTED_VALUE"""),12500.0)</f>
        <v>12500</v>
      </c>
      <c r="C1911" s="1">
        <f>IFERROR(__xludf.DUMMYFUNCTION("""COMPUTED_VALUE"""),12750.0)</f>
        <v>12750</v>
      </c>
      <c r="D1911" s="1">
        <f>IFERROR(__xludf.DUMMYFUNCTION("""COMPUTED_VALUE"""),12500.0)</f>
        <v>12500</v>
      </c>
      <c r="E1911" s="1">
        <f>IFERROR(__xludf.DUMMYFUNCTION("""COMPUTED_VALUE"""),12650.0)</f>
        <v>12650</v>
      </c>
      <c r="F1911" s="1">
        <f>IFERROR(__xludf.DUMMYFUNCTION("""COMPUTED_VALUE"""),62436.0)</f>
        <v>62436</v>
      </c>
    </row>
    <row r="1912">
      <c r="A1912" s="2">
        <f>IFERROR(__xludf.DUMMYFUNCTION("""COMPUTED_VALUE"""),43755.64583333333)</f>
        <v>43755.64583</v>
      </c>
      <c r="B1912" s="1">
        <f>IFERROR(__xludf.DUMMYFUNCTION("""COMPUTED_VALUE"""),12600.0)</f>
        <v>12600</v>
      </c>
      <c r="C1912" s="1">
        <f>IFERROR(__xludf.DUMMYFUNCTION("""COMPUTED_VALUE"""),12650.0)</f>
        <v>12650</v>
      </c>
      <c r="D1912" s="1">
        <f>IFERROR(__xludf.DUMMYFUNCTION("""COMPUTED_VALUE"""),12400.0)</f>
        <v>12400</v>
      </c>
      <c r="E1912" s="1">
        <f>IFERROR(__xludf.DUMMYFUNCTION("""COMPUTED_VALUE"""),12400.0)</f>
        <v>12400</v>
      </c>
      <c r="F1912" s="1">
        <f>IFERROR(__xludf.DUMMYFUNCTION("""COMPUTED_VALUE"""),30825.0)</f>
        <v>30825</v>
      </c>
    </row>
    <row r="1913">
      <c r="A1913" s="2">
        <f>IFERROR(__xludf.DUMMYFUNCTION("""COMPUTED_VALUE"""),43756.64583333333)</f>
        <v>43756.64583</v>
      </c>
      <c r="B1913" s="1">
        <f>IFERROR(__xludf.DUMMYFUNCTION("""COMPUTED_VALUE"""),12300.0)</f>
        <v>12300</v>
      </c>
      <c r="C1913" s="1">
        <f>IFERROR(__xludf.DUMMYFUNCTION("""COMPUTED_VALUE"""),12550.0)</f>
        <v>12550</v>
      </c>
      <c r="D1913" s="1">
        <f>IFERROR(__xludf.DUMMYFUNCTION("""COMPUTED_VALUE"""),12200.0)</f>
        <v>12200</v>
      </c>
      <c r="E1913" s="1">
        <f>IFERROR(__xludf.DUMMYFUNCTION("""COMPUTED_VALUE"""),12350.0)</f>
        <v>12350</v>
      </c>
      <c r="F1913" s="1">
        <f>IFERROR(__xludf.DUMMYFUNCTION("""COMPUTED_VALUE"""),22247.0)</f>
        <v>22247</v>
      </c>
    </row>
    <row r="1914">
      <c r="A1914" s="2">
        <f>IFERROR(__xludf.DUMMYFUNCTION("""COMPUTED_VALUE"""),43759.64583333333)</f>
        <v>43759.64583</v>
      </c>
      <c r="B1914" s="1">
        <f>IFERROR(__xludf.DUMMYFUNCTION("""COMPUTED_VALUE"""),12200.0)</f>
        <v>12200</v>
      </c>
      <c r="C1914" s="1">
        <f>IFERROR(__xludf.DUMMYFUNCTION("""COMPUTED_VALUE"""),12450.0)</f>
        <v>12450</v>
      </c>
      <c r="D1914" s="1">
        <f>IFERROR(__xludf.DUMMYFUNCTION("""COMPUTED_VALUE"""),12050.0)</f>
        <v>12050</v>
      </c>
      <c r="E1914" s="1">
        <f>IFERROR(__xludf.DUMMYFUNCTION("""COMPUTED_VALUE"""),12350.0)</f>
        <v>12350</v>
      </c>
      <c r="F1914" s="1">
        <f>IFERROR(__xludf.DUMMYFUNCTION("""COMPUTED_VALUE"""),37376.0)</f>
        <v>37376</v>
      </c>
    </row>
    <row r="1915">
      <c r="A1915" s="2">
        <f>IFERROR(__xludf.DUMMYFUNCTION("""COMPUTED_VALUE"""),43760.64583333333)</f>
        <v>43760.64583</v>
      </c>
      <c r="B1915" s="1">
        <f>IFERROR(__xludf.DUMMYFUNCTION("""COMPUTED_VALUE"""),14350.0)</f>
        <v>14350</v>
      </c>
      <c r="C1915" s="1">
        <f>IFERROR(__xludf.DUMMYFUNCTION("""COMPUTED_VALUE"""),16050.0)</f>
        <v>16050</v>
      </c>
      <c r="D1915" s="1">
        <f>IFERROR(__xludf.DUMMYFUNCTION("""COMPUTED_VALUE"""),13150.0)</f>
        <v>13150</v>
      </c>
      <c r="E1915" s="1">
        <f>IFERROR(__xludf.DUMMYFUNCTION("""COMPUTED_VALUE"""),16050.0)</f>
        <v>16050</v>
      </c>
      <c r="F1915" s="1">
        <f>IFERROR(__xludf.DUMMYFUNCTION("""COMPUTED_VALUE"""),1930612.0)</f>
        <v>1930612</v>
      </c>
    </row>
    <row r="1916">
      <c r="A1916" s="2">
        <f>IFERROR(__xludf.DUMMYFUNCTION("""COMPUTED_VALUE"""),43761.64583333333)</f>
        <v>43761.64583</v>
      </c>
      <c r="B1916" s="1">
        <f>IFERROR(__xludf.DUMMYFUNCTION("""COMPUTED_VALUE"""),18100.0)</f>
        <v>18100</v>
      </c>
      <c r="C1916" s="1">
        <f>IFERROR(__xludf.DUMMYFUNCTION("""COMPUTED_VALUE"""),19550.0)</f>
        <v>19550</v>
      </c>
      <c r="D1916" s="1">
        <f>IFERROR(__xludf.DUMMYFUNCTION("""COMPUTED_VALUE"""),16750.0)</f>
        <v>16750</v>
      </c>
      <c r="E1916" s="1">
        <f>IFERROR(__xludf.DUMMYFUNCTION("""COMPUTED_VALUE"""),17550.0)</f>
        <v>17550</v>
      </c>
      <c r="F1916" s="1">
        <f>IFERROR(__xludf.DUMMYFUNCTION("""COMPUTED_VALUE"""),6825256.0)</f>
        <v>6825256</v>
      </c>
    </row>
    <row r="1917">
      <c r="A1917" s="2">
        <f>IFERROR(__xludf.DUMMYFUNCTION("""COMPUTED_VALUE"""),43762.64583333333)</f>
        <v>43762.64583</v>
      </c>
      <c r="B1917" s="1">
        <f>IFERROR(__xludf.DUMMYFUNCTION("""COMPUTED_VALUE"""),17500.0)</f>
        <v>17500</v>
      </c>
      <c r="C1917" s="1">
        <f>IFERROR(__xludf.DUMMYFUNCTION("""COMPUTED_VALUE"""),22800.0)</f>
        <v>22800</v>
      </c>
      <c r="D1917" s="1">
        <f>IFERROR(__xludf.DUMMYFUNCTION("""COMPUTED_VALUE"""),17250.0)</f>
        <v>17250</v>
      </c>
      <c r="E1917" s="1">
        <f>IFERROR(__xludf.DUMMYFUNCTION("""COMPUTED_VALUE"""),22800.0)</f>
        <v>22800</v>
      </c>
      <c r="F1917" s="1">
        <f>IFERROR(__xludf.DUMMYFUNCTION("""COMPUTED_VALUE"""),7733607.0)</f>
        <v>7733607</v>
      </c>
    </row>
    <row r="1918">
      <c r="A1918" s="2">
        <f>IFERROR(__xludf.DUMMYFUNCTION("""COMPUTED_VALUE"""),43763.64583333333)</f>
        <v>43763.64583</v>
      </c>
      <c r="B1918" s="1">
        <f>IFERROR(__xludf.DUMMYFUNCTION("""COMPUTED_VALUE"""),24050.0)</f>
        <v>24050</v>
      </c>
      <c r="C1918" s="1">
        <f>IFERROR(__xludf.DUMMYFUNCTION("""COMPUTED_VALUE"""),28500.0)</f>
        <v>28500</v>
      </c>
      <c r="D1918" s="1">
        <f>IFERROR(__xludf.DUMMYFUNCTION("""COMPUTED_VALUE"""),22750.0)</f>
        <v>22750</v>
      </c>
      <c r="E1918" s="1">
        <f>IFERROR(__xludf.DUMMYFUNCTION("""COMPUTED_VALUE"""),23300.0)</f>
        <v>23300</v>
      </c>
      <c r="F1918" s="1">
        <f>IFERROR(__xludf.DUMMYFUNCTION("""COMPUTED_VALUE"""),6717434.0)</f>
        <v>6717434</v>
      </c>
    </row>
    <row r="1919">
      <c r="A1919" s="2">
        <f>IFERROR(__xludf.DUMMYFUNCTION("""COMPUTED_VALUE"""),43766.64583333333)</f>
        <v>43766.64583</v>
      </c>
      <c r="B1919" s="1">
        <f>IFERROR(__xludf.DUMMYFUNCTION("""COMPUTED_VALUE"""),22800.0)</f>
        <v>22800</v>
      </c>
      <c r="C1919" s="1">
        <f>IFERROR(__xludf.DUMMYFUNCTION("""COMPUTED_VALUE"""),22800.0)</f>
        <v>22800</v>
      </c>
      <c r="D1919" s="1">
        <f>IFERROR(__xludf.DUMMYFUNCTION("""COMPUTED_VALUE"""),20150.0)</f>
        <v>20150</v>
      </c>
      <c r="E1919" s="1">
        <f>IFERROR(__xludf.DUMMYFUNCTION("""COMPUTED_VALUE"""),20200.0)</f>
        <v>20200</v>
      </c>
      <c r="F1919" s="1">
        <f>IFERROR(__xludf.DUMMYFUNCTION("""COMPUTED_VALUE"""),915369.0)</f>
        <v>915369</v>
      </c>
    </row>
    <row r="1920">
      <c r="A1920" s="2">
        <f>IFERROR(__xludf.DUMMYFUNCTION("""COMPUTED_VALUE"""),43767.64583333333)</f>
        <v>43767.64583</v>
      </c>
      <c r="B1920" s="1">
        <f>IFERROR(__xludf.DUMMYFUNCTION("""COMPUTED_VALUE"""),19750.0)</f>
        <v>19750</v>
      </c>
      <c r="C1920" s="1">
        <f>IFERROR(__xludf.DUMMYFUNCTION("""COMPUTED_VALUE"""),20400.0)</f>
        <v>20400</v>
      </c>
      <c r="D1920" s="1">
        <f>IFERROR(__xludf.DUMMYFUNCTION("""COMPUTED_VALUE"""),19200.0)</f>
        <v>19200</v>
      </c>
      <c r="E1920" s="1">
        <f>IFERROR(__xludf.DUMMYFUNCTION("""COMPUTED_VALUE"""),20100.0)</f>
        <v>20100</v>
      </c>
      <c r="F1920" s="1">
        <f>IFERROR(__xludf.DUMMYFUNCTION("""COMPUTED_VALUE"""),605761.0)</f>
        <v>605761</v>
      </c>
    </row>
    <row r="1921">
      <c r="A1921" s="2">
        <f>IFERROR(__xludf.DUMMYFUNCTION("""COMPUTED_VALUE"""),43768.64583333333)</f>
        <v>43768.64583</v>
      </c>
      <c r="B1921" s="1">
        <f>IFERROR(__xludf.DUMMYFUNCTION("""COMPUTED_VALUE"""),20400.0)</f>
        <v>20400</v>
      </c>
      <c r="C1921" s="1">
        <f>IFERROR(__xludf.DUMMYFUNCTION("""COMPUTED_VALUE"""),21200.0)</f>
        <v>21200</v>
      </c>
      <c r="D1921" s="1">
        <f>IFERROR(__xludf.DUMMYFUNCTION("""COMPUTED_VALUE"""),20050.0)</f>
        <v>20050</v>
      </c>
      <c r="E1921" s="1">
        <f>IFERROR(__xludf.DUMMYFUNCTION("""COMPUTED_VALUE"""),21050.0)</f>
        <v>21050</v>
      </c>
      <c r="F1921" s="1">
        <f>IFERROR(__xludf.DUMMYFUNCTION("""COMPUTED_VALUE"""),510242.0)</f>
        <v>510242</v>
      </c>
    </row>
    <row r="1922">
      <c r="A1922" s="2">
        <f>IFERROR(__xludf.DUMMYFUNCTION("""COMPUTED_VALUE"""),43769.64583333333)</f>
        <v>43769.64583</v>
      </c>
      <c r="B1922" s="1">
        <f>IFERROR(__xludf.DUMMYFUNCTION("""COMPUTED_VALUE"""),20700.0)</f>
        <v>20700</v>
      </c>
      <c r="C1922" s="1">
        <f>IFERROR(__xludf.DUMMYFUNCTION("""COMPUTED_VALUE"""),21450.0)</f>
        <v>21450</v>
      </c>
      <c r="D1922" s="1">
        <f>IFERROR(__xludf.DUMMYFUNCTION("""COMPUTED_VALUE"""),18500.0)</f>
        <v>18500</v>
      </c>
      <c r="E1922" s="1">
        <f>IFERROR(__xludf.DUMMYFUNCTION("""COMPUTED_VALUE"""),18850.0)</f>
        <v>18850</v>
      </c>
      <c r="F1922" s="1">
        <f>IFERROR(__xludf.DUMMYFUNCTION("""COMPUTED_VALUE"""),2667121.0)</f>
        <v>2667121</v>
      </c>
    </row>
    <row r="1923">
      <c r="A1923" s="2">
        <f>IFERROR(__xludf.DUMMYFUNCTION("""COMPUTED_VALUE"""),43770.64583333333)</f>
        <v>43770.64583</v>
      </c>
      <c r="B1923" s="1">
        <f>IFERROR(__xludf.DUMMYFUNCTION("""COMPUTED_VALUE"""),18500.0)</f>
        <v>18500</v>
      </c>
      <c r="C1923" s="1">
        <f>IFERROR(__xludf.DUMMYFUNCTION("""COMPUTED_VALUE"""),18750.0)</f>
        <v>18750</v>
      </c>
      <c r="D1923" s="1">
        <f>IFERROR(__xludf.DUMMYFUNCTION("""COMPUTED_VALUE"""),17600.0)</f>
        <v>17600</v>
      </c>
      <c r="E1923" s="1">
        <f>IFERROR(__xludf.DUMMYFUNCTION("""COMPUTED_VALUE"""),18300.0)</f>
        <v>18300</v>
      </c>
      <c r="F1923" s="1">
        <f>IFERROR(__xludf.DUMMYFUNCTION("""COMPUTED_VALUE"""),668917.0)</f>
        <v>668917</v>
      </c>
    </row>
    <row r="1924">
      <c r="A1924" s="2">
        <f>IFERROR(__xludf.DUMMYFUNCTION("""COMPUTED_VALUE"""),43773.64583333333)</f>
        <v>43773.64583</v>
      </c>
      <c r="B1924" s="1">
        <f>IFERROR(__xludf.DUMMYFUNCTION("""COMPUTED_VALUE"""),18150.0)</f>
        <v>18150</v>
      </c>
      <c r="C1924" s="1">
        <f>IFERROR(__xludf.DUMMYFUNCTION("""COMPUTED_VALUE"""),18500.0)</f>
        <v>18500</v>
      </c>
      <c r="D1924" s="1">
        <f>IFERROR(__xludf.DUMMYFUNCTION("""COMPUTED_VALUE"""),17750.0)</f>
        <v>17750</v>
      </c>
      <c r="E1924" s="1">
        <f>IFERROR(__xludf.DUMMYFUNCTION("""COMPUTED_VALUE"""),18300.0)</f>
        <v>18300</v>
      </c>
      <c r="F1924" s="1">
        <f>IFERROR(__xludf.DUMMYFUNCTION("""COMPUTED_VALUE"""),461213.0)</f>
        <v>461213</v>
      </c>
    </row>
    <row r="1925">
      <c r="A1925" s="2">
        <f>IFERROR(__xludf.DUMMYFUNCTION("""COMPUTED_VALUE"""),43774.64583333333)</f>
        <v>43774.64583</v>
      </c>
      <c r="B1925" s="1">
        <f>IFERROR(__xludf.DUMMYFUNCTION("""COMPUTED_VALUE"""),18300.0)</f>
        <v>18300</v>
      </c>
      <c r="C1925" s="1">
        <f>IFERROR(__xludf.DUMMYFUNCTION("""COMPUTED_VALUE"""),18700.0)</f>
        <v>18700</v>
      </c>
      <c r="D1925" s="1">
        <f>IFERROR(__xludf.DUMMYFUNCTION("""COMPUTED_VALUE"""),18150.0)</f>
        <v>18150</v>
      </c>
      <c r="E1925" s="1">
        <f>IFERROR(__xludf.DUMMYFUNCTION("""COMPUTED_VALUE"""),18450.0)</f>
        <v>18450</v>
      </c>
      <c r="F1925" s="1">
        <f>IFERROR(__xludf.DUMMYFUNCTION("""COMPUTED_VALUE"""),512861.0)</f>
        <v>512861</v>
      </c>
    </row>
    <row r="1926">
      <c r="A1926" s="2">
        <f>IFERROR(__xludf.DUMMYFUNCTION("""COMPUTED_VALUE"""),43775.64583333333)</f>
        <v>43775.64583</v>
      </c>
      <c r="B1926" s="1">
        <f>IFERROR(__xludf.DUMMYFUNCTION("""COMPUTED_VALUE"""),18450.0)</f>
        <v>18450</v>
      </c>
      <c r="C1926" s="1">
        <f>IFERROR(__xludf.DUMMYFUNCTION("""COMPUTED_VALUE"""),21600.0)</f>
        <v>21600</v>
      </c>
      <c r="D1926" s="1">
        <f>IFERROR(__xludf.DUMMYFUNCTION("""COMPUTED_VALUE"""),17300.0)</f>
        <v>17300</v>
      </c>
      <c r="E1926" s="1">
        <f>IFERROR(__xludf.DUMMYFUNCTION("""COMPUTED_VALUE"""),17650.0)</f>
        <v>17650</v>
      </c>
      <c r="F1926" s="1">
        <f>IFERROR(__xludf.DUMMYFUNCTION("""COMPUTED_VALUE"""),4534171.0)</f>
        <v>4534171</v>
      </c>
    </row>
    <row r="1927">
      <c r="A1927" s="2">
        <f>IFERROR(__xludf.DUMMYFUNCTION("""COMPUTED_VALUE"""),43776.64583333333)</f>
        <v>43776.64583</v>
      </c>
      <c r="B1927" s="1">
        <f>IFERROR(__xludf.DUMMYFUNCTION("""COMPUTED_VALUE"""),17800.0)</f>
        <v>17800</v>
      </c>
      <c r="C1927" s="1">
        <f>IFERROR(__xludf.DUMMYFUNCTION("""COMPUTED_VALUE"""),18700.0)</f>
        <v>18700</v>
      </c>
      <c r="D1927" s="1">
        <f>IFERROR(__xludf.DUMMYFUNCTION("""COMPUTED_VALUE"""),16850.0)</f>
        <v>16850</v>
      </c>
      <c r="E1927" s="1">
        <f>IFERROR(__xludf.DUMMYFUNCTION("""COMPUTED_VALUE"""),18550.0)</f>
        <v>18550</v>
      </c>
      <c r="F1927" s="1">
        <f>IFERROR(__xludf.DUMMYFUNCTION("""COMPUTED_VALUE"""),891838.0)</f>
        <v>891838</v>
      </c>
    </row>
    <row r="1928">
      <c r="A1928" s="2">
        <f>IFERROR(__xludf.DUMMYFUNCTION("""COMPUTED_VALUE"""),43777.64583333333)</f>
        <v>43777.64583</v>
      </c>
      <c r="B1928" s="1">
        <f>IFERROR(__xludf.DUMMYFUNCTION("""COMPUTED_VALUE"""),18350.0)</f>
        <v>18350</v>
      </c>
      <c r="C1928" s="1">
        <f>IFERROR(__xludf.DUMMYFUNCTION("""COMPUTED_VALUE"""),19100.0)</f>
        <v>19100</v>
      </c>
      <c r="D1928" s="1">
        <f>IFERROR(__xludf.DUMMYFUNCTION("""COMPUTED_VALUE"""),17800.0)</f>
        <v>17800</v>
      </c>
      <c r="E1928" s="1">
        <f>IFERROR(__xludf.DUMMYFUNCTION("""COMPUTED_VALUE"""),18000.0)</f>
        <v>18000</v>
      </c>
      <c r="F1928" s="1">
        <f>IFERROR(__xludf.DUMMYFUNCTION("""COMPUTED_VALUE"""),409927.0)</f>
        <v>409927</v>
      </c>
    </row>
    <row r="1929">
      <c r="A1929" s="2">
        <f>IFERROR(__xludf.DUMMYFUNCTION("""COMPUTED_VALUE"""),43780.64583333333)</f>
        <v>43780.64583</v>
      </c>
      <c r="B1929" s="1">
        <f>IFERROR(__xludf.DUMMYFUNCTION("""COMPUTED_VALUE"""),18250.0)</f>
        <v>18250</v>
      </c>
      <c r="C1929" s="1">
        <f>IFERROR(__xludf.DUMMYFUNCTION("""COMPUTED_VALUE"""),18350.0)</f>
        <v>18350</v>
      </c>
      <c r="D1929" s="1">
        <f>IFERROR(__xludf.DUMMYFUNCTION("""COMPUTED_VALUE"""),17400.0)</f>
        <v>17400</v>
      </c>
      <c r="E1929" s="1">
        <f>IFERROR(__xludf.DUMMYFUNCTION("""COMPUTED_VALUE"""),18250.0)</f>
        <v>18250</v>
      </c>
      <c r="F1929" s="1">
        <f>IFERROR(__xludf.DUMMYFUNCTION("""COMPUTED_VALUE"""),229092.0)</f>
        <v>229092</v>
      </c>
    </row>
    <row r="1930">
      <c r="A1930" s="2">
        <f>IFERROR(__xludf.DUMMYFUNCTION("""COMPUTED_VALUE"""),43781.64583333333)</f>
        <v>43781.64583</v>
      </c>
      <c r="B1930" s="1">
        <f>IFERROR(__xludf.DUMMYFUNCTION("""COMPUTED_VALUE"""),18650.0)</f>
        <v>18650</v>
      </c>
      <c r="C1930" s="1">
        <f>IFERROR(__xludf.DUMMYFUNCTION("""COMPUTED_VALUE"""),19900.0)</f>
        <v>19900</v>
      </c>
      <c r="D1930" s="1">
        <f>IFERROR(__xludf.DUMMYFUNCTION("""COMPUTED_VALUE"""),18200.0)</f>
        <v>18200</v>
      </c>
      <c r="E1930" s="1">
        <f>IFERROR(__xludf.DUMMYFUNCTION("""COMPUTED_VALUE"""),18250.0)</f>
        <v>18250</v>
      </c>
      <c r="F1930" s="1">
        <f>IFERROR(__xludf.DUMMYFUNCTION("""COMPUTED_VALUE"""),1624096.0)</f>
        <v>1624096</v>
      </c>
    </row>
    <row r="1931">
      <c r="A1931" s="2">
        <f>IFERROR(__xludf.DUMMYFUNCTION("""COMPUTED_VALUE"""),43782.64583333333)</f>
        <v>43782.64583</v>
      </c>
      <c r="B1931" s="1">
        <f>IFERROR(__xludf.DUMMYFUNCTION("""COMPUTED_VALUE"""),18300.0)</f>
        <v>18300</v>
      </c>
      <c r="C1931" s="1">
        <f>IFERROR(__xludf.DUMMYFUNCTION("""COMPUTED_VALUE"""),18350.0)</f>
        <v>18350</v>
      </c>
      <c r="D1931" s="1">
        <f>IFERROR(__xludf.DUMMYFUNCTION("""COMPUTED_VALUE"""),17500.0)</f>
        <v>17500</v>
      </c>
      <c r="E1931" s="1">
        <f>IFERROR(__xludf.DUMMYFUNCTION("""COMPUTED_VALUE"""),17500.0)</f>
        <v>17500</v>
      </c>
      <c r="F1931" s="1">
        <f>IFERROR(__xludf.DUMMYFUNCTION("""COMPUTED_VALUE"""),331636.0)</f>
        <v>331636</v>
      </c>
    </row>
    <row r="1932">
      <c r="A1932" s="2">
        <f>IFERROR(__xludf.DUMMYFUNCTION("""COMPUTED_VALUE"""),43783.6875)</f>
        <v>43783.6875</v>
      </c>
      <c r="B1932" s="1">
        <f>IFERROR(__xludf.DUMMYFUNCTION("""COMPUTED_VALUE"""),17400.0)</f>
        <v>17400</v>
      </c>
      <c r="C1932" s="1">
        <f>IFERROR(__xludf.DUMMYFUNCTION("""COMPUTED_VALUE"""),17650.0)</f>
        <v>17650</v>
      </c>
      <c r="D1932" s="1">
        <f>IFERROR(__xludf.DUMMYFUNCTION("""COMPUTED_VALUE"""),17100.0)</f>
        <v>17100</v>
      </c>
      <c r="E1932" s="1">
        <f>IFERROR(__xludf.DUMMYFUNCTION("""COMPUTED_VALUE"""),17100.0)</f>
        <v>17100</v>
      </c>
      <c r="F1932" s="1">
        <f>IFERROR(__xludf.DUMMYFUNCTION("""COMPUTED_VALUE"""),201147.0)</f>
        <v>201147</v>
      </c>
    </row>
    <row r="1933">
      <c r="A1933" s="2">
        <f>IFERROR(__xludf.DUMMYFUNCTION("""COMPUTED_VALUE"""),43784.64583333333)</f>
        <v>43784.64583</v>
      </c>
      <c r="B1933" s="1">
        <f>IFERROR(__xludf.DUMMYFUNCTION("""COMPUTED_VALUE"""),17450.0)</f>
        <v>17450</v>
      </c>
      <c r="C1933" s="1">
        <f>IFERROR(__xludf.DUMMYFUNCTION("""COMPUTED_VALUE"""),18450.0)</f>
        <v>18450</v>
      </c>
      <c r="D1933" s="1">
        <f>IFERROR(__xludf.DUMMYFUNCTION("""COMPUTED_VALUE"""),16950.0)</f>
        <v>16950</v>
      </c>
      <c r="E1933" s="1">
        <f>IFERROR(__xludf.DUMMYFUNCTION("""COMPUTED_VALUE"""),17250.0)</f>
        <v>17250</v>
      </c>
      <c r="F1933" s="1">
        <f>IFERROR(__xludf.DUMMYFUNCTION("""COMPUTED_VALUE"""),385026.0)</f>
        <v>385026</v>
      </c>
    </row>
    <row r="1934">
      <c r="A1934" s="2">
        <f>IFERROR(__xludf.DUMMYFUNCTION("""COMPUTED_VALUE"""),43787.64583333333)</f>
        <v>43787.64583</v>
      </c>
      <c r="B1934" s="1">
        <f>IFERROR(__xludf.DUMMYFUNCTION("""COMPUTED_VALUE"""),17300.0)</f>
        <v>17300</v>
      </c>
      <c r="C1934" s="1">
        <f>IFERROR(__xludf.DUMMYFUNCTION("""COMPUTED_VALUE"""),17650.0)</f>
        <v>17650</v>
      </c>
      <c r="D1934" s="1">
        <f>IFERROR(__xludf.DUMMYFUNCTION("""COMPUTED_VALUE"""),17000.0)</f>
        <v>17000</v>
      </c>
      <c r="E1934" s="1">
        <f>IFERROR(__xludf.DUMMYFUNCTION("""COMPUTED_VALUE"""),17600.0)</f>
        <v>17600</v>
      </c>
      <c r="F1934" s="1">
        <f>IFERROR(__xludf.DUMMYFUNCTION("""COMPUTED_VALUE"""),176004.0)</f>
        <v>176004</v>
      </c>
    </row>
    <row r="1935">
      <c r="A1935" s="2">
        <f>IFERROR(__xludf.DUMMYFUNCTION("""COMPUTED_VALUE"""),43788.64583333333)</f>
        <v>43788.64583</v>
      </c>
      <c r="B1935" s="1">
        <f>IFERROR(__xludf.DUMMYFUNCTION("""COMPUTED_VALUE"""),17450.0)</f>
        <v>17450</v>
      </c>
      <c r="C1935" s="1">
        <f>IFERROR(__xludf.DUMMYFUNCTION("""COMPUTED_VALUE"""),18250.0)</f>
        <v>18250</v>
      </c>
      <c r="D1935" s="1">
        <f>IFERROR(__xludf.DUMMYFUNCTION("""COMPUTED_VALUE"""),17350.0)</f>
        <v>17350</v>
      </c>
      <c r="E1935" s="1">
        <f>IFERROR(__xludf.DUMMYFUNCTION("""COMPUTED_VALUE"""),17750.0)</f>
        <v>17750</v>
      </c>
      <c r="F1935" s="1">
        <f>IFERROR(__xludf.DUMMYFUNCTION("""COMPUTED_VALUE"""),286967.0)</f>
        <v>286967</v>
      </c>
    </row>
    <row r="1936">
      <c r="A1936" s="2">
        <f>IFERROR(__xludf.DUMMYFUNCTION("""COMPUTED_VALUE"""),43789.64583333333)</f>
        <v>43789.64583</v>
      </c>
      <c r="B1936" s="1">
        <f>IFERROR(__xludf.DUMMYFUNCTION("""COMPUTED_VALUE"""),17800.0)</f>
        <v>17800</v>
      </c>
      <c r="C1936" s="1">
        <f>IFERROR(__xludf.DUMMYFUNCTION("""COMPUTED_VALUE"""),18300.0)</f>
        <v>18300</v>
      </c>
      <c r="D1936" s="1">
        <f>IFERROR(__xludf.DUMMYFUNCTION("""COMPUTED_VALUE"""),17400.0)</f>
        <v>17400</v>
      </c>
      <c r="E1936" s="1">
        <f>IFERROR(__xludf.DUMMYFUNCTION("""COMPUTED_VALUE"""),17600.0)</f>
        <v>17600</v>
      </c>
      <c r="F1936" s="1">
        <f>IFERROR(__xludf.DUMMYFUNCTION("""COMPUTED_VALUE"""),322362.0)</f>
        <v>322362</v>
      </c>
    </row>
    <row r="1937">
      <c r="A1937" s="2">
        <f>IFERROR(__xludf.DUMMYFUNCTION("""COMPUTED_VALUE"""),43790.64583333333)</f>
        <v>43790.64583</v>
      </c>
      <c r="B1937" s="1">
        <f>IFERROR(__xludf.DUMMYFUNCTION("""COMPUTED_VALUE"""),17600.0)</f>
        <v>17600</v>
      </c>
      <c r="C1937" s="1">
        <f>IFERROR(__xludf.DUMMYFUNCTION("""COMPUTED_VALUE"""),18900.0)</f>
        <v>18900</v>
      </c>
      <c r="D1937" s="1">
        <f>IFERROR(__xludf.DUMMYFUNCTION("""COMPUTED_VALUE"""),17150.0)</f>
        <v>17150</v>
      </c>
      <c r="E1937" s="1">
        <f>IFERROR(__xludf.DUMMYFUNCTION("""COMPUTED_VALUE"""),17950.0)</f>
        <v>17950</v>
      </c>
      <c r="F1937" s="1">
        <f>IFERROR(__xludf.DUMMYFUNCTION("""COMPUTED_VALUE"""),798424.0)</f>
        <v>798424</v>
      </c>
    </row>
    <row r="1938">
      <c r="A1938" s="2">
        <f>IFERROR(__xludf.DUMMYFUNCTION("""COMPUTED_VALUE"""),43791.64583333333)</f>
        <v>43791.64583</v>
      </c>
      <c r="B1938" s="1">
        <f>IFERROR(__xludf.DUMMYFUNCTION("""COMPUTED_VALUE"""),17950.0)</f>
        <v>17950</v>
      </c>
      <c r="C1938" s="1">
        <f>IFERROR(__xludf.DUMMYFUNCTION("""COMPUTED_VALUE"""),18500.0)</f>
        <v>18500</v>
      </c>
      <c r="D1938" s="1">
        <f>IFERROR(__xludf.DUMMYFUNCTION("""COMPUTED_VALUE"""),17800.0)</f>
        <v>17800</v>
      </c>
      <c r="E1938" s="1">
        <f>IFERROR(__xludf.DUMMYFUNCTION("""COMPUTED_VALUE"""),18150.0)</f>
        <v>18150</v>
      </c>
      <c r="F1938" s="1">
        <f>IFERROR(__xludf.DUMMYFUNCTION("""COMPUTED_VALUE"""),411602.0)</f>
        <v>411602</v>
      </c>
    </row>
    <row r="1939">
      <c r="A1939" s="2">
        <f>IFERROR(__xludf.DUMMYFUNCTION("""COMPUTED_VALUE"""),43794.64583333333)</f>
        <v>43794.64583</v>
      </c>
      <c r="B1939" s="1">
        <f>IFERROR(__xludf.DUMMYFUNCTION("""COMPUTED_VALUE"""),18500.0)</f>
        <v>18500</v>
      </c>
      <c r="C1939" s="1">
        <f>IFERROR(__xludf.DUMMYFUNCTION("""COMPUTED_VALUE"""),18800.0)</f>
        <v>18800</v>
      </c>
      <c r="D1939" s="1">
        <f>IFERROR(__xludf.DUMMYFUNCTION("""COMPUTED_VALUE"""),17950.0)</f>
        <v>17950</v>
      </c>
      <c r="E1939" s="1">
        <f>IFERROR(__xludf.DUMMYFUNCTION("""COMPUTED_VALUE"""),18750.0)</f>
        <v>18750</v>
      </c>
      <c r="F1939" s="1">
        <f>IFERROR(__xludf.DUMMYFUNCTION("""COMPUTED_VALUE"""),607721.0)</f>
        <v>607721</v>
      </c>
    </row>
    <row r="1940">
      <c r="A1940" s="2">
        <f>IFERROR(__xludf.DUMMYFUNCTION("""COMPUTED_VALUE"""),43795.64583333333)</f>
        <v>43795.64583</v>
      </c>
      <c r="B1940" s="1">
        <f>IFERROR(__xludf.DUMMYFUNCTION("""COMPUTED_VALUE"""),19100.0)</f>
        <v>19100</v>
      </c>
      <c r="C1940" s="1">
        <f>IFERROR(__xludf.DUMMYFUNCTION("""COMPUTED_VALUE"""),19500.0)</f>
        <v>19500</v>
      </c>
      <c r="D1940" s="1">
        <f>IFERROR(__xludf.DUMMYFUNCTION("""COMPUTED_VALUE"""),18350.0)</f>
        <v>18350</v>
      </c>
      <c r="E1940" s="1">
        <f>IFERROR(__xludf.DUMMYFUNCTION("""COMPUTED_VALUE"""),18350.0)</f>
        <v>18350</v>
      </c>
      <c r="F1940" s="1">
        <f>IFERROR(__xludf.DUMMYFUNCTION("""COMPUTED_VALUE"""),599795.0)</f>
        <v>599795</v>
      </c>
    </row>
    <row r="1941">
      <c r="A1941" s="2">
        <f>IFERROR(__xludf.DUMMYFUNCTION("""COMPUTED_VALUE"""),43796.64583333333)</f>
        <v>43796.64583</v>
      </c>
      <c r="B1941" s="1">
        <f>IFERROR(__xludf.DUMMYFUNCTION("""COMPUTED_VALUE"""),18350.0)</f>
        <v>18350</v>
      </c>
      <c r="C1941" s="1">
        <f>IFERROR(__xludf.DUMMYFUNCTION("""COMPUTED_VALUE"""),18550.0)</f>
        <v>18550</v>
      </c>
      <c r="D1941" s="1">
        <f>IFERROR(__xludf.DUMMYFUNCTION("""COMPUTED_VALUE"""),17900.0)</f>
        <v>17900</v>
      </c>
      <c r="E1941" s="1">
        <f>IFERROR(__xludf.DUMMYFUNCTION("""COMPUTED_VALUE"""),18500.0)</f>
        <v>18500</v>
      </c>
      <c r="F1941" s="1">
        <f>IFERROR(__xludf.DUMMYFUNCTION("""COMPUTED_VALUE"""),237687.0)</f>
        <v>237687</v>
      </c>
    </row>
    <row r="1942">
      <c r="A1942" s="2">
        <f>IFERROR(__xludf.DUMMYFUNCTION("""COMPUTED_VALUE"""),43797.64583333333)</f>
        <v>43797.64583</v>
      </c>
      <c r="B1942" s="1">
        <f>IFERROR(__xludf.DUMMYFUNCTION("""COMPUTED_VALUE"""),18900.0)</f>
        <v>18900</v>
      </c>
      <c r="C1942" s="1">
        <f>IFERROR(__xludf.DUMMYFUNCTION("""COMPUTED_VALUE"""),24050.0)</f>
        <v>24050</v>
      </c>
      <c r="D1942" s="1">
        <f>IFERROR(__xludf.DUMMYFUNCTION("""COMPUTED_VALUE"""),18900.0)</f>
        <v>18900</v>
      </c>
      <c r="E1942" s="1">
        <f>IFERROR(__xludf.DUMMYFUNCTION("""COMPUTED_VALUE"""),24050.0)</f>
        <v>24050</v>
      </c>
      <c r="F1942" s="1">
        <f>IFERROR(__xludf.DUMMYFUNCTION("""COMPUTED_VALUE"""),3822074.0)</f>
        <v>3822074</v>
      </c>
    </row>
    <row r="1943">
      <c r="A1943" s="2">
        <f>IFERROR(__xludf.DUMMYFUNCTION("""COMPUTED_VALUE"""),43798.64583333333)</f>
        <v>43798.64583</v>
      </c>
      <c r="B1943" s="1">
        <f>IFERROR(__xludf.DUMMYFUNCTION("""COMPUTED_VALUE"""),27000.0)</f>
        <v>27000</v>
      </c>
      <c r="C1943" s="1">
        <f>IFERROR(__xludf.DUMMYFUNCTION("""COMPUTED_VALUE"""),27350.0)</f>
        <v>27350</v>
      </c>
      <c r="D1943" s="1">
        <f>IFERROR(__xludf.DUMMYFUNCTION("""COMPUTED_VALUE"""),20600.0)</f>
        <v>20600</v>
      </c>
      <c r="E1943" s="1">
        <f>IFERROR(__xludf.DUMMYFUNCTION("""COMPUTED_VALUE"""),21200.0)</f>
        <v>21200</v>
      </c>
      <c r="F1943" s="1">
        <f>IFERROR(__xludf.DUMMYFUNCTION("""COMPUTED_VALUE"""),5404831.0)</f>
        <v>5404831</v>
      </c>
    </row>
    <row r="1944">
      <c r="A1944" s="2">
        <f>IFERROR(__xludf.DUMMYFUNCTION("""COMPUTED_VALUE"""),43801.64583333333)</f>
        <v>43801.64583</v>
      </c>
      <c r="B1944" s="1">
        <f>IFERROR(__xludf.DUMMYFUNCTION("""COMPUTED_VALUE"""),21900.0)</f>
        <v>21900</v>
      </c>
      <c r="C1944" s="1">
        <f>IFERROR(__xludf.DUMMYFUNCTION("""COMPUTED_VALUE"""),24600.0)</f>
        <v>24600</v>
      </c>
      <c r="D1944" s="1">
        <f>IFERROR(__xludf.DUMMYFUNCTION("""COMPUTED_VALUE"""),21200.0)</f>
        <v>21200</v>
      </c>
      <c r="E1944" s="1">
        <f>IFERROR(__xludf.DUMMYFUNCTION("""COMPUTED_VALUE"""),22450.0)</f>
        <v>22450</v>
      </c>
      <c r="F1944" s="1">
        <f>IFERROR(__xludf.DUMMYFUNCTION("""COMPUTED_VALUE"""),6031943.0)</f>
        <v>6031943</v>
      </c>
    </row>
    <row r="1945">
      <c r="A1945" s="2">
        <f>IFERROR(__xludf.DUMMYFUNCTION("""COMPUTED_VALUE"""),43802.64583333333)</f>
        <v>43802.64583</v>
      </c>
      <c r="B1945" s="1">
        <f>IFERROR(__xludf.DUMMYFUNCTION("""COMPUTED_VALUE"""),22450.0)</f>
        <v>22450</v>
      </c>
      <c r="C1945" s="1">
        <f>IFERROR(__xludf.DUMMYFUNCTION("""COMPUTED_VALUE"""),22600.0)</f>
        <v>22600</v>
      </c>
      <c r="D1945" s="1">
        <f>IFERROR(__xludf.DUMMYFUNCTION("""COMPUTED_VALUE"""),21000.0)</f>
        <v>21000</v>
      </c>
      <c r="E1945" s="1">
        <f>IFERROR(__xludf.DUMMYFUNCTION("""COMPUTED_VALUE"""),21000.0)</f>
        <v>21000</v>
      </c>
      <c r="F1945" s="1">
        <f>IFERROR(__xludf.DUMMYFUNCTION("""COMPUTED_VALUE"""),1174701.0)</f>
        <v>1174701</v>
      </c>
    </row>
    <row r="1946">
      <c r="A1946" s="2">
        <f>IFERROR(__xludf.DUMMYFUNCTION("""COMPUTED_VALUE"""),43803.64583333333)</f>
        <v>43803.64583</v>
      </c>
      <c r="B1946" s="1">
        <f>IFERROR(__xludf.DUMMYFUNCTION("""COMPUTED_VALUE"""),20700.0)</f>
        <v>20700</v>
      </c>
      <c r="C1946" s="1">
        <f>IFERROR(__xludf.DUMMYFUNCTION("""COMPUTED_VALUE"""),21150.0)</f>
        <v>21150</v>
      </c>
      <c r="D1946" s="1">
        <f>IFERROR(__xludf.DUMMYFUNCTION("""COMPUTED_VALUE"""),20200.0)</f>
        <v>20200</v>
      </c>
      <c r="E1946" s="1">
        <f>IFERROR(__xludf.DUMMYFUNCTION("""COMPUTED_VALUE"""),20700.0)</f>
        <v>20700</v>
      </c>
      <c r="F1946" s="1">
        <f>IFERROR(__xludf.DUMMYFUNCTION("""COMPUTED_VALUE"""),605809.0)</f>
        <v>605809</v>
      </c>
    </row>
    <row r="1947">
      <c r="A1947" s="2">
        <f>IFERROR(__xludf.DUMMYFUNCTION("""COMPUTED_VALUE"""),43804.64583333333)</f>
        <v>43804.64583</v>
      </c>
      <c r="B1947" s="1">
        <f>IFERROR(__xludf.DUMMYFUNCTION("""COMPUTED_VALUE"""),20700.0)</f>
        <v>20700</v>
      </c>
      <c r="C1947" s="1">
        <f>IFERROR(__xludf.DUMMYFUNCTION("""COMPUTED_VALUE"""),21050.0)</f>
        <v>21050</v>
      </c>
      <c r="D1947" s="1">
        <f>IFERROR(__xludf.DUMMYFUNCTION("""COMPUTED_VALUE"""),19700.0)</f>
        <v>19700</v>
      </c>
      <c r="E1947" s="1">
        <f>IFERROR(__xludf.DUMMYFUNCTION("""COMPUTED_VALUE"""),19700.0)</f>
        <v>19700</v>
      </c>
      <c r="F1947" s="1">
        <f>IFERROR(__xludf.DUMMYFUNCTION("""COMPUTED_VALUE"""),660266.0)</f>
        <v>660266</v>
      </c>
    </row>
    <row r="1948">
      <c r="A1948" s="2">
        <f>IFERROR(__xludf.DUMMYFUNCTION("""COMPUTED_VALUE"""),43805.64583333333)</f>
        <v>43805.64583</v>
      </c>
      <c r="B1948" s="1">
        <f>IFERROR(__xludf.DUMMYFUNCTION("""COMPUTED_VALUE"""),19750.0)</f>
        <v>19750</v>
      </c>
      <c r="C1948" s="1">
        <f>IFERROR(__xludf.DUMMYFUNCTION("""COMPUTED_VALUE"""),22250.0)</f>
        <v>22250</v>
      </c>
      <c r="D1948" s="1">
        <f>IFERROR(__xludf.DUMMYFUNCTION("""COMPUTED_VALUE"""),19750.0)</f>
        <v>19750</v>
      </c>
      <c r="E1948" s="1">
        <f>IFERROR(__xludf.DUMMYFUNCTION("""COMPUTED_VALUE"""),20600.0)</f>
        <v>20600</v>
      </c>
      <c r="F1948" s="1">
        <f>IFERROR(__xludf.DUMMYFUNCTION("""COMPUTED_VALUE"""),2353206.0)</f>
        <v>2353206</v>
      </c>
    </row>
    <row r="1949">
      <c r="A1949" s="2">
        <f>IFERROR(__xludf.DUMMYFUNCTION("""COMPUTED_VALUE"""),43808.64583333333)</f>
        <v>43808.64583</v>
      </c>
      <c r="B1949" s="1">
        <f>IFERROR(__xludf.DUMMYFUNCTION("""COMPUTED_VALUE"""),20550.0)</f>
        <v>20550</v>
      </c>
      <c r="C1949" s="1">
        <f>IFERROR(__xludf.DUMMYFUNCTION("""COMPUTED_VALUE"""),21250.0)</f>
        <v>21250</v>
      </c>
      <c r="D1949" s="1">
        <f>IFERROR(__xludf.DUMMYFUNCTION("""COMPUTED_VALUE"""),20300.0)</f>
        <v>20300</v>
      </c>
      <c r="E1949" s="1">
        <f>IFERROR(__xludf.DUMMYFUNCTION("""COMPUTED_VALUE"""),20350.0)</f>
        <v>20350</v>
      </c>
      <c r="F1949" s="1">
        <f>IFERROR(__xludf.DUMMYFUNCTION("""COMPUTED_VALUE"""),654161.0)</f>
        <v>654161</v>
      </c>
    </row>
    <row r="1950">
      <c r="A1950" s="2">
        <f>IFERROR(__xludf.DUMMYFUNCTION("""COMPUTED_VALUE"""),43809.64583333333)</f>
        <v>43809.64583</v>
      </c>
      <c r="B1950" s="1">
        <f>IFERROR(__xludf.DUMMYFUNCTION("""COMPUTED_VALUE"""),20450.0)</f>
        <v>20450</v>
      </c>
      <c r="C1950" s="1">
        <f>IFERROR(__xludf.DUMMYFUNCTION("""COMPUTED_VALUE"""),21550.0)</f>
        <v>21550</v>
      </c>
      <c r="D1950" s="1">
        <f>IFERROR(__xludf.DUMMYFUNCTION("""COMPUTED_VALUE"""),20050.0)</f>
        <v>20050</v>
      </c>
      <c r="E1950" s="1">
        <f>IFERROR(__xludf.DUMMYFUNCTION("""COMPUTED_VALUE"""),20850.0)</f>
        <v>20850</v>
      </c>
      <c r="F1950" s="1">
        <f>IFERROR(__xludf.DUMMYFUNCTION("""COMPUTED_VALUE"""),998915.0)</f>
        <v>998915</v>
      </c>
    </row>
    <row r="1951">
      <c r="A1951" s="2">
        <f>IFERROR(__xludf.DUMMYFUNCTION("""COMPUTED_VALUE"""),43810.64583333333)</f>
        <v>43810.64583</v>
      </c>
      <c r="B1951" s="1">
        <f>IFERROR(__xludf.DUMMYFUNCTION("""COMPUTED_VALUE"""),20700.0)</f>
        <v>20700</v>
      </c>
      <c r="C1951" s="1">
        <f>IFERROR(__xludf.DUMMYFUNCTION("""COMPUTED_VALUE"""),22300.0)</f>
        <v>22300</v>
      </c>
      <c r="D1951" s="1">
        <f>IFERROR(__xludf.DUMMYFUNCTION("""COMPUTED_VALUE"""),20400.0)</f>
        <v>20400</v>
      </c>
      <c r="E1951" s="1">
        <f>IFERROR(__xludf.DUMMYFUNCTION("""COMPUTED_VALUE"""),22050.0)</f>
        <v>22050</v>
      </c>
      <c r="F1951" s="1">
        <f>IFERROR(__xludf.DUMMYFUNCTION("""COMPUTED_VALUE"""),2394549.0)</f>
        <v>2394549</v>
      </c>
    </row>
    <row r="1952">
      <c r="A1952" s="2">
        <f>IFERROR(__xludf.DUMMYFUNCTION("""COMPUTED_VALUE"""),43811.64583333333)</f>
        <v>43811.64583</v>
      </c>
      <c r="B1952" s="1">
        <f>IFERROR(__xludf.DUMMYFUNCTION("""COMPUTED_VALUE"""),22150.0)</f>
        <v>22150</v>
      </c>
      <c r="C1952" s="1">
        <f>IFERROR(__xludf.DUMMYFUNCTION("""COMPUTED_VALUE"""),28650.0)</f>
        <v>28650</v>
      </c>
      <c r="D1952" s="1">
        <f>IFERROR(__xludf.DUMMYFUNCTION("""COMPUTED_VALUE"""),22000.0)</f>
        <v>22000</v>
      </c>
      <c r="E1952" s="1">
        <f>IFERROR(__xludf.DUMMYFUNCTION("""COMPUTED_VALUE"""),28650.0)</f>
        <v>28650</v>
      </c>
      <c r="F1952" s="1">
        <f>IFERROR(__xludf.DUMMYFUNCTION("""COMPUTED_VALUE"""),1.3202293E7)</f>
        <v>13202293</v>
      </c>
    </row>
    <row r="1953">
      <c r="A1953" s="2">
        <f>IFERROR(__xludf.DUMMYFUNCTION("""COMPUTED_VALUE"""),43812.64583333333)</f>
        <v>43812.64583</v>
      </c>
      <c r="B1953" s="1">
        <f>IFERROR(__xludf.DUMMYFUNCTION("""COMPUTED_VALUE"""),28550.0)</f>
        <v>28550</v>
      </c>
      <c r="C1953" s="1">
        <f>IFERROR(__xludf.DUMMYFUNCTION("""COMPUTED_VALUE"""),29300.0)</f>
        <v>29300</v>
      </c>
      <c r="D1953" s="1">
        <f>IFERROR(__xludf.DUMMYFUNCTION("""COMPUTED_VALUE"""),26200.0)</f>
        <v>26200</v>
      </c>
      <c r="E1953" s="1">
        <f>IFERROR(__xludf.DUMMYFUNCTION("""COMPUTED_VALUE"""),26950.0)</f>
        <v>26950</v>
      </c>
      <c r="F1953" s="1">
        <f>IFERROR(__xludf.DUMMYFUNCTION("""COMPUTED_VALUE"""),5496515.0)</f>
        <v>5496515</v>
      </c>
    </row>
    <row r="1954">
      <c r="A1954" s="2">
        <f>IFERROR(__xludf.DUMMYFUNCTION("""COMPUTED_VALUE"""),43815.64583333333)</f>
        <v>43815.64583</v>
      </c>
      <c r="B1954" s="1">
        <f>IFERROR(__xludf.DUMMYFUNCTION("""COMPUTED_VALUE"""),26750.0)</f>
        <v>26750</v>
      </c>
      <c r="C1954" s="1">
        <f>IFERROR(__xludf.DUMMYFUNCTION("""COMPUTED_VALUE"""),27500.0)</f>
        <v>27500</v>
      </c>
      <c r="D1954" s="1">
        <f>IFERROR(__xludf.DUMMYFUNCTION("""COMPUTED_VALUE"""),25550.0)</f>
        <v>25550</v>
      </c>
      <c r="E1954" s="1">
        <f>IFERROR(__xludf.DUMMYFUNCTION("""COMPUTED_VALUE"""),26900.0)</f>
        <v>26900</v>
      </c>
      <c r="F1954" s="1">
        <f>IFERROR(__xludf.DUMMYFUNCTION("""COMPUTED_VALUE"""),2234260.0)</f>
        <v>2234260</v>
      </c>
    </row>
    <row r="1955">
      <c r="A1955" s="2">
        <f>IFERROR(__xludf.DUMMYFUNCTION("""COMPUTED_VALUE"""),43816.64583333333)</f>
        <v>43816.64583</v>
      </c>
      <c r="B1955" s="1">
        <f>IFERROR(__xludf.DUMMYFUNCTION("""COMPUTED_VALUE"""),26950.0)</f>
        <v>26950</v>
      </c>
      <c r="C1955" s="1">
        <f>IFERROR(__xludf.DUMMYFUNCTION("""COMPUTED_VALUE"""),27150.0)</f>
        <v>27150</v>
      </c>
      <c r="D1955" s="1">
        <f>IFERROR(__xludf.DUMMYFUNCTION("""COMPUTED_VALUE"""),25050.0)</f>
        <v>25050</v>
      </c>
      <c r="E1955" s="1">
        <f>IFERROR(__xludf.DUMMYFUNCTION("""COMPUTED_VALUE"""),25050.0)</f>
        <v>25050</v>
      </c>
      <c r="F1955" s="1">
        <f>IFERROR(__xludf.DUMMYFUNCTION("""COMPUTED_VALUE"""),1469627.0)</f>
        <v>1469627</v>
      </c>
    </row>
    <row r="1956">
      <c r="A1956" s="2">
        <f>IFERROR(__xludf.DUMMYFUNCTION("""COMPUTED_VALUE"""),43817.64583333333)</f>
        <v>43817.64583</v>
      </c>
      <c r="B1956" s="1">
        <f>IFERROR(__xludf.DUMMYFUNCTION("""COMPUTED_VALUE"""),25000.0)</f>
        <v>25000</v>
      </c>
      <c r="C1956" s="1">
        <f>IFERROR(__xludf.DUMMYFUNCTION("""COMPUTED_VALUE"""),27250.0)</f>
        <v>27250</v>
      </c>
      <c r="D1956" s="1">
        <f>IFERROR(__xludf.DUMMYFUNCTION("""COMPUTED_VALUE"""),24050.0)</f>
        <v>24050</v>
      </c>
      <c r="E1956" s="1">
        <f>IFERROR(__xludf.DUMMYFUNCTION("""COMPUTED_VALUE"""),24500.0)</f>
        <v>24500</v>
      </c>
      <c r="F1956" s="1">
        <f>IFERROR(__xludf.DUMMYFUNCTION("""COMPUTED_VALUE"""),3004321.0)</f>
        <v>3004321</v>
      </c>
    </row>
    <row r="1957">
      <c r="A1957" s="2">
        <f>IFERROR(__xludf.DUMMYFUNCTION("""COMPUTED_VALUE"""),43818.64583333333)</f>
        <v>43818.64583</v>
      </c>
      <c r="B1957" s="1">
        <f>IFERROR(__xludf.DUMMYFUNCTION("""COMPUTED_VALUE"""),24500.0)</f>
        <v>24500</v>
      </c>
      <c r="C1957" s="1">
        <f>IFERROR(__xludf.DUMMYFUNCTION("""COMPUTED_VALUE"""),25250.0)</f>
        <v>25250</v>
      </c>
      <c r="D1957" s="1">
        <f>IFERROR(__xludf.DUMMYFUNCTION("""COMPUTED_VALUE"""),24300.0)</f>
        <v>24300</v>
      </c>
      <c r="E1957" s="1">
        <f>IFERROR(__xludf.DUMMYFUNCTION("""COMPUTED_VALUE"""),24600.0)</f>
        <v>24600</v>
      </c>
      <c r="F1957" s="1">
        <f>IFERROR(__xludf.DUMMYFUNCTION("""COMPUTED_VALUE"""),742083.0)</f>
        <v>742083</v>
      </c>
    </row>
    <row r="1958">
      <c r="A1958" s="2">
        <f>IFERROR(__xludf.DUMMYFUNCTION("""COMPUTED_VALUE"""),43819.64583333333)</f>
        <v>43819.64583</v>
      </c>
      <c r="B1958" s="1">
        <f>IFERROR(__xludf.DUMMYFUNCTION("""COMPUTED_VALUE"""),24400.0)</f>
        <v>24400</v>
      </c>
      <c r="C1958" s="1">
        <f>IFERROR(__xludf.DUMMYFUNCTION("""COMPUTED_VALUE"""),24900.0)</f>
        <v>24900</v>
      </c>
      <c r="D1958" s="1">
        <f>IFERROR(__xludf.DUMMYFUNCTION("""COMPUTED_VALUE"""),23750.0)</f>
        <v>23750</v>
      </c>
      <c r="E1958" s="1">
        <f>IFERROR(__xludf.DUMMYFUNCTION("""COMPUTED_VALUE"""),23750.0)</f>
        <v>23750</v>
      </c>
      <c r="F1958" s="1">
        <f>IFERROR(__xludf.DUMMYFUNCTION("""COMPUTED_VALUE"""),652725.0)</f>
        <v>652725</v>
      </c>
    </row>
    <row r="1959">
      <c r="A1959" s="2">
        <f>IFERROR(__xludf.DUMMYFUNCTION("""COMPUTED_VALUE"""),43822.64583333333)</f>
        <v>43822.64583</v>
      </c>
      <c r="B1959" s="1">
        <f>IFERROR(__xludf.DUMMYFUNCTION("""COMPUTED_VALUE"""),23750.0)</f>
        <v>23750</v>
      </c>
      <c r="C1959" s="1">
        <f>IFERROR(__xludf.DUMMYFUNCTION("""COMPUTED_VALUE"""),25450.0)</f>
        <v>25450</v>
      </c>
      <c r="D1959" s="1">
        <f>IFERROR(__xludf.DUMMYFUNCTION("""COMPUTED_VALUE"""),23750.0)</f>
        <v>23750</v>
      </c>
      <c r="E1959" s="1">
        <f>IFERROR(__xludf.DUMMYFUNCTION("""COMPUTED_VALUE"""),24250.0)</f>
        <v>24250</v>
      </c>
      <c r="F1959" s="1">
        <f>IFERROR(__xludf.DUMMYFUNCTION("""COMPUTED_VALUE"""),1426677.0)</f>
        <v>1426677</v>
      </c>
    </row>
    <row r="1960">
      <c r="A1960" s="2">
        <f>IFERROR(__xludf.DUMMYFUNCTION("""COMPUTED_VALUE"""),43823.64583333333)</f>
        <v>43823.64583</v>
      </c>
      <c r="B1960" s="1">
        <f>IFERROR(__xludf.DUMMYFUNCTION("""COMPUTED_VALUE"""),24150.0)</f>
        <v>24150</v>
      </c>
      <c r="C1960" s="1">
        <f>IFERROR(__xludf.DUMMYFUNCTION("""COMPUTED_VALUE"""),26500.0)</f>
        <v>26500</v>
      </c>
      <c r="D1960" s="1">
        <f>IFERROR(__xludf.DUMMYFUNCTION("""COMPUTED_VALUE"""),24050.0)</f>
        <v>24050</v>
      </c>
      <c r="E1960" s="1">
        <f>IFERROR(__xludf.DUMMYFUNCTION("""COMPUTED_VALUE"""),25300.0)</f>
        <v>25300</v>
      </c>
      <c r="F1960" s="1">
        <f>IFERROR(__xludf.DUMMYFUNCTION("""COMPUTED_VALUE"""),2734870.0)</f>
        <v>2734870</v>
      </c>
    </row>
    <row r="1961">
      <c r="A1961" s="2">
        <f>IFERROR(__xludf.DUMMYFUNCTION("""COMPUTED_VALUE"""),43825.64583333333)</f>
        <v>43825.64583</v>
      </c>
      <c r="B1961" s="1">
        <f>IFERROR(__xludf.DUMMYFUNCTION("""COMPUTED_VALUE"""),24800.0)</f>
        <v>24800</v>
      </c>
      <c r="C1961" s="1">
        <f>IFERROR(__xludf.DUMMYFUNCTION("""COMPUTED_VALUE"""),25200.0)</f>
        <v>25200</v>
      </c>
      <c r="D1961" s="1">
        <f>IFERROR(__xludf.DUMMYFUNCTION("""COMPUTED_VALUE"""),23450.0)</f>
        <v>23450</v>
      </c>
      <c r="E1961" s="1">
        <f>IFERROR(__xludf.DUMMYFUNCTION("""COMPUTED_VALUE"""),24100.0)</f>
        <v>24100</v>
      </c>
      <c r="F1961" s="1">
        <f>IFERROR(__xludf.DUMMYFUNCTION("""COMPUTED_VALUE"""),1021095.0)</f>
        <v>1021095</v>
      </c>
    </row>
    <row r="1962">
      <c r="A1962" s="2">
        <f>IFERROR(__xludf.DUMMYFUNCTION("""COMPUTED_VALUE"""),43826.64583333333)</f>
        <v>43826.64583</v>
      </c>
      <c r="B1962" s="1">
        <f>IFERROR(__xludf.DUMMYFUNCTION("""COMPUTED_VALUE"""),24550.0)</f>
        <v>24550</v>
      </c>
      <c r="C1962" s="1">
        <f>IFERROR(__xludf.DUMMYFUNCTION("""COMPUTED_VALUE"""),26500.0)</f>
        <v>26500</v>
      </c>
      <c r="D1962" s="1">
        <f>IFERROR(__xludf.DUMMYFUNCTION("""COMPUTED_VALUE"""),24100.0)</f>
        <v>24100</v>
      </c>
      <c r="E1962" s="1">
        <f>IFERROR(__xludf.DUMMYFUNCTION("""COMPUTED_VALUE"""),25550.0)</f>
        <v>25550</v>
      </c>
      <c r="F1962" s="1">
        <f>IFERROR(__xludf.DUMMYFUNCTION("""COMPUTED_VALUE"""),3053365.0)</f>
        <v>3053365</v>
      </c>
    </row>
    <row r="1963">
      <c r="A1963" s="2">
        <f>IFERROR(__xludf.DUMMYFUNCTION("""COMPUTED_VALUE"""),43829.64583333333)</f>
        <v>43829.64583</v>
      </c>
      <c r="B1963" s="1">
        <f>IFERROR(__xludf.DUMMYFUNCTION("""COMPUTED_VALUE"""),25550.0)</f>
        <v>25550</v>
      </c>
      <c r="C1963" s="1">
        <f>IFERROR(__xludf.DUMMYFUNCTION("""COMPUTED_VALUE"""),26450.0)</f>
        <v>26450</v>
      </c>
      <c r="D1963" s="1">
        <f>IFERROR(__xludf.DUMMYFUNCTION("""COMPUTED_VALUE"""),25200.0)</f>
        <v>25200</v>
      </c>
      <c r="E1963" s="1">
        <f>IFERROR(__xludf.DUMMYFUNCTION("""COMPUTED_VALUE"""),25350.0)</f>
        <v>25350</v>
      </c>
      <c r="F1963" s="1">
        <f>IFERROR(__xludf.DUMMYFUNCTION("""COMPUTED_VALUE"""),947396.0)</f>
        <v>947396</v>
      </c>
    </row>
    <row r="1964">
      <c r="A1964" s="2">
        <f>IFERROR(__xludf.DUMMYFUNCTION("""COMPUTED_VALUE"""),43832.64583333333)</f>
        <v>43832.64583</v>
      </c>
      <c r="B1964" s="1">
        <f>IFERROR(__xludf.DUMMYFUNCTION("""COMPUTED_VALUE"""),25500.0)</f>
        <v>25500</v>
      </c>
      <c r="C1964" s="1">
        <f>IFERROR(__xludf.DUMMYFUNCTION("""COMPUTED_VALUE"""),26350.0)</f>
        <v>26350</v>
      </c>
      <c r="D1964" s="1">
        <f>IFERROR(__xludf.DUMMYFUNCTION("""COMPUTED_VALUE"""),25350.0)</f>
        <v>25350</v>
      </c>
      <c r="E1964" s="1">
        <f>IFERROR(__xludf.DUMMYFUNCTION("""COMPUTED_VALUE"""),26350.0)</f>
        <v>26350</v>
      </c>
      <c r="F1964" s="1">
        <f>IFERROR(__xludf.DUMMYFUNCTION("""COMPUTED_VALUE"""),863209.0)</f>
        <v>863209</v>
      </c>
    </row>
    <row r="1965">
      <c r="A1965" s="2">
        <f>IFERROR(__xludf.DUMMYFUNCTION("""COMPUTED_VALUE"""),43833.64583333333)</f>
        <v>43833.64583</v>
      </c>
      <c r="B1965" s="1">
        <f>IFERROR(__xludf.DUMMYFUNCTION("""COMPUTED_VALUE"""),26850.0)</f>
        <v>26850</v>
      </c>
      <c r="C1965" s="1">
        <f>IFERROR(__xludf.DUMMYFUNCTION("""COMPUTED_VALUE"""),27000.0)</f>
        <v>27000</v>
      </c>
      <c r="D1965" s="1">
        <f>IFERROR(__xludf.DUMMYFUNCTION("""COMPUTED_VALUE"""),25350.0)</f>
        <v>25350</v>
      </c>
      <c r="E1965" s="1">
        <f>IFERROR(__xludf.DUMMYFUNCTION("""COMPUTED_VALUE"""),25500.0)</f>
        <v>25500</v>
      </c>
      <c r="F1965" s="1">
        <f>IFERROR(__xludf.DUMMYFUNCTION("""COMPUTED_VALUE"""),1086433.0)</f>
        <v>1086433</v>
      </c>
    </row>
    <row r="1966">
      <c r="A1966" s="2">
        <f>IFERROR(__xludf.DUMMYFUNCTION("""COMPUTED_VALUE"""),43836.64583333333)</f>
        <v>43836.64583</v>
      </c>
      <c r="B1966" s="1">
        <f>IFERROR(__xludf.DUMMYFUNCTION("""COMPUTED_VALUE"""),25600.0)</f>
        <v>25600</v>
      </c>
      <c r="C1966" s="1">
        <f>IFERROR(__xludf.DUMMYFUNCTION("""COMPUTED_VALUE"""),25900.0)</f>
        <v>25900</v>
      </c>
      <c r="D1966" s="1">
        <f>IFERROR(__xludf.DUMMYFUNCTION("""COMPUTED_VALUE"""),24250.0)</f>
        <v>24250</v>
      </c>
      <c r="E1966" s="1">
        <f>IFERROR(__xludf.DUMMYFUNCTION("""COMPUTED_VALUE"""),24250.0)</f>
        <v>24250</v>
      </c>
      <c r="F1966" s="1">
        <f>IFERROR(__xludf.DUMMYFUNCTION("""COMPUTED_VALUE"""),1080268.0)</f>
        <v>1080268</v>
      </c>
    </row>
    <row r="1967">
      <c r="A1967" s="2">
        <f>IFERROR(__xludf.DUMMYFUNCTION("""COMPUTED_VALUE"""),43837.64583333333)</f>
        <v>43837.64583</v>
      </c>
      <c r="B1967" s="1">
        <f>IFERROR(__xludf.DUMMYFUNCTION("""COMPUTED_VALUE"""),24500.0)</f>
        <v>24500</v>
      </c>
      <c r="C1967" s="1">
        <f>IFERROR(__xludf.DUMMYFUNCTION("""COMPUTED_VALUE"""),24950.0)</f>
        <v>24950</v>
      </c>
      <c r="D1967" s="1">
        <f>IFERROR(__xludf.DUMMYFUNCTION("""COMPUTED_VALUE"""),23800.0)</f>
        <v>23800</v>
      </c>
      <c r="E1967" s="1">
        <f>IFERROR(__xludf.DUMMYFUNCTION("""COMPUTED_VALUE"""),23800.0)</f>
        <v>23800</v>
      </c>
      <c r="F1967" s="1">
        <f>IFERROR(__xludf.DUMMYFUNCTION("""COMPUTED_VALUE"""),358497.0)</f>
        <v>358497</v>
      </c>
    </row>
    <row r="1968">
      <c r="A1968" s="2">
        <f>IFERROR(__xludf.DUMMYFUNCTION("""COMPUTED_VALUE"""),43838.64583333333)</f>
        <v>43838.64583</v>
      </c>
      <c r="B1968" s="1">
        <f>IFERROR(__xludf.DUMMYFUNCTION("""COMPUTED_VALUE"""),23350.0)</f>
        <v>23350</v>
      </c>
      <c r="C1968" s="1">
        <f>IFERROR(__xludf.DUMMYFUNCTION("""COMPUTED_VALUE"""),23700.0)</f>
        <v>23700</v>
      </c>
      <c r="D1968" s="1">
        <f>IFERROR(__xludf.DUMMYFUNCTION("""COMPUTED_VALUE"""),21350.0)</f>
        <v>21350</v>
      </c>
      <c r="E1968" s="1">
        <f>IFERROR(__xludf.DUMMYFUNCTION("""COMPUTED_VALUE"""),22050.0)</f>
        <v>22050</v>
      </c>
      <c r="F1968" s="1">
        <f>IFERROR(__xludf.DUMMYFUNCTION("""COMPUTED_VALUE"""),666168.0)</f>
        <v>666168</v>
      </c>
    </row>
    <row r="1969">
      <c r="A1969" s="2">
        <f>IFERROR(__xludf.DUMMYFUNCTION("""COMPUTED_VALUE"""),43839.64583333333)</f>
        <v>43839.64583</v>
      </c>
      <c r="B1969" s="1">
        <f>IFERROR(__xludf.DUMMYFUNCTION("""COMPUTED_VALUE"""),22600.0)</f>
        <v>22600</v>
      </c>
      <c r="C1969" s="1">
        <f>IFERROR(__xludf.DUMMYFUNCTION("""COMPUTED_VALUE"""),23350.0)</f>
        <v>23350</v>
      </c>
      <c r="D1969" s="1">
        <f>IFERROR(__xludf.DUMMYFUNCTION("""COMPUTED_VALUE"""),22550.0)</f>
        <v>22550</v>
      </c>
      <c r="E1969" s="1">
        <f>IFERROR(__xludf.DUMMYFUNCTION("""COMPUTED_VALUE"""),23300.0)</f>
        <v>23300</v>
      </c>
      <c r="F1969" s="1">
        <f>IFERROR(__xludf.DUMMYFUNCTION("""COMPUTED_VALUE"""),314275.0)</f>
        <v>314275</v>
      </c>
    </row>
    <row r="1970">
      <c r="A1970" s="2">
        <f>IFERROR(__xludf.DUMMYFUNCTION("""COMPUTED_VALUE"""),43840.64583333333)</f>
        <v>43840.64583</v>
      </c>
      <c r="B1970" s="1">
        <f>IFERROR(__xludf.DUMMYFUNCTION("""COMPUTED_VALUE"""),23050.0)</f>
        <v>23050</v>
      </c>
      <c r="C1970" s="1">
        <f>IFERROR(__xludf.DUMMYFUNCTION("""COMPUTED_VALUE"""),24050.0)</f>
        <v>24050</v>
      </c>
      <c r="D1970" s="1">
        <f>IFERROR(__xludf.DUMMYFUNCTION("""COMPUTED_VALUE"""),22500.0)</f>
        <v>22500</v>
      </c>
      <c r="E1970" s="1">
        <f>IFERROR(__xludf.DUMMYFUNCTION("""COMPUTED_VALUE"""),23700.0)</f>
        <v>23700</v>
      </c>
      <c r="F1970" s="1">
        <f>IFERROR(__xludf.DUMMYFUNCTION("""COMPUTED_VALUE"""),439742.0)</f>
        <v>439742</v>
      </c>
    </row>
    <row r="1971">
      <c r="A1971" s="2">
        <f>IFERROR(__xludf.DUMMYFUNCTION("""COMPUTED_VALUE"""),43843.64583333333)</f>
        <v>43843.64583</v>
      </c>
      <c r="B1971" s="1">
        <f>IFERROR(__xludf.DUMMYFUNCTION("""COMPUTED_VALUE"""),23400.0)</f>
        <v>23400</v>
      </c>
      <c r="C1971" s="1">
        <f>IFERROR(__xludf.DUMMYFUNCTION("""COMPUTED_VALUE"""),24050.0)</f>
        <v>24050</v>
      </c>
      <c r="D1971" s="1">
        <f>IFERROR(__xludf.DUMMYFUNCTION("""COMPUTED_VALUE"""),23350.0)</f>
        <v>23350</v>
      </c>
      <c r="E1971" s="1">
        <f>IFERROR(__xludf.DUMMYFUNCTION("""COMPUTED_VALUE"""),23650.0)</f>
        <v>23650</v>
      </c>
      <c r="F1971" s="1">
        <f>IFERROR(__xludf.DUMMYFUNCTION("""COMPUTED_VALUE"""),242578.0)</f>
        <v>242578</v>
      </c>
    </row>
    <row r="1972">
      <c r="A1972" s="2">
        <f>IFERROR(__xludf.DUMMYFUNCTION("""COMPUTED_VALUE"""),43844.64583333333)</f>
        <v>43844.64583</v>
      </c>
      <c r="B1972" s="1">
        <f>IFERROR(__xludf.DUMMYFUNCTION("""COMPUTED_VALUE"""),23950.0)</f>
        <v>23950</v>
      </c>
      <c r="C1972" s="1">
        <f>IFERROR(__xludf.DUMMYFUNCTION("""COMPUTED_VALUE"""),24150.0)</f>
        <v>24150</v>
      </c>
      <c r="D1972" s="1">
        <f>IFERROR(__xludf.DUMMYFUNCTION("""COMPUTED_VALUE"""),23450.0)</f>
        <v>23450</v>
      </c>
      <c r="E1972" s="1">
        <f>IFERROR(__xludf.DUMMYFUNCTION("""COMPUTED_VALUE"""),23450.0)</f>
        <v>23450</v>
      </c>
      <c r="F1972" s="1">
        <f>IFERROR(__xludf.DUMMYFUNCTION("""COMPUTED_VALUE"""),197649.0)</f>
        <v>197649</v>
      </c>
    </row>
    <row r="1973">
      <c r="A1973" s="2">
        <f>IFERROR(__xludf.DUMMYFUNCTION("""COMPUTED_VALUE"""),43845.64583333333)</f>
        <v>43845.64583</v>
      </c>
      <c r="B1973" s="1">
        <f>IFERROR(__xludf.DUMMYFUNCTION("""COMPUTED_VALUE"""),23200.0)</f>
        <v>23200</v>
      </c>
      <c r="C1973" s="1">
        <f>IFERROR(__xludf.DUMMYFUNCTION("""COMPUTED_VALUE"""),24100.0)</f>
        <v>24100</v>
      </c>
      <c r="D1973" s="1">
        <f>IFERROR(__xludf.DUMMYFUNCTION("""COMPUTED_VALUE"""),23200.0)</f>
        <v>23200</v>
      </c>
      <c r="E1973" s="1">
        <f>IFERROR(__xludf.DUMMYFUNCTION("""COMPUTED_VALUE"""),23700.0)</f>
        <v>23700</v>
      </c>
      <c r="F1973" s="1">
        <f>IFERROR(__xludf.DUMMYFUNCTION("""COMPUTED_VALUE"""),165780.0)</f>
        <v>165780</v>
      </c>
    </row>
    <row r="1974">
      <c r="A1974" s="2">
        <f>IFERROR(__xludf.DUMMYFUNCTION("""COMPUTED_VALUE"""),43846.64583333333)</f>
        <v>43846.64583</v>
      </c>
      <c r="B1974" s="1">
        <f>IFERROR(__xludf.DUMMYFUNCTION("""COMPUTED_VALUE"""),23550.0)</f>
        <v>23550</v>
      </c>
      <c r="C1974" s="1">
        <f>IFERROR(__xludf.DUMMYFUNCTION("""COMPUTED_VALUE"""),24400.0)</f>
        <v>24400</v>
      </c>
      <c r="D1974" s="1">
        <f>IFERROR(__xludf.DUMMYFUNCTION("""COMPUTED_VALUE"""),23550.0)</f>
        <v>23550</v>
      </c>
      <c r="E1974" s="1">
        <f>IFERROR(__xludf.DUMMYFUNCTION("""COMPUTED_VALUE"""),24400.0)</f>
        <v>24400</v>
      </c>
      <c r="F1974" s="1">
        <f>IFERROR(__xludf.DUMMYFUNCTION("""COMPUTED_VALUE"""),321388.0)</f>
        <v>321388</v>
      </c>
    </row>
    <row r="1975">
      <c r="A1975" s="2">
        <f>IFERROR(__xludf.DUMMYFUNCTION("""COMPUTED_VALUE"""),43847.64583333333)</f>
        <v>43847.64583</v>
      </c>
      <c r="B1975" s="1">
        <f>IFERROR(__xludf.DUMMYFUNCTION("""COMPUTED_VALUE"""),24750.0)</f>
        <v>24750</v>
      </c>
      <c r="C1975" s="1">
        <f>IFERROR(__xludf.DUMMYFUNCTION("""COMPUTED_VALUE"""),27500.0)</f>
        <v>27500</v>
      </c>
      <c r="D1975" s="1">
        <f>IFERROR(__xludf.DUMMYFUNCTION("""COMPUTED_VALUE"""),24600.0)</f>
        <v>24600</v>
      </c>
      <c r="E1975" s="1">
        <f>IFERROR(__xludf.DUMMYFUNCTION("""COMPUTED_VALUE"""),24850.0)</f>
        <v>24850</v>
      </c>
      <c r="F1975" s="1">
        <f>IFERROR(__xludf.DUMMYFUNCTION("""COMPUTED_VALUE"""),4085491.0)</f>
        <v>4085491</v>
      </c>
    </row>
    <row r="1976">
      <c r="A1976" s="2">
        <f>IFERROR(__xludf.DUMMYFUNCTION("""COMPUTED_VALUE"""),43850.64583333333)</f>
        <v>43850.64583</v>
      </c>
      <c r="B1976" s="1">
        <f>IFERROR(__xludf.DUMMYFUNCTION("""COMPUTED_VALUE"""),24900.0)</f>
        <v>24900</v>
      </c>
      <c r="C1976" s="1">
        <f>IFERROR(__xludf.DUMMYFUNCTION("""COMPUTED_VALUE"""),25900.0)</f>
        <v>25900</v>
      </c>
      <c r="D1976" s="1">
        <f>IFERROR(__xludf.DUMMYFUNCTION("""COMPUTED_VALUE"""),24600.0)</f>
        <v>24600</v>
      </c>
      <c r="E1976" s="1">
        <f>IFERROR(__xludf.DUMMYFUNCTION("""COMPUTED_VALUE"""),25150.0)</f>
        <v>25150</v>
      </c>
      <c r="F1976" s="1">
        <f>IFERROR(__xludf.DUMMYFUNCTION("""COMPUTED_VALUE"""),987235.0)</f>
        <v>987235</v>
      </c>
    </row>
    <row r="1977">
      <c r="A1977" s="2">
        <f>IFERROR(__xludf.DUMMYFUNCTION("""COMPUTED_VALUE"""),43851.64583333333)</f>
        <v>43851.64583</v>
      </c>
      <c r="B1977" s="1">
        <f>IFERROR(__xludf.DUMMYFUNCTION("""COMPUTED_VALUE"""),25250.0)</f>
        <v>25250</v>
      </c>
      <c r="C1977" s="1">
        <f>IFERROR(__xludf.DUMMYFUNCTION("""COMPUTED_VALUE"""),25600.0)</f>
        <v>25600</v>
      </c>
      <c r="D1977" s="1">
        <f>IFERROR(__xludf.DUMMYFUNCTION("""COMPUTED_VALUE"""),23850.0)</f>
        <v>23850</v>
      </c>
      <c r="E1977" s="1">
        <f>IFERROR(__xludf.DUMMYFUNCTION("""COMPUTED_VALUE"""),24350.0)</f>
        <v>24350</v>
      </c>
      <c r="F1977" s="1">
        <f>IFERROR(__xludf.DUMMYFUNCTION("""COMPUTED_VALUE"""),435647.0)</f>
        <v>435647</v>
      </c>
    </row>
    <row r="1978">
      <c r="A1978" s="2">
        <f>IFERROR(__xludf.DUMMYFUNCTION("""COMPUTED_VALUE"""),43852.64583333333)</f>
        <v>43852.64583</v>
      </c>
      <c r="B1978" s="1">
        <f>IFERROR(__xludf.DUMMYFUNCTION("""COMPUTED_VALUE"""),24100.0)</f>
        <v>24100</v>
      </c>
      <c r="C1978" s="1">
        <f>IFERROR(__xludf.DUMMYFUNCTION("""COMPUTED_VALUE"""),24750.0)</f>
        <v>24750</v>
      </c>
      <c r="D1978" s="1">
        <f>IFERROR(__xludf.DUMMYFUNCTION("""COMPUTED_VALUE"""),23900.0)</f>
        <v>23900</v>
      </c>
      <c r="E1978" s="1">
        <f>IFERROR(__xludf.DUMMYFUNCTION("""COMPUTED_VALUE"""),24150.0)</f>
        <v>24150</v>
      </c>
      <c r="F1978" s="1">
        <f>IFERROR(__xludf.DUMMYFUNCTION("""COMPUTED_VALUE"""),302472.0)</f>
        <v>302472</v>
      </c>
    </row>
    <row r="1979">
      <c r="A1979" s="2">
        <f>IFERROR(__xludf.DUMMYFUNCTION("""COMPUTED_VALUE"""),43853.64583333333)</f>
        <v>43853.64583</v>
      </c>
      <c r="B1979" s="1">
        <f>IFERROR(__xludf.DUMMYFUNCTION("""COMPUTED_VALUE"""),24350.0)</f>
        <v>24350</v>
      </c>
      <c r="C1979" s="1">
        <f>IFERROR(__xludf.DUMMYFUNCTION("""COMPUTED_VALUE"""),24350.0)</f>
        <v>24350</v>
      </c>
      <c r="D1979" s="1">
        <f>IFERROR(__xludf.DUMMYFUNCTION("""COMPUTED_VALUE"""),23200.0)</f>
        <v>23200</v>
      </c>
      <c r="E1979" s="1">
        <f>IFERROR(__xludf.DUMMYFUNCTION("""COMPUTED_VALUE"""),23400.0)</f>
        <v>23400</v>
      </c>
      <c r="F1979" s="1">
        <f>IFERROR(__xludf.DUMMYFUNCTION("""COMPUTED_VALUE"""),224710.0)</f>
        <v>224710</v>
      </c>
    </row>
    <row r="1980">
      <c r="A1980" s="2">
        <f>IFERROR(__xludf.DUMMYFUNCTION("""COMPUTED_VALUE"""),43858.64583333333)</f>
        <v>43858.64583</v>
      </c>
      <c r="B1980" s="1">
        <f>IFERROR(__xludf.DUMMYFUNCTION("""COMPUTED_VALUE"""),22150.0)</f>
        <v>22150</v>
      </c>
      <c r="C1980" s="1">
        <f>IFERROR(__xludf.DUMMYFUNCTION("""COMPUTED_VALUE"""),22900.0)</f>
        <v>22900</v>
      </c>
      <c r="D1980" s="1">
        <f>IFERROR(__xludf.DUMMYFUNCTION("""COMPUTED_VALUE"""),21450.0)</f>
        <v>21450</v>
      </c>
      <c r="E1980" s="1">
        <f>IFERROR(__xludf.DUMMYFUNCTION("""COMPUTED_VALUE"""),22300.0)</f>
        <v>22300</v>
      </c>
      <c r="F1980" s="1">
        <f>IFERROR(__xludf.DUMMYFUNCTION("""COMPUTED_VALUE"""),349494.0)</f>
        <v>349494</v>
      </c>
    </row>
    <row r="1981">
      <c r="A1981" s="2">
        <f>IFERROR(__xludf.DUMMYFUNCTION("""COMPUTED_VALUE"""),43859.64583333333)</f>
        <v>43859.64583</v>
      </c>
      <c r="B1981" s="1">
        <f>IFERROR(__xludf.DUMMYFUNCTION("""COMPUTED_VALUE"""),22350.0)</f>
        <v>22350</v>
      </c>
      <c r="C1981" s="1">
        <f>IFERROR(__xludf.DUMMYFUNCTION("""COMPUTED_VALUE"""),24150.0)</f>
        <v>24150</v>
      </c>
      <c r="D1981" s="1">
        <f>IFERROR(__xludf.DUMMYFUNCTION("""COMPUTED_VALUE"""),22200.0)</f>
        <v>22200</v>
      </c>
      <c r="E1981" s="1">
        <f>IFERROR(__xludf.DUMMYFUNCTION("""COMPUTED_VALUE"""),23100.0)</f>
        <v>23100</v>
      </c>
      <c r="F1981" s="1">
        <f>IFERROR(__xludf.DUMMYFUNCTION("""COMPUTED_VALUE"""),523996.0)</f>
        <v>523996</v>
      </c>
    </row>
    <row r="1982">
      <c r="A1982" s="2">
        <f>IFERROR(__xludf.DUMMYFUNCTION("""COMPUTED_VALUE"""),43860.64583333333)</f>
        <v>43860.64583</v>
      </c>
      <c r="B1982" s="1">
        <f>IFERROR(__xludf.DUMMYFUNCTION("""COMPUTED_VALUE"""),23100.0)</f>
        <v>23100</v>
      </c>
      <c r="C1982" s="1">
        <f>IFERROR(__xludf.DUMMYFUNCTION("""COMPUTED_VALUE"""),23500.0)</f>
        <v>23500</v>
      </c>
      <c r="D1982" s="1">
        <f>IFERROR(__xludf.DUMMYFUNCTION("""COMPUTED_VALUE"""),22100.0)</f>
        <v>22100</v>
      </c>
      <c r="E1982" s="1">
        <f>IFERROR(__xludf.DUMMYFUNCTION("""COMPUTED_VALUE"""),22300.0)</f>
        <v>22300</v>
      </c>
      <c r="F1982" s="1">
        <f>IFERROR(__xludf.DUMMYFUNCTION("""COMPUTED_VALUE"""),268929.0)</f>
        <v>268929</v>
      </c>
    </row>
    <row r="1983">
      <c r="A1983" s="2">
        <f>IFERROR(__xludf.DUMMYFUNCTION("""COMPUTED_VALUE"""),43861.64583333333)</f>
        <v>43861.64583</v>
      </c>
      <c r="B1983" s="1">
        <f>IFERROR(__xludf.DUMMYFUNCTION("""COMPUTED_VALUE"""),22350.0)</f>
        <v>22350</v>
      </c>
      <c r="C1983" s="1">
        <f>IFERROR(__xludf.DUMMYFUNCTION("""COMPUTED_VALUE"""),22650.0)</f>
        <v>22650</v>
      </c>
      <c r="D1983" s="1">
        <f>IFERROR(__xludf.DUMMYFUNCTION("""COMPUTED_VALUE"""),20550.0)</f>
        <v>20550</v>
      </c>
      <c r="E1983" s="1">
        <f>IFERROR(__xludf.DUMMYFUNCTION("""COMPUTED_VALUE"""),20700.0)</f>
        <v>20700</v>
      </c>
      <c r="F1983" s="1">
        <f>IFERROR(__xludf.DUMMYFUNCTION("""COMPUTED_VALUE"""),279927.0)</f>
        <v>279927</v>
      </c>
    </row>
    <row r="1984">
      <c r="A1984" s="2">
        <f>IFERROR(__xludf.DUMMYFUNCTION("""COMPUTED_VALUE"""),43864.64583333333)</f>
        <v>43864.64583</v>
      </c>
      <c r="B1984" s="1">
        <f>IFERROR(__xludf.DUMMYFUNCTION("""COMPUTED_VALUE"""),19600.0)</f>
        <v>19600</v>
      </c>
      <c r="C1984" s="1">
        <f>IFERROR(__xludf.DUMMYFUNCTION("""COMPUTED_VALUE"""),22000.0)</f>
        <v>22000</v>
      </c>
      <c r="D1984" s="1">
        <f>IFERROR(__xludf.DUMMYFUNCTION("""COMPUTED_VALUE"""),19600.0)</f>
        <v>19600</v>
      </c>
      <c r="E1984" s="1">
        <f>IFERROR(__xludf.DUMMYFUNCTION("""COMPUTED_VALUE"""),21600.0)</f>
        <v>21600</v>
      </c>
      <c r="F1984" s="1">
        <f>IFERROR(__xludf.DUMMYFUNCTION("""COMPUTED_VALUE"""),339798.0)</f>
        <v>339798</v>
      </c>
    </row>
    <row r="1985">
      <c r="A1985" s="2">
        <f>IFERROR(__xludf.DUMMYFUNCTION("""COMPUTED_VALUE"""),43865.64583333333)</f>
        <v>43865.64583</v>
      </c>
      <c r="B1985" s="1">
        <f>IFERROR(__xludf.DUMMYFUNCTION("""COMPUTED_VALUE"""),21400.0)</f>
        <v>21400</v>
      </c>
      <c r="C1985" s="1">
        <f>IFERROR(__xludf.DUMMYFUNCTION("""COMPUTED_VALUE"""),22800.0)</f>
        <v>22800</v>
      </c>
      <c r="D1985" s="1">
        <f>IFERROR(__xludf.DUMMYFUNCTION("""COMPUTED_VALUE"""),21350.0)</f>
        <v>21350</v>
      </c>
      <c r="E1985" s="1">
        <f>IFERROR(__xludf.DUMMYFUNCTION("""COMPUTED_VALUE"""),22000.0)</f>
        <v>22000</v>
      </c>
      <c r="F1985" s="1">
        <f>IFERROR(__xludf.DUMMYFUNCTION("""COMPUTED_VALUE"""),394851.0)</f>
        <v>394851</v>
      </c>
    </row>
    <row r="1986">
      <c r="A1986" s="2">
        <f>IFERROR(__xludf.DUMMYFUNCTION("""COMPUTED_VALUE"""),43866.64583333333)</f>
        <v>43866.64583</v>
      </c>
      <c r="B1986" s="1">
        <f>IFERROR(__xludf.DUMMYFUNCTION("""COMPUTED_VALUE"""),22150.0)</f>
        <v>22150</v>
      </c>
      <c r="C1986" s="1">
        <f>IFERROR(__xludf.DUMMYFUNCTION("""COMPUTED_VALUE"""),22550.0)</f>
        <v>22550</v>
      </c>
      <c r="D1986" s="1">
        <f>IFERROR(__xludf.DUMMYFUNCTION("""COMPUTED_VALUE"""),21750.0)</f>
        <v>21750</v>
      </c>
      <c r="E1986" s="1">
        <f>IFERROR(__xludf.DUMMYFUNCTION("""COMPUTED_VALUE"""),21850.0)</f>
        <v>21850</v>
      </c>
      <c r="F1986" s="1">
        <f>IFERROR(__xludf.DUMMYFUNCTION("""COMPUTED_VALUE"""),158625.0)</f>
        <v>158625</v>
      </c>
    </row>
    <row r="1987">
      <c r="A1987" s="2">
        <f>IFERROR(__xludf.DUMMYFUNCTION("""COMPUTED_VALUE"""),43867.64583333333)</f>
        <v>43867.64583</v>
      </c>
      <c r="B1987" s="1">
        <f>IFERROR(__xludf.DUMMYFUNCTION("""COMPUTED_VALUE"""),22000.0)</f>
        <v>22000</v>
      </c>
      <c r="C1987" s="1">
        <f>IFERROR(__xludf.DUMMYFUNCTION("""COMPUTED_VALUE"""),22700.0)</f>
        <v>22700</v>
      </c>
      <c r="D1987" s="1">
        <f>IFERROR(__xludf.DUMMYFUNCTION("""COMPUTED_VALUE"""),21950.0)</f>
        <v>21950</v>
      </c>
      <c r="E1987" s="1">
        <f>IFERROR(__xludf.DUMMYFUNCTION("""COMPUTED_VALUE"""),22450.0)</f>
        <v>22450</v>
      </c>
      <c r="F1987" s="1">
        <f>IFERROR(__xludf.DUMMYFUNCTION("""COMPUTED_VALUE"""),178397.0)</f>
        <v>178397</v>
      </c>
    </row>
    <row r="1988">
      <c r="A1988" s="2">
        <f>IFERROR(__xludf.DUMMYFUNCTION("""COMPUTED_VALUE"""),43868.64583333333)</f>
        <v>43868.64583</v>
      </c>
      <c r="B1988" s="1">
        <f>IFERROR(__xludf.DUMMYFUNCTION("""COMPUTED_VALUE"""),22600.0)</f>
        <v>22600</v>
      </c>
      <c r="C1988" s="1">
        <f>IFERROR(__xludf.DUMMYFUNCTION("""COMPUTED_VALUE"""),22600.0)</f>
        <v>22600</v>
      </c>
      <c r="D1988" s="1">
        <f>IFERROR(__xludf.DUMMYFUNCTION("""COMPUTED_VALUE"""),22000.0)</f>
        <v>22000</v>
      </c>
      <c r="E1988" s="1">
        <f>IFERROR(__xludf.DUMMYFUNCTION("""COMPUTED_VALUE"""),22400.0)</f>
        <v>22400</v>
      </c>
      <c r="F1988" s="1">
        <f>IFERROR(__xludf.DUMMYFUNCTION("""COMPUTED_VALUE"""),97381.0)</f>
        <v>97381</v>
      </c>
    </row>
    <row r="1989">
      <c r="A1989" s="2">
        <f>IFERROR(__xludf.DUMMYFUNCTION("""COMPUTED_VALUE"""),43871.64583333333)</f>
        <v>43871.64583</v>
      </c>
      <c r="B1989" s="1">
        <f>IFERROR(__xludf.DUMMYFUNCTION("""COMPUTED_VALUE"""),22250.0)</f>
        <v>22250</v>
      </c>
      <c r="C1989" s="1">
        <f>IFERROR(__xludf.DUMMYFUNCTION("""COMPUTED_VALUE"""),22400.0)</f>
        <v>22400</v>
      </c>
      <c r="D1989" s="1">
        <f>IFERROR(__xludf.DUMMYFUNCTION("""COMPUTED_VALUE"""),22000.0)</f>
        <v>22000</v>
      </c>
      <c r="E1989" s="1">
        <f>IFERROR(__xludf.DUMMYFUNCTION("""COMPUTED_VALUE"""),22400.0)</f>
        <v>22400</v>
      </c>
      <c r="F1989" s="1">
        <f>IFERROR(__xludf.DUMMYFUNCTION("""COMPUTED_VALUE"""),77741.0)</f>
        <v>77741</v>
      </c>
    </row>
    <row r="1990">
      <c r="A1990" s="2">
        <f>IFERROR(__xludf.DUMMYFUNCTION("""COMPUTED_VALUE"""),43872.64583333333)</f>
        <v>43872.64583</v>
      </c>
      <c r="B1990" s="1">
        <f>IFERROR(__xludf.DUMMYFUNCTION("""COMPUTED_VALUE"""),22500.0)</f>
        <v>22500</v>
      </c>
      <c r="C1990" s="1">
        <f>IFERROR(__xludf.DUMMYFUNCTION("""COMPUTED_VALUE"""),22650.0)</f>
        <v>22650</v>
      </c>
      <c r="D1990" s="1">
        <f>IFERROR(__xludf.DUMMYFUNCTION("""COMPUTED_VALUE"""),22300.0)</f>
        <v>22300</v>
      </c>
      <c r="E1990" s="1">
        <f>IFERROR(__xludf.DUMMYFUNCTION("""COMPUTED_VALUE"""),22500.0)</f>
        <v>22500</v>
      </c>
      <c r="F1990" s="1">
        <f>IFERROR(__xludf.DUMMYFUNCTION("""COMPUTED_VALUE"""),144385.0)</f>
        <v>144385</v>
      </c>
    </row>
    <row r="1991">
      <c r="A1991" s="2">
        <f>IFERROR(__xludf.DUMMYFUNCTION("""COMPUTED_VALUE"""),43873.64583333333)</f>
        <v>43873.64583</v>
      </c>
      <c r="B1991" s="1">
        <f>IFERROR(__xludf.DUMMYFUNCTION("""COMPUTED_VALUE"""),22350.0)</f>
        <v>22350</v>
      </c>
      <c r="C1991" s="1">
        <f>IFERROR(__xludf.DUMMYFUNCTION("""COMPUTED_VALUE"""),22650.0)</f>
        <v>22650</v>
      </c>
      <c r="D1991" s="1">
        <f>IFERROR(__xludf.DUMMYFUNCTION("""COMPUTED_VALUE"""),22100.0)</f>
        <v>22100</v>
      </c>
      <c r="E1991" s="1">
        <f>IFERROR(__xludf.DUMMYFUNCTION("""COMPUTED_VALUE"""),22450.0)</f>
        <v>22450</v>
      </c>
      <c r="F1991" s="1">
        <f>IFERROR(__xludf.DUMMYFUNCTION("""COMPUTED_VALUE"""),151880.0)</f>
        <v>151880</v>
      </c>
    </row>
    <row r="1992">
      <c r="A1992" s="2">
        <f>IFERROR(__xludf.DUMMYFUNCTION("""COMPUTED_VALUE"""),43874.64583333333)</f>
        <v>43874.64583</v>
      </c>
      <c r="B1992" s="1">
        <f>IFERROR(__xludf.DUMMYFUNCTION("""COMPUTED_VALUE"""),22500.0)</f>
        <v>22500</v>
      </c>
      <c r="C1992" s="1">
        <f>IFERROR(__xludf.DUMMYFUNCTION("""COMPUTED_VALUE"""),22950.0)</f>
        <v>22950</v>
      </c>
      <c r="D1992" s="1">
        <f>IFERROR(__xludf.DUMMYFUNCTION("""COMPUTED_VALUE"""),21800.0)</f>
        <v>21800</v>
      </c>
      <c r="E1992" s="1">
        <f>IFERROR(__xludf.DUMMYFUNCTION("""COMPUTED_VALUE"""),21900.0)</f>
        <v>21900</v>
      </c>
      <c r="F1992" s="1">
        <f>IFERROR(__xludf.DUMMYFUNCTION("""COMPUTED_VALUE"""),203834.0)</f>
        <v>203834</v>
      </c>
    </row>
    <row r="1993">
      <c r="A1993" s="2">
        <f>IFERROR(__xludf.DUMMYFUNCTION("""COMPUTED_VALUE"""),43875.64583333333)</f>
        <v>43875.64583</v>
      </c>
      <c r="B1993" s="1">
        <f>IFERROR(__xludf.DUMMYFUNCTION("""COMPUTED_VALUE"""),21900.0)</f>
        <v>21900</v>
      </c>
      <c r="C1993" s="1">
        <f>IFERROR(__xludf.DUMMYFUNCTION("""COMPUTED_VALUE"""),22100.0)</f>
        <v>22100</v>
      </c>
      <c r="D1993" s="1">
        <f>IFERROR(__xludf.DUMMYFUNCTION("""COMPUTED_VALUE"""),21500.0)</f>
        <v>21500</v>
      </c>
      <c r="E1993" s="1">
        <f>IFERROR(__xludf.DUMMYFUNCTION("""COMPUTED_VALUE"""),21750.0)</f>
        <v>21750</v>
      </c>
      <c r="F1993" s="1">
        <f>IFERROR(__xludf.DUMMYFUNCTION("""COMPUTED_VALUE"""),117977.0)</f>
        <v>117977</v>
      </c>
    </row>
    <row r="1994">
      <c r="A1994" s="2">
        <f>IFERROR(__xludf.DUMMYFUNCTION("""COMPUTED_VALUE"""),43878.64583333333)</f>
        <v>43878.64583</v>
      </c>
      <c r="B1994" s="1">
        <f>IFERROR(__xludf.DUMMYFUNCTION("""COMPUTED_VALUE"""),21950.0)</f>
        <v>21950</v>
      </c>
      <c r="C1994" s="1">
        <f>IFERROR(__xludf.DUMMYFUNCTION("""COMPUTED_VALUE"""),22650.0)</f>
        <v>22650</v>
      </c>
      <c r="D1994" s="1">
        <f>IFERROR(__xludf.DUMMYFUNCTION("""COMPUTED_VALUE"""),21750.0)</f>
        <v>21750</v>
      </c>
      <c r="E1994" s="1">
        <f>IFERROR(__xludf.DUMMYFUNCTION("""COMPUTED_VALUE"""),22200.0)</f>
        <v>22200</v>
      </c>
      <c r="F1994" s="1">
        <f>IFERROR(__xludf.DUMMYFUNCTION("""COMPUTED_VALUE"""),165593.0)</f>
        <v>165593</v>
      </c>
    </row>
    <row r="1995">
      <c r="A1995" s="2">
        <f>IFERROR(__xludf.DUMMYFUNCTION("""COMPUTED_VALUE"""),43879.64583333333)</f>
        <v>43879.64583</v>
      </c>
      <c r="B1995" s="1">
        <f>IFERROR(__xludf.DUMMYFUNCTION("""COMPUTED_VALUE"""),22200.0)</f>
        <v>22200</v>
      </c>
      <c r="C1995" s="1">
        <f>IFERROR(__xludf.DUMMYFUNCTION("""COMPUTED_VALUE"""),22350.0)</f>
        <v>22350</v>
      </c>
      <c r="D1995" s="1">
        <f>IFERROR(__xludf.DUMMYFUNCTION("""COMPUTED_VALUE"""),21300.0)</f>
        <v>21300</v>
      </c>
      <c r="E1995" s="1">
        <f>IFERROR(__xludf.DUMMYFUNCTION("""COMPUTED_VALUE"""),21350.0)</f>
        <v>21350</v>
      </c>
      <c r="F1995" s="1">
        <f>IFERROR(__xludf.DUMMYFUNCTION("""COMPUTED_VALUE"""),115966.0)</f>
        <v>115966</v>
      </c>
    </row>
    <row r="1996">
      <c r="A1996" s="2">
        <f>IFERROR(__xludf.DUMMYFUNCTION("""COMPUTED_VALUE"""),43880.64583333333)</f>
        <v>43880.64583</v>
      </c>
      <c r="B1996" s="1">
        <f>IFERROR(__xludf.DUMMYFUNCTION("""COMPUTED_VALUE"""),21450.0)</f>
        <v>21450</v>
      </c>
      <c r="C1996" s="1">
        <f>IFERROR(__xludf.DUMMYFUNCTION("""COMPUTED_VALUE"""),21700.0)</f>
        <v>21700</v>
      </c>
      <c r="D1996" s="1">
        <f>IFERROR(__xludf.DUMMYFUNCTION("""COMPUTED_VALUE"""),20600.0)</f>
        <v>20600</v>
      </c>
      <c r="E1996" s="1">
        <f>IFERROR(__xludf.DUMMYFUNCTION("""COMPUTED_VALUE"""),21100.0)</f>
        <v>21100</v>
      </c>
      <c r="F1996" s="1">
        <f>IFERROR(__xludf.DUMMYFUNCTION("""COMPUTED_VALUE"""),99725.0)</f>
        <v>99725</v>
      </c>
    </row>
    <row r="1997">
      <c r="A1997" s="2">
        <f>IFERROR(__xludf.DUMMYFUNCTION("""COMPUTED_VALUE"""),43881.64583333333)</f>
        <v>43881.64583</v>
      </c>
      <c r="B1997" s="1">
        <f>IFERROR(__xludf.DUMMYFUNCTION("""COMPUTED_VALUE"""),21250.0)</f>
        <v>21250</v>
      </c>
      <c r="C1997" s="1">
        <f>IFERROR(__xludf.DUMMYFUNCTION("""COMPUTED_VALUE"""),23000.0)</f>
        <v>23000</v>
      </c>
      <c r="D1997" s="1">
        <f>IFERROR(__xludf.DUMMYFUNCTION("""COMPUTED_VALUE"""),21000.0)</f>
        <v>21000</v>
      </c>
      <c r="E1997" s="1">
        <f>IFERROR(__xludf.DUMMYFUNCTION("""COMPUTED_VALUE"""),21250.0)</f>
        <v>21250</v>
      </c>
      <c r="F1997" s="1">
        <f>IFERROR(__xludf.DUMMYFUNCTION("""COMPUTED_VALUE"""),627091.0)</f>
        <v>627091</v>
      </c>
    </row>
    <row r="1998">
      <c r="A1998" s="2">
        <f>IFERROR(__xludf.DUMMYFUNCTION("""COMPUTED_VALUE"""),43882.64583333333)</f>
        <v>43882.64583</v>
      </c>
      <c r="B1998" s="1">
        <f>IFERROR(__xludf.DUMMYFUNCTION("""COMPUTED_VALUE"""),21900.0)</f>
        <v>21900</v>
      </c>
      <c r="C1998" s="1">
        <f>IFERROR(__xludf.DUMMYFUNCTION("""COMPUTED_VALUE"""),24500.0)</f>
        <v>24500</v>
      </c>
      <c r="D1998" s="1">
        <f>IFERROR(__xludf.DUMMYFUNCTION("""COMPUTED_VALUE"""),21750.0)</f>
        <v>21750</v>
      </c>
      <c r="E1998" s="1">
        <f>IFERROR(__xludf.DUMMYFUNCTION("""COMPUTED_VALUE"""),23200.0)</f>
        <v>23200</v>
      </c>
      <c r="F1998" s="1">
        <f>IFERROR(__xludf.DUMMYFUNCTION("""COMPUTED_VALUE"""),2632370.0)</f>
        <v>2632370</v>
      </c>
    </row>
    <row r="1999">
      <c r="A1999" s="2">
        <f>IFERROR(__xludf.DUMMYFUNCTION("""COMPUTED_VALUE"""),43885.64583333333)</f>
        <v>43885.64583</v>
      </c>
      <c r="B1999" s="1">
        <f>IFERROR(__xludf.DUMMYFUNCTION("""COMPUTED_VALUE"""),23300.0)</f>
        <v>23300</v>
      </c>
      <c r="C1999" s="1">
        <f>IFERROR(__xludf.DUMMYFUNCTION("""COMPUTED_VALUE"""),23350.0)</f>
        <v>23350</v>
      </c>
      <c r="D1999" s="1">
        <f>IFERROR(__xludf.DUMMYFUNCTION("""COMPUTED_VALUE"""),20000.0)</f>
        <v>20000</v>
      </c>
      <c r="E1999" s="1">
        <f>IFERROR(__xludf.DUMMYFUNCTION("""COMPUTED_VALUE"""),20000.0)</f>
        <v>20000</v>
      </c>
      <c r="F1999" s="1">
        <f>IFERROR(__xludf.DUMMYFUNCTION("""COMPUTED_VALUE"""),585500.0)</f>
        <v>585500</v>
      </c>
    </row>
    <row r="2000">
      <c r="A2000" s="2">
        <f>IFERROR(__xludf.DUMMYFUNCTION("""COMPUTED_VALUE"""),43886.64583333333)</f>
        <v>43886.64583</v>
      </c>
      <c r="B2000" s="1">
        <f>IFERROR(__xludf.DUMMYFUNCTION("""COMPUTED_VALUE"""),19650.0)</f>
        <v>19650</v>
      </c>
      <c r="C2000" s="1">
        <f>IFERROR(__xludf.DUMMYFUNCTION("""COMPUTED_VALUE"""),22900.0)</f>
        <v>22900</v>
      </c>
      <c r="D2000" s="1">
        <f>IFERROR(__xludf.DUMMYFUNCTION("""COMPUTED_VALUE"""),19650.0)</f>
        <v>19650</v>
      </c>
      <c r="E2000" s="1">
        <f>IFERROR(__xludf.DUMMYFUNCTION("""COMPUTED_VALUE"""),20700.0)</f>
        <v>20700</v>
      </c>
      <c r="F2000" s="1">
        <f>IFERROR(__xludf.DUMMYFUNCTION("""COMPUTED_VALUE"""),670077.0)</f>
        <v>670077</v>
      </c>
    </row>
    <row r="2001">
      <c r="A2001" s="2">
        <f>IFERROR(__xludf.DUMMYFUNCTION("""COMPUTED_VALUE"""),43887.64583333333)</f>
        <v>43887.64583</v>
      </c>
      <c r="B2001" s="1">
        <f>IFERROR(__xludf.DUMMYFUNCTION("""COMPUTED_VALUE"""),20700.0)</f>
        <v>20700</v>
      </c>
      <c r="C2001" s="1">
        <f>IFERROR(__xludf.DUMMYFUNCTION("""COMPUTED_VALUE"""),22200.0)</f>
        <v>22200</v>
      </c>
      <c r="D2001" s="1">
        <f>IFERROR(__xludf.DUMMYFUNCTION("""COMPUTED_VALUE"""),20500.0)</f>
        <v>20500</v>
      </c>
      <c r="E2001" s="1">
        <f>IFERROR(__xludf.DUMMYFUNCTION("""COMPUTED_VALUE"""),21000.0)</f>
        <v>21000</v>
      </c>
      <c r="F2001" s="1">
        <f>IFERROR(__xludf.DUMMYFUNCTION("""COMPUTED_VALUE"""),346819.0)</f>
        <v>346819</v>
      </c>
    </row>
    <row r="2002">
      <c r="A2002" s="2">
        <f>IFERROR(__xludf.DUMMYFUNCTION("""COMPUTED_VALUE"""),43888.64583333333)</f>
        <v>43888.64583</v>
      </c>
      <c r="B2002" s="1">
        <f>IFERROR(__xludf.DUMMYFUNCTION("""COMPUTED_VALUE"""),20900.0)</f>
        <v>20900</v>
      </c>
      <c r="C2002" s="1">
        <f>IFERROR(__xludf.DUMMYFUNCTION("""COMPUTED_VALUE"""),22000.0)</f>
        <v>22000</v>
      </c>
      <c r="D2002" s="1">
        <f>IFERROR(__xludf.DUMMYFUNCTION("""COMPUTED_VALUE"""),20050.0)</f>
        <v>20050</v>
      </c>
      <c r="E2002" s="1">
        <f>IFERROR(__xludf.DUMMYFUNCTION("""COMPUTED_VALUE"""),20150.0)</f>
        <v>20150</v>
      </c>
      <c r="F2002" s="1">
        <f>IFERROR(__xludf.DUMMYFUNCTION("""COMPUTED_VALUE"""),328886.0)</f>
        <v>328886</v>
      </c>
    </row>
    <row r="2003">
      <c r="A2003" s="2">
        <f>IFERROR(__xludf.DUMMYFUNCTION("""COMPUTED_VALUE"""),43889.64583333333)</f>
        <v>43889.64583</v>
      </c>
      <c r="B2003" s="1">
        <f>IFERROR(__xludf.DUMMYFUNCTION("""COMPUTED_VALUE"""),19650.0)</f>
        <v>19650</v>
      </c>
      <c r="C2003" s="1">
        <f>IFERROR(__xludf.DUMMYFUNCTION("""COMPUTED_VALUE"""),20350.0)</f>
        <v>20350</v>
      </c>
      <c r="D2003" s="1">
        <f>IFERROR(__xludf.DUMMYFUNCTION("""COMPUTED_VALUE"""),18750.0)</f>
        <v>18750</v>
      </c>
      <c r="E2003" s="1">
        <f>IFERROR(__xludf.DUMMYFUNCTION("""COMPUTED_VALUE"""),18800.0)</f>
        <v>18800</v>
      </c>
      <c r="F2003" s="1">
        <f>IFERROR(__xludf.DUMMYFUNCTION("""COMPUTED_VALUE"""),235864.0)</f>
        <v>235864</v>
      </c>
    </row>
    <row r="2004">
      <c r="A2004" s="2">
        <f>IFERROR(__xludf.DUMMYFUNCTION("""COMPUTED_VALUE"""),43892.64583333333)</f>
        <v>43892.64583</v>
      </c>
      <c r="B2004" s="1">
        <f>IFERROR(__xludf.DUMMYFUNCTION("""COMPUTED_VALUE"""),19350.0)</f>
        <v>19350</v>
      </c>
      <c r="C2004" s="1">
        <f>IFERROR(__xludf.DUMMYFUNCTION("""COMPUTED_VALUE"""),21200.0)</f>
        <v>21200</v>
      </c>
      <c r="D2004" s="1">
        <f>IFERROR(__xludf.DUMMYFUNCTION("""COMPUTED_VALUE"""),19350.0)</f>
        <v>19350</v>
      </c>
      <c r="E2004" s="1">
        <f>IFERROR(__xludf.DUMMYFUNCTION("""COMPUTED_VALUE"""),20300.0)</f>
        <v>20300</v>
      </c>
      <c r="F2004" s="1">
        <f>IFERROR(__xludf.DUMMYFUNCTION("""COMPUTED_VALUE"""),684141.0)</f>
        <v>684141</v>
      </c>
    </row>
    <row r="2005">
      <c r="A2005" s="2">
        <f>IFERROR(__xludf.DUMMYFUNCTION("""COMPUTED_VALUE"""),43893.64583333333)</f>
        <v>43893.64583</v>
      </c>
      <c r="B2005" s="1">
        <f>IFERROR(__xludf.DUMMYFUNCTION("""COMPUTED_VALUE"""),21200.0)</f>
        <v>21200</v>
      </c>
      <c r="C2005" s="1">
        <f>IFERROR(__xludf.DUMMYFUNCTION("""COMPUTED_VALUE"""),21350.0)</f>
        <v>21350</v>
      </c>
      <c r="D2005" s="1">
        <f>IFERROR(__xludf.DUMMYFUNCTION("""COMPUTED_VALUE"""),20000.0)</f>
        <v>20000</v>
      </c>
      <c r="E2005" s="1">
        <f>IFERROR(__xludf.DUMMYFUNCTION("""COMPUTED_VALUE"""),20000.0)</f>
        <v>20000</v>
      </c>
      <c r="F2005" s="1">
        <f>IFERROR(__xludf.DUMMYFUNCTION("""COMPUTED_VALUE"""),306857.0)</f>
        <v>306857</v>
      </c>
    </row>
    <row r="2006">
      <c r="A2006" s="2">
        <f>IFERROR(__xludf.DUMMYFUNCTION("""COMPUTED_VALUE"""),43894.64583333333)</f>
        <v>43894.64583</v>
      </c>
      <c r="B2006" s="1">
        <f>IFERROR(__xludf.DUMMYFUNCTION("""COMPUTED_VALUE"""),20000.0)</f>
        <v>20000</v>
      </c>
      <c r="C2006" s="1">
        <f>IFERROR(__xludf.DUMMYFUNCTION("""COMPUTED_VALUE"""),20700.0)</f>
        <v>20700</v>
      </c>
      <c r="D2006" s="1">
        <f>IFERROR(__xludf.DUMMYFUNCTION("""COMPUTED_VALUE"""),20000.0)</f>
        <v>20000</v>
      </c>
      <c r="E2006" s="1">
        <f>IFERROR(__xludf.DUMMYFUNCTION("""COMPUTED_VALUE"""),20700.0)</f>
        <v>20700</v>
      </c>
      <c r="F2006" s="1">
        <f>IFERROR(__xludf.DUMMYFUNCTION("""COMPUTED_VALUE"""),150880.0)</f>
        <v>150880</v>
      </c>
    </row>
    <row r="2007">
      <c r="A2007" s="2">
        <f>IFERROR(__xludf.DUMMYFUNCTION("""COMPUTED_VALUE"""),43895.64583333333)</f>
        <v>43895.64583</v>
      </c>
      <c r="B2007" s="1">
        <f>IFERROR(__xludf.DUMMYFUNCTION("""COMPUTED_VALUE"""),20750.0)</f>
        <v>20750</v>
      </c>
      <c r="C2007" s="1">
        <f>IFERROR(__xludf.DUMMYFUNCTION("""COMPUTED_VALUE"""),21600.0)</f>
        <v>21600</v>
      </c>
      <c r="D2007" s="1">
        <f>IFERROR(__xludf.DUMMYFUNCTION("""COMPUTED_VALUE"""),20500.0)</f>
        <v>20500</v>
      </c>
      <c r="E2007" s="1">
        <f>IFERROR(__xludf.DUMMYFUNCTION("""COMPUTED_VALUE"""),20750.0)</f>
        <v>20750</v>
      </c>
      <c r="F2007" s="1">
        <f>IFERROR(__xludf.DUMMYFUNCTION("""COMPUTED_VALUE"""),356315.0)</f>
        <v>356315</v>
      </c>
    </row>
    <row r="2008">
      <c r="A2008" s="2">
        <f>IFERROR(__xludf.DUMMYFUNCTION("""COMPUTED_VALUE"""),43896.64583333333)</f>
        <v>43896.64583</v>
      </c>
      <c r="B2008" s="1">
        <f>IFERROR(__xludf.DUMMYFUNCTION("""COMPUTED_VALUE"""),20500.0)</f>
        <v>20500</v>
      </c>
      <c r="C2008" s="1">
        <f>IFERROR(__xludf.DUMMYFUNCTION("""COMPUTED_VALUE"""),20750.0)</f>
        <v>20750</v>
      </c>
      <c r="D2008" s="1">
        <f>IFERROR(__xludf.DUMMYFUNCTION("""COMPUTED_VALUE"""),20200.0)</f>
        <v>20200</v>
      </c>
      <c r="E2008" s="1">
        <f>IFERROR(__xludf.DUMMYFUNCTION("""COMPUTED_VALUE"""),20250.0)</f>
        <v>20250</v>
      </c>
      <c r="F2008" s="1">
        <f>IFERROR(__xludf.DUMMYFUNCTION("""COMPUTED_VALUE"""),135535.0)</f>
        <v>135535</v>
      </c>
    </row>
    <row r="2009">
      <c r="A2009" s="2">
        <f>IFERROR(__xludf.DUMMYFUNCTION("""COMPUTED_VALUE"""),43899.64583333333)</f>
        <v>43899.64583</v>
      </c>
      <c r="B2009" s="1">
        <f>IFERROR(__xludf.DUMMYFUNCTION("""COMPUTED_VALUE"""),19700.0)</f>
        <v>19700</v>
      </c>
      <c r="C2009" s="1">
        <f>IFERROR(__xludf.DUMMYFUNCTION("""COMPUTED_VALUE"""),20150.0)</f>
        <v>20150</v>
      </c>
      <c r="D2009" s="1">
        <f>IFERROR(__xludf.DUMMYFUNCTION("""COMPUTED_VALUE"""),18900.0)</f>
        <v>18900</v>
      </c>
      <c r="E2009" s="1">
        <f>IFERROR(__xludf.DUMMYFUNCTION("""COMPUTED_VALUE"""),19050.0)</f>
        <v>19050</v>
      </c>
      <c r="F2009" s="1">
        <f>IFERROR(__xludf.DUMMYFUNCTION("""COMPUTED_VALUE"""),174694.0)</f>
        <v>174694</v>
      </c>
    </row>
    <row r="2010">
      <c r="A2010" s="2">
        <f>IFERROR(__xludf.DUMMYFUNCTION("""COMPUTED_VALUE"""),43900.64583333333)</f>
        <v>43900.64583</v>
      </c>
      <c r="B2010" s="1">
        <f>IFERROR(__xludf.DUMMYFUNCTION("""COMPUTED_VALUE"""),18550.0)</f>
        <v>18550</v>
      </c>
      <c r="C2010" s="1">
        <f>IFERROR(__xludf.DUMMYFUNCTION("""COMPUTED_VALUE"""),19450.0)</f>
        <v>19450</v>
      </c>
      <c r="D2010" s="1">
        <f>IFERROR(__xludf.DUMMYFUNCTION("""COMPUTED_VALUE"""),18400.0)</f>
        <v>18400</v>
      </c>
      <c r="E2010" s="1">
        <f>IFERROR(__xludf.DUMMYFUNCTION("""COMPUTED_VALUE"""),19300.0)</f>
        <v>19300</v>
      </c>
      <c r="F2010" s="1">
        <f>IFERROR(__xludf.DUMMYFUNCTION("""COMPUTED_VALUE"""),187564.0)</f>
        <v>187564</v>
      </c>
    </row>
    <row r="2011">
      <c r="A2011" s="2">
        <f>IFERROR(__xludf.DUMMYFUNCTION("""COMPUTED_VALUE"""),43901.64583333333)</f>
        <v>43901.64583</v>
      </c>
      <c r="B2011" s="1">
        <f>IFERROR(__xludf.DUMMYFUNCTION("""COMPUTED_VALUE"""),19150.0)</f>
        <v>19150</v>
      </c>
      <c r="C2011" s="1">
        <f>IFERROR(__xludf.DUMMYFUNCTION("""COMPUTED_VALUE"""),19500.0)</f>
        <v>19500</v>
      </c>
      <c r="D2011" s="1">
        <f>IFERROR(__xludf.DUMMYFUNCTION("""COMPUTED_VALUE"""),17650.0)</f>
        <v>17650</v>
      </c>
      <c r="E2011" s="1">
        <f>IFERROR(__xludf.DUMMYFUNCTION("""COMPUTED_VALUE"""),18300.0)</f>
        <v>18300</v>
      </c>
      <c r="F2011" s="1">
        <f>IFERROR(__xludf.DUMMYFUNCTION("""COMPUTED_VALUE"""),231072.0)</f>
        <v>231072</v>
      </c>
    </row>
    <row r="2012">
      <c r="A2012" s="2">
        <f>IFERROR(__xludf.DUMMYFUNCTION("""COMPUTED_VALUE"""),43902.64583333333)</f>
        <v>43902.64583</v>
      </c>
      <c r="B2012" s="1">
        <f>IFERROR(__xludf.DUMMYFUNCTION("""COMPUTED_VALUE"""),17950.0)</f>
        <v>17950</v>
      </c>
      <c r="C2012" s="1">
        <f>IFERROR(__xludf.DUMMYFUNCTION("""COMPUTED_VALUE"""),18300.0)</f>
        <v>18300</v>
      </c>
      <c r="D2012" s="1">
        <f>IFERROR(__xludf.DUMMYFUNCTION("""COMPUTED_VALUE"""),16400.0)</f>
        <v>16400</v>
      </c>
      <c r="E2012" s="1">
        <f>IFERROR(__xludf.DUMMYFUNCTION("""COMPUTED_VALUE"""),16600.0)</f>
        <v>16600</v>
      </c>
      <c r="F2012" s="1">
        <f>IFERROR(__xludf.DUMMYFUNCTION("""COMPUTED_VALUE"""),302548.0)</f>
        <v>302548</v>
      </c>
    </row>
    <row r="2013">
      <c r="A2013" s="2">
        <f>IFERROR(__xludf.DUMMYFUNCTION("""COMPUTED_VALUE"""),43903.64583333333)</f>
        <v>43903.64583</v>
      </c>
      <c r="B2013" s="1">
        <f>IFERROR(__xludf.DUMMYFUNCTION("""COMPUTED_VALUE"""),14850.0)</f>
        <v>14850</v>
      </c>
      <c r="C2013" s="1">
        <f>IFERROR(__xludf.DUMMYFUNCTION("""COMPUTED_VALUE"""),15600.0)</f>
        <v>15600</v>
      </c>
      <c r="D2013" s="1">
        <f>IFERROR(__xludf.DUMMYFUNCTION("""COMPUTED_VALUE"""),13500.0)</f>
        <v>13500</v>
      </c>
      <c r="E2013" s="1">
        <f>IFERROR(__xludf.DUMMYFUNCTION("""COMPUTED_VALUE"""),14950.0)</f>
        <v>14950</v>
      </c>
      <c r="F2013" s="1">
        <f>IFERROR(__xludf.DUMMYFUNCTION("""COMPUTED_VALUE"""),445961.0)</f>
        <v>445961</v>
      </c>
    </row>
    <row r="2014">
      <c r="A2014" s="2">
        <f>IFERROR(__xludf.DUMMYFUNCTION("""COMPUTED_VALUE"""),43906.64583333333)</f>
        <v>43906.64583</v>
      </c>
      <c r="B2014" s="1">
        <f>IFERROR(__xludf.DUMMYFUNCTION("""COMPUTED_VALUE"""),15200.0)</f>
        <v>15200</v>
      </c>
      <c r="C2014" s="1">
        <f>IFERROR(__xludf.DUMMYFUNCTION("""COMPUTED_VALUE"""),15650.0)</f>
        <v>15650</v>
      </c>
      <c r="D2014" s="1">
        <f>IFERROR(__xludf.DUMMYFUNCTION("""COMPUTED_VALUE"""),13650.0)</f>
        <v>13650</v>
      </c>
      <c r="E2014" s="1">
        <f>IFERROR(__xludf.DUMMYFUNCTION("""COMPUTED_VALUE"""),13650.0)</f>
        <v>13650</v>
      </c>
      <c r="F2014" s="1">
        <f>IFERROR(__xludf.DUMMYFUNCTION("""COMPUTED_VALUE"""),282277.0)</f>
        <v>282277</v>
      </c>
    </row>
    <row r="2015">
      <c r="A2015" s="2">
        <f>IFERROR(__xludf.DUMMYFUNCTION("""COMPUTED_VALUE"""),43907.64583333333)</f>
        <v>43907.64583</v>
      </c>
      <c r="B2015" s="1">
        <f>IFERROR(__xludf.DUMMYFUNCTION("""COMPUTED_VALUE"""),12550.0)</f>
        <v>12550</v>
      </c>
      <c r="C2015" s="1">
        <f>IFERROR(__xludf.DUMMYFUNCTION("""COMPUTED_VALUE"""),15000.0)</f>
        <v>15000</v>
      </c>
      <c r="D2015" s="1">
        <f>IFERROR(__xludf.DUMMYFUNCTION("""COMPUTED_VALUE"""),12550.0)</f>
        <v>12550</v>
      </c>
      <c r="E2015" s="1">
        <f>IFERROR(__xludf.DUMMYFUNCTION("""COMPUTED_VALUE"""),14200.0)</f>
        <v>14200</v>
      </c>
      <c r="F2015" s="1">
        <f>IFERROR(__xludf.DUMMYFUNCTION("""COMPUTED_VALUE"""),320930.0)</f>
        <v>320930</v>
      </c>
    </row>
    <row r="2016">
      <c r="A2016" s="2">
        <f>IFERROR(__xludf.DUMMYFUNCTION("""COMPUTED_VALUE"""),43908.64583333333)</f>
        <v>43908.64583</v>
      </c>
      <c r="B2016" s="1">
        <f>IFERROR(__xludf.DUMMYFUNCTION("""COMPUTED_VALUE"""),14350.0)</f>
        <v>14350</v>
      </c>
      <c r="C2016" s="1">
        <f>IFERROR(__xludf.DUMMYFUNCTION("""COMPUTED_VALUE"""),14800.0)</f>
        <v>14800</v>
      </c>
      <c r="D2016" s="1">
        <f>IFERROR(__xludf.DUMMYFUNCTION("""COMPUTED_VALUE"""),13000.0)</f>
        <v>13000</v>
      </c>
      <c r="E2016" s="1">
        <f>IFERROR(__xludf.DUMMYFUNCTION("""COMPUTED_VALUE"""),13000.0)</f>
        <v>13000</v>
      </c>
      <c r="F2016" s="1">
        <f>IFERROR(__xludf.DUMMYFUNCTION("""COMPUTED_VALUE"""),190579.0)</f>
        <v>190579</v>
      </c>
    </row>
    <row r="2017">
      <c r="A2017" s="2">
        <f>IFERROR(__xludf.DUMMYFUNCTION("""COMPUTED_VALUE"""),43909.64583333333)</f>
        <v>43909.64583</v>
      </c>
      <c r="B2017" s="1">
        <f>IFERROR(__xludf.DUMMYFUNCTION("""COMPUTED_VALUE"""),13500.0)</f>
        <v>13500</v>
      </c>
      <c r="C2017" s="1">
        <f>IFERROR(__xludf.DUMMYFUNCTION("""COMPUTED_VALUE"""),13800.0)</f>
        <v>13800</v>
      </c>
      <c r="D2017" s="1">
        <f>IFERROR(__xludf.DUMMYFUNCTION("""COMPUTED_VALUE"""),10150.0)</f>
        <v>10150</v>
      </c>
      <c r="E2017" s="1">
        <f>IFERROR(__xludf.DUMMYFUNCTION("""COMPUTED_VALUE"""),10150.0)</f>
        <v>10150</v>
      </c>
      <c r="F2017" s="1">
        <f>IFERROR(__xludf.DUMMYFUNCTION("""COMPUTED_VALUE"""),416135.0)</f>
        <v>416135</v>
      </c>
    </row>
    <row r="2018">
      <c r="A2018" s="2">
        <f>IFERROR(__xludf.DUMMYFUNCTION("""COMPUTED_VALUE"""),43910.64583333333)</f>
        <v>43910.64583</v>
      </c>
      <c r="B2018" s="1">
        <f>IFERROR(__xludf.DUMMYFUNCTION("""COMPUTED_VALUE"""),10350.0)</f>
        <v>10350</v>
      </c>
      <c r="C2018" s="1">
        <f>IFERROR(__xludf.DUMMYFUNCTION("""COMPUTED_VALUE"""),13150.0)</f>
        <v>13150</v>
      </c>
      <c r="D2018" s="1">
        <f>IFERROR(__xludf.DUMMYFUNCTION("""COMPUTED_VALUE"""),10350.0)</f>
        <v>10350</v>
      </c>
      <c r="E2018" s="1">
        <f>IFERROR(__xludf.DUMMYFUNCTION("""COMPUTED_VALUE"""),13150.0)</f>
        <v>13150</v>
      </c>
      <c r="F2018" s="1">
        <f>IFERROR(__xludf.DUMMYFUNCTION("""COMPUTED_VALUE"""),586764.0)</f>
        <v>586764</v>
      </c>
    </row>
    <row r="2019">
      <c r="A2019" s="2">
        <f>IFERROR(__xludf.DUMMYFUNCTION("""COMPUTED_VALUE"""),43913.64583333333)</f>
        <v>43913.64583</v>
      </c>
      <c r="B2019" s="1">
        <f>IFERROR(__xludf.DUMMYFUNCTION("""COMPUTED_VALUE"""),12100.0)</f>
        <v>12100</v>
      </c>
      <c r="C2019" s="1">
        <f>IFERROR(__xludf.DUMMYFUNCTION("""COMPUTED_VALUE"""),15450.0)</f>
        <v>15450</v>
      </c>
      <c r="D2019" s="1">
        <f>IFERROR(__xludf.DUMMYFUNCTION("""COMPUTED_VALUE"""),11850.0)</f>
        <v>11850</v>
      </c>
      <c r="E2019" s="1">
        <f>IFERROR(__xludf.DUMMYFUNCTION("""COMPUTED_VALUE"""),13500.0)</f>
        <v>13500</v>
      </c>
      <c r="F2019" s="1">
        <f>IFERROR(__xludf.DUMMYFUNCTION("""COMPUTED_VALUE"""),712896.0)</f>
        <v>712896</v>
      </c>
    </row>
    <row r="2020">
      <c r="A2020" s="2">
        <f>IFERROR(__xludf.DUMMYFUNCTION("""COMPUTED_VALUE"""),43914.64583333333)</f>
        <v>43914.64583</v>
      </c>
      <c r="B2020" s="1">
        <f>IFERROR(__xludf.DUMMYFUNCTION("""COMPUTED_VALUE"""),14050.0)</f>
        <v>14050</v>
      </c>
      <c r="C2020" s="1">
        <f>IFERROR(__xludf.DUMMYFUNCTION("""COMPUTED_VALUE"""),16100.0)</f>
        <v>16100</v>
      </c>
      <c r="D2020" s="1">
        <f>IFERROR(__xludf.DUMMYFUNCTION("""COMPUTED_VALUE"""),13900.0)</f>
        <v>13900</v>
      </c>
      <c r="E2020" s="1">
        <f>IFERROR(__xludf.DUMMYFUNCTION("""COMPUTED_VALUE"""),15100.0)</f>
        <v>15100</v>
      </c>
      <c r="F2020" s="1">
        <f>IFERROR(__xludf.DUMMYFUNCTION("""COMPUTED_VALUE"""),911357.0)</f>
        <v>911357</v>
      </c>
    </row>
    <row r="2021">
      <c r="A2021" s="2">
        <f>IFERROR(__xludf.DUMMYFUNCTION("""COMPUTED_VALUE"""),43915.64583333333)</f>
        <v>43915.64583</v>
      </c>
      <c r="B2021" s="1">
        <f>IFERROR(__xludf.DUMMYFUNCTION("""COMPUTED_VALUE"""),16000.0)</f>
        <v>16000</v>
      </c>
      <c r="C2021" s="1">
        <f>IFERROR(__xludf.DUMMYFUNCTION("""COMPUTED_VALUE"""),17550.0)</f>
        <v>17550</v>
      </c>
      <c r="D2021" s="1">
        <f>IFERROR(__xludf.DUMMYFUNCTION("""COMPUTED_VALUE"""),15450.0)</f>
        <v>15450</v>
      </c>
      <c r="E2021" s="1">
        <f>IFERROR(__xludf.DUMMYFUNCTION("""COMPUTED_VALUE"""),16000.0)</f>
        <v>16000</v>
      </c>
      <c r="F2021" s="1">
        <f>IFERROR(__xludf.DUMMYFUNCTION("""COMPUTED_VALUE"""),947226.0)</f>
        <v>947226</v>
      </c>
    </row>
    <row r="2022">
      <c r="A2022" s="2">
        <f>IFERROR(__xludf.DUMMYFUNCTION("""COMPUTED_VALUE"""),43916.64583333333)</f>
        <v>43916.64583</v>
      </c>
      <c r="B2022" s="1">
        <f>IFERROR(__xludf.DUMMYFUNCTION("""COMPUTED_VALUE"""),16350.0)</f>
        <v>16350</v>
      </c>
      <c r="C2022" s="1">
        <f>IFERROR(__xludf.DUMMYFUNCTION("""COMPUTED_VALUE"""),16850.0)</f>
        <v>16850</v>
      </c>
      <c r="D2022" s="1">
        <f>IFERROR(__xludf.DUMMYFUNCTION("""COMPUTED_VALUE"""),15600.0)</f>
        <v>15600</v>
      </c>
      <c r="E2022" s="1">
        <f>IFERROR(__xludf.DUMMYFUNCTION("""COMPUTED_VALUE"""),16250.0)</f>
        <v>16250</v>
      </c>
      <c r="F2022" s="1">
        <f>IFERROR(__xludf.DUMMYFUNCTION("""COMPUTED_VALUE"""),454663.0)</f>
        <v>454663</v>
      </c>
    </row>
    <row r="2023">
      <c r="A2023" s="2">
        <f>IFERROR(__xludf.DUMMYFUNCTION("""COMPUTED_VALUE"""),43917.64583333333)</f>
        <v>43917.64583</v>
      </c>
      <c r="B2023" s="1">
        <f>IFERROR(__xludf.DUMMYFUNCTION("""COMPUTED_VALUE"""),17100.0)</f>
        <v>17100</v>
      </c>
      <c r="C2023" s="1">
        <f>IFERROR(__xludf.DUMMYFUNCTION("""COMPUTED_VALUE"""),17700.0)</f>
        <v>17700</v>
      </c>
      <c r="D2023" s="1">
        <f>IFERROR(__xludf.DUMMYFUNCTION("""COMPUTED_VALUE"""),15800.0)</f>
        <v>15800</v>
      </c>
      <c r="E2023" s="1">
        <f>IFERROR(__xludf.DUMMYFUNCTION("""COMPUTED_VALUE"""),16900.0)</f>
        <v>16900</v>
      </c>
      <c r="F2023" s="1">
        <f>IFERROR(__xludf.DUMMYFUNCTION("""COMPUTED_VALUE"""),704969.0)</f>
        <v>704969</v>
      </c>
    </row>
    <row r="2024">
      <c r="A2024" s="2">
        <f>IFERROR(__xludf.DUMMYFUNCTION("""COMPUTED_VALUE"""),43920.64583333333)</f>
        <v>43920.64583</v>
      </c>
      <c r="B2024" s="1">
        <f>IFERROR(__xludf.DUMMYFUNCTION("""COMPUTED_VALUE"""),16800.0)</f>
        <v>16800</v>
      </c>
      <c r="C2024" s="1">
        <f>IFERROR(__xludf.DUMMYFUNCTION("""COMPUTED_VALUE"""),20250.0)</f>
        <v>20250</v>
      </c>
      <c r="D2024" s="1">
        <f>IFERROR(__xludf.DUMMYFUNCTION("""COMPUTED_VALUE"""),16250.0)</f>
        <v>16250</v>
      </c>
      <c r="E2024" s="1">
        <f>IFERROR(__xludf.DUMMYFUNCTION("""COMPUTED_VALUE"""),18750.0)</f>
        <v>18750</v>
      </c>
      <c r="F2024" s="1">
        <f>IFERROR(__xludf.DUMMYFUNCTION("""COMPUTED_VALUE"""),1846259.0)</f>
        <v>1846259</v>
      </c>
    </row>
    <row r="2025">
      <c r="A2025" s="2">
        <f>IFERROR(__xludf.DUMMYFUNCTION("""COMPUTED_VALUE"""),43921.64583333333)</f>
        <v>43921.64583</v>
      </c>
      <c r="B2025" s="1">
        <f>IFERROR(__xludf.DUMMYFUNCTION("""COMPUTED_VALUE"""),19250.0)</f>
        <v>19250</v>
      </c>
      <c r="C2025" s="1">
        <f>IFERROR(__xludf.DUMMYFUNCTION("""COMPUTED_VALUE"""),20550.0)</f>
        <v>20550</v>
      </c>
      <c r="D2025" s="1">
        <f>IFERROR(__xludf.DUMMYFUNCTION("""COMPUTED_VALUE"""),18400.0)</f>
        <v>18400</v>
      </c>
      <c r="E2025" s="1">
        <f>IFERROR(__xludf.DUMMYFUNCTION("""COMPUTED_VALUE"""),20550.0)</f>
        <v>20550</v>
      </c>
      <c r="F2025" s="1">
        <f>IFERROR(__xludf.DUMMYFUNCTION("""COMPUTED_VALUE"""),1660237.0)</f>
        <v>1660237</v>
      </c>
    </row>
    <row r="2026">
      <c r="A2026" s="2">
        <f>IFERROR(__xludf.DUMMYFUNCTION("""COMPUTED_VALUE"""),43922.64583333333)</f>
        <v>43922.64583</v>
      </c>
      <c r="B2026" s="1">
        <f>IFERROR(__xludf.DUMMYFUNCTION("""COMPUTED_VALUE"""),23800.0)</f>
        <v>23800</v>
      </c>
      <c r="C2026" s="1">
        <f>IFERROR(__xludf.DUMMYFUNCTION("""COMPUTED_VALUE"""),26650.0)</f>
        <v>26650</v>
      </c>
      <c r="D2026" s="1">
        <f>IFERROR(__xludf.DUMMYFUNCTION("""COMPUTED_VALUE"""),20650.0)</f>
        <v>20650</v>
      </c>
      <c r="E2026" s="1">
        <f>IFERROR(__xludf.DUMMYFUNCTION("""COMPUTED_VALUE"""),21250.0)</f>
        <v>21250</v>
      </c>
      <c r="F2026" s="1">
        <f>IFERROR(__xludf.DUMMYFUNCTION("""COMPUTED_VALUE"""),5073465.0)</f>
        <v>5073465</v>
      </c>
    </row>
    <row r="2027">
      <c r="A2027" s="2">
        <f>IFERROR(__xludf.DUMMYFUNCTION("""COMPUTED_VALUE"""),43923.64583333333)</f>
        <v>43923.64583</v>
      </c>
      <c r="B2027" s="1">
        <f>IFERROR(__xludf.DUMMYFUNCTION("""COMPUTED_VALUE"""),22450.0)</f>
        <v>22450</v>
      </c>
      <c r="C2027" s="1">
        <f>IFERROR(__xludf.DUMMYFUNCTION("""COMPUTED_VALUE"""),25600.0)</f>
        <v>25600</v>
      </c>
      <c r="D2027" s="1">
        <f>IFERROR(__xludf.DUMMYFUNCTION("""COMPUTED_VALUE"""),21450.0)</f>
        <v>21450</v>
      </c>
      <c r="E2027" s="1">
        <f>IFERROR(__xludf.DUMMYFUNCTION("""COMPUTED_VALUE"""),22950.0)</f>
        <v>22950</v>
      </c>
      <c r="F2027" s="1">
        <f>IFERROR(__xludf.DUMMYFUNCTION("""COMPUTED_VALUE"""),3656156.0)</f>
        <v>3656156</v>
      </c>
    </row>
    <row r="2028">
      <c r="A2028" s="2">
        <f>IFERROR(__xludf.DUMMYFUNCTION("""COMPUTED_VALUE"""),43924.64583333333)</f>
        <v>43924.64583</v>
      </c>
      <c r="B2028" s="1">
        <f>IFERROR(__xludf.DUMMYFUNCTION("""COMPUTED_VALUE"""),22800.0)</f>
        <v>22800</v>
      </c>
      <c r="C2028" s="1">
        <f>IFERROR(__xludf.DUMMYFUNCTION("""COMPUTED_VALUE"""),23150.0)</f>
        <v>23150</v>
      </c>
      <c r="D2028" s="1">
        <f>IFERROR(__xludf.DUMMYFUNCTION("""COMPUTED_VALUE"""),21700.0)</f>
        <v>21700</v>
      </c>
      <c r="E2028" s="1">
        <f>IFERROR(__xludf.DUMMYFUNCTION("""COMPUTED_VALUE"""),22650.0)</f>
        <v>22650</v>
      </c>
      <c r="F2028" s="1">
        <f>IFERROR(__xludf.DUMMYFUNCTION("""COMPUTED_VALUE"""),768773.0)</f>
        <v>768773</v>
      </c>
    </row>
    <row r="2029">
      <c r="A2029" s="2">
        <f>IFERROR(__xludf.DUMMYFUNCTION("""COMPUTED_VALUE"""),43927.64583333333)</f>
        <v>43927.64583</v>
      </c>
      <c r="B2029" s="1">
        <f>IFERROR(__xludf.DUMMYFUNCTION("""COMPUTED_VALUE"""),22650.0)</f>
        <v>22650</v>
      </c>
      <c r="C2029" s="1">
        <f>IFERROR(__xludf.DUMMYFUNCTION("""COMPUTED_VALUE"""),24350.0)</f>
        <v>24350</v>
      </c>
      <c r="D2029" s="1">
        <f>IFERROR(__xludf.DUMMYFUNCTION("""COMPUTED_VALUE"""),22650.0)</f>
        <v>22650</v>
      </c>
      <c r="E2029" s="1">
        <f>IFERROR(__xludf.DUMMYFUNCTION("""COMPUTED_VALUE"""),23950.0)</f>
        <v>23950</v>
      </c>
      <c r="F2029" s="1">
        <f>IFERROR(__xludf.DUMMYFUNCTION("""COMPUTED_VALUE"""),1402304.0)</f>
        <v>1402304</v>
      </c>
    </row>
    <row r="2030">
      <c r="A2030" s="2">
        <f>IFERROR(__xludf.DUMMYFUNCTION("""COMPUTED_VALUE"""),43928.64583333333)</f>
        <v>43928.64583</v>
      </c>
      <c r="B2030" s="1">
        <f>IFERROR(__xludf.DUMMYFUNCTION("""COMPUTED_VALUE"""),24350.0)</f>
        <v>24350</v>
      </c>
      <c r="C2030" s="1">
        <f>IFERROR(__xludf.DUMMYFUNCTION("""COMPUTED_VALUE"""),24750.0)</f>
        <v>24750</v>
      </c>
      <c r="D2030" s="1">
        <f>IFERROR(__xludf.DUMMYFUNCTION("""COMPUTED_VALUE"""),23100.0)</f>
        <v>23100</v>
      </c>
      <c r="E2030" s="1">
        <f>IFERROR(__xludf.DUMMYFUNCTION("""COMPUTED_VALUE"""),24000.0)</f>
        <v>24000</v>
      </c>
      <c r="F2030" s="1">
        <f>IFERROR(__xludf.DUMMYFUNCTION("""COMPUTED_VALUE"""),851521.0)</f>
        <v>851521</v>
      </c>
    </row>
    <row r="2031">
      <c r="A2031" s="2">
        <f>IFERROR(__xludf.DUMMYFUNCTION("""COMPUTED_VALUE"""),43929.64583333333)</f>
        <v>43929.64583</v>
      </c>
      <c r="B2031" s="1">
        <f>IFERROR(__xludf.DUMMYFUNCTION("""COMPUTED_VALUE"""),23800.0)</f>
        <v>23800</v>
      </c>
      <c r="C2031" s="1">
        <f>IFERROR(__xludf.DUMMYFUNCTION("""COMPUTED_VALUE"""),24500.0)</f>
        <v>24500</v>
      </c>
      <c r="D2031" s="1">
        <f>IFERROR(__xludf.DUMMYFUNCTION("""COMPUTED_VALUE"""),22800.0)</f>
        <v>22800</v>
      </c>
      <c r="E2031" s="1">
        <f>IFERROR(__xludf.DUMMYFUNCTION("""COMPUTED_VALUE"""),24400.0)</f>
        <v>24400</v>
      </c>
      <c r="F2031" s="1">
        <f>IFERROR(__xludf.DUMMYFUNCTION("""COMPUTED_VALUE"""),864688.0)</f>
        <v>864688</v>
      </c>
    </row>
    <row r="2032">
      <c r="A2032" s="2">
        <f>IFERROR(__xludf.DUMMYFUNCTION("""COMPUTED_VALUE"""),43930.64583333333)</f>
        <v>43930.64583</v>
      </c>
      <c r="B2032" s="1">
        <f>IFERROR(__xludf.DUMMYFUNCTION("""COMPUTED_VALUE"""),23800.0)</f>
        <v>23800</v>
      </c>
      <c r="C2032" s="1">
        <f>IFERROR(__xludf.DUMMYFUNCTION("""COMPUTED_VALUE"""),24300.0)</f>
        <v>24300</v>
      </c>
      <c r="D2032" s="1">
        <f>IFERROR(__xludf.DUMMYFUNCTION("""COMPUTED_VALUE"""),22950.0)</f>
        <v>22950</v>
      </c>
      <c r="E2032" s="1">
        <f>IFERROR(__xludf.DUMMYFUNCTION("""COMPUTED_VALUE"""),24100.0)</f>
        <v>24100</v>
      </c>
      <c r="F2032" s="1">
        <f>IFERROR(__xludf.DUMMYFUNCTION("""COMPUTED_VALUE"""),853764.0)</f>
        <v>853764</v>
      </c>
    </row>
    <row r="2033">
      <c r="A2033" s="2">
        <f>IFERROR(__xludf.DUMMYFUNCTION("""COMPUTED_VALUE"""),43931.64583333333)</f>
        <v>43931.64583</v>
      </c>
      <c r="B2033" s="1">
        <f>IFERROR(__xludf.DUMMYFUNCTION("""COMPUTED_VALUE"""),23850.0)</f>
        <v>23850</v>
      </c>
      <c r="C2033" s="1">
        <f>IFERROR(__xludf.DUMMYFUNCTION("""COMPUTED_VALUE"""),25000.0)</f>
        <v>25000</v>
      </c>
      <c r="D2033" s="1">
        <f>IFERROR(__xludf.DUMMYFUNCTION("""COMPUTED_VALUE"""),21800.0)</f>
        <v>21800</v>
      </c>
      <c r="E2033" s="1">
        <f>IFERROR(__xludf.DUMMYFUNCTION("""COMPUTED_VALUE"""),22850.0)</f>
        <v>22850</v>
      </c>
      <c r="F2033" s="1">
        <f>IFERROR(__xludf.DUMMYFUNCTION("""COMPUTED_VALUE"""),1255329.0)</f>
        <v>1255329</v>
      </c>
    </row>
    <row r="2034">
      <c r="A2034" s="2">
        <f>IFERROR(__xludf.DUMMYFUNCTION("""COMPUTED_VALUE"""),43934.64583333333)</f>
        <v>43934.64583</v>
      </c>
      <c r="B2034" s="1">
        <f>IFERROR(__xludf.DUMMYFUNCTION("""COMPUTED_VALUE"""),22850.0)</f>
        <v>22850</v>
      </c>
      <c r="C2034" s="1">
        <f>IFERROR(__xludf.DUMMYFUNCTION("""COMPUTED_VALUE"""),23800.0)</f>
        <v>23800</v>
      </c>
      <c r="D2034" s="1">
        <f>IFERROR(__xludf.DUMMYFUNCTION("""COMPUTED_VALUE"""),21800.0)</f>
        <v>21800</v>
      </c>
      <c r="E2034" s="1">
        <f>IFERROR(__xludf.DUMMYFUNCTION("""COMPUTED_VALUE"""),21800.0)</f>
        <v>21800</v>
      </c>
      <c r="F2034" s="1">
        <f>IFERROR(__xludf.DUMMYFUNCTION("""COMPUTED_VALUE"""),466766.0)</f>
        <v>466766</v>
      </c>
    </row>
    <row r="2035">
      <c r="A2035" s="2">
        <f>IFERROR(__xludf.DUMMYFUNCTION("""COMPUTED_VALUE"""),43935.64583333333)</f>
        <v>43935.64583</v>
      </c>
      <c r="B2035" s="1">
        <f>IFERROR(__xludf.DUMMYFUNCTION("""COMPUTED_VALUE"""),21950.0)</f>
        <v>21950</v>
      </c>
      <c r="C2035" s="1">
        <f>IFERROR(__xludf.DUMMYFUNCTION("""COMPUTED_VALUE"""),22650.0)</f>
        <v>22650</v>
      </c>
      <c r="D2035" s="1">
        <f>IFERROR(__xludf.DUMMYFUNCTION("""COMPUTED_VALUE"""),21950.0)</f>
        <v>21950</v>
      </c>
      <c r="E2035" s="1">
        <f>IFERROR(__xludf.DUMMYFUNCTION("""COMPUTED_VALUE"""),22300.0)</f>
        <v>22300</v>
      </c>
      <c r="F2035" s="1">
        <f>IFERROR(__xludf.DUMMYFUNCTION("""COMPUTED_VALUE"""),172491.0)</f>
        <v>172491</v>
      </c>
    </row>
    <row r="2036">
      <c r="A2036" s="2">
        <f>IFERROR(__xludf.DUMMYFUNCTION("""COMPUTED_VALUE"""),43937.64583333333)</f>
        <v>43937.64583</v>
      </c>
      <c r="B2036" s="1">
        <f>IFERROR(__xludf.DUMMYFUNCTION("""COMPUTED_VALUE"""),22350.0)</f>
        <v>22350</v>
      </c>
      <c r="C2036" s="1">
        <f>IFERROR(__xludf.DUMMYFUNCTION("""COMPUTED_VALUE"""),23050.0)</f>
        <v>23050</v>
      </c>
      <c r="D2036" s="1">
        <f>IFERROR(__xludf.DUMMYFUNCTION("""COMPUTED_VALUE"""),21550.0)</f>
        <v>21550</v>
      </c>
      <c r="E2036" s="1">
        <f>IFERROR(__xludf.DUMMYFUNCTION("""COMPUTED_VALUE"""),22750.0)</f>
        <v>22750</v>
      </c>
      <c r="F2036" s="1">
        <f>IFERROR(__xludf.DUMMYFUNCTION("""COMPUTED_VALUE"""),245801.0)</f>
        <v>245801</v>
      </c>
    </row>
    <row r="2037">
      <c r="A2037" s="2">
        <f>IFERROR(__xludf.DUMMYFUNCTION("""COMPUTED_VALUE"""),43938.64583333333)</f>
        <v>43938.64583</v>
      </c>
      <c r="B2037" s="1">
        <f>IFERROR(__xludf.DUMMYFUNCTION("""COMPUTED_VALUE"""),22900.0)</f>
        <v>22900</v>
      </c>
      <c r="C2037" s="1">
        <f>IFERROR(__xludf.DUMMYFUNCTION("""COMPUTED_VALUE"""),23800.0)</f>
        <v>23800</v>
      </c>
      <c r="D2037" s="1">
        <f>IFERROR(__xludf.DUMMYFUNCTION("""COMPUTED_VALUE"""),22550.0)</f>
        <v>22550</v>
      </c>
      <c r="E2037" s="1">
        <f>IFERROR(__xludf.DUMMYFUNCTION("""COMPUTED_VALUE"""),22800.0)</f>
        <v>22800</v>
      </c>
      <c r="F2037" s="1">
        <f>IFERROR(__xludf.DUMMYFUNCTION("""COMPUTED_VALUE"""),673973.0)</f>
        <v>673973</v>
      </c>
    </row>
    <row r="2038">
      <c r="A2038" s="2">
        <f>IFERROR(__xludf.DUMMYFUNCTION("""COMPUTED_VALUE"""),43941.64583333333)</f>
        <v>43941.64583</v>
      </c>
      <c r="B2038" s="1">
        <f>IFERROR(__xludf.DUMMYFUNCTION("""COMPUTED_VALUE"""),22950.0)</f>
        <v>22950</v>
      </c>
      <c r="C2038" s="1">
        <f>IFERROR(__xludf.DUMMYFUNCTION("""COMPUTED_VALUE"""),23450.0)</f>
        <v>23450</v>
      </c>
      <c r="D2038" s="1">
        <f>IFERROR(__xludf.DUMMYFUNCTION("""COMPUTED_VALUE"""),22600.0)</f>
        <v>22600</v>
      </c>
      <c r="E2038" s="1">
        <f>IFERROR(__xludf.DUMMYFUNCTION("""COMPUTED_VALUE"""),23200.0)</f>
        <v>23200</v>
      </c>
      <c r="F2038" s="1">
        <f>IFERROR(__xludf.DUMMYFUNCTION("""COMPUTED_VALUE"""),263692.0)</f>
        <v>263692</v>
      </c>
    </row>
    <row r="2039">
      <c r="A2039" s="2">
        <f>IFERROR(__xludf.DUMMYFUNCTION("""COMPUTED_VALUE"""),43942.64583333333)</f>
        <v>43942.64583</v>
      </c>
      <c r="B2039" s="1">
        <f>IFERROR(__xludf.DUMMYFUNCTION("""COMPUTED_VALUE"""),23150.0)</f>
        <v>23150</v>
      </c>
      <c r="C2039" s="1">
        <f>IFERROR(__xludf.DUMMYFUNCTION("""COMPUTED_VALUE"""),23650.0)</f>
        <v>23650</v>
      </c>
      <c r="D2039" s="1">
        <f>IFERROR(__xludf.DUMMYFUNCTION("""COMPUTED_VALUE"""),21300.0)</f>
        <v>21300</v>
      </c>
      <c r="E2039" s="1">
        <f>IFERROR(__xludf.DUMMYFUNCTION("""COMPUTED_VALUE"""),22250.0)</f>
        <v>22250</v>
      </c>
      <c r="F2039" s="1">
        <f>IFERROR(__xludf.DUMMYFUNCTION("""COMPUTED_VALUE"""),467371.0)</f>
        <v>467371</v>
      </c>
    </row>
    <row r="2040">
      <c r="A2040" s="2">
        <f>IFERROR(__xludf.DUMMYFUNCTION("""COMPUTED_VALUE"""),43943.64583333333)</f>
        <v>43943.64583</v>
      </c>
      <c r="B2040" s="1">
        <f>IFERROR(__xludf.DUMMYFUNCTION("""COMPUTED_VALUE"""),22050.0)</f>
        <v>22050</v>
      </c>
      <c r="C2040" s="1">
        <f>IFERROR(__xludf.DUMMYFUNCTION("""COMPUTED_VALUE"""),22450.0)</f>
        <v>22450</v>
      </c>
      <c r="D2040" s="1">
        <f>IFERROR(__xludf.DUMMYFUNCTION("""COMPUTED_VALUE"""),21700.0)</f>
        <v>21700</v>
      </c>
      <c r="E2040" s="1">
        <f>IFERROR(__xludf.DUMMYFUNCTION("""COMPUTED_VALUE"""),22350.0)</f>
        <v>22350</v>
      </c>
      <c r="F2040" s="1">
        <f>IFERROR(__xludf.DUMMYFUNCTION("""COMPUTED_VALUE"""),179194.0)</f>
        <v>179194</v>
      </c>
    </row>
    <row r="2041">
      <c r="A2041" s="2">
        <f>IFERROR(__xludf.DUMMYFUNCTION("""COMPUTED_VALUE"""),43944.64583333333)</f>
        <v>43944.64583</v>
      </c>
      <c r="B2041" s="1">
        <f>IFERROR(__xludf.DUMMYFUNCTION("""COMPUTED_VALUE"""),22550.0)</f>
        <v>22550</v>
      </c>
      <c r="C2041" s="1">
        <f>IFERROR(__xludf.DUMMYFUNCTION("""COMPUTED_VALUE"""),23600.0)</f>
        <v>23600</v>
      </c>
      <c r="D2041" s="1">
        <f>IFERROR(__xludf.DUMMYFUNCTION("""COMPUTED_VALUE"""),22400.0)</f>
        <v>22400</v>
      </c>
      <c r="E2041" s="1">
        <f>IFERROR(__xludf.DUMMYFUNCTION("""COMPUTED_VALUE"""),23300.0)</f>
        <v>23300</v>
      </c>
      <c r="F2041" s="1">
        <f>IFERROR(__xludf.DUMMYFUNCTION("""COMPUTED_VALUE"""),483160.0)</f>
        <v>483160</v>
      </c>
    </row>
    <row r="2042">
      <c r="A2042" s="2">
        <f>IFERROR(__xludf.DUMMYFUNCTION("""COMPUTED_VALUE"""),43945.64583333333)</f>
        <v>43945.64583</v>
      </c>
      <c r="B2042" s="1">
        <f>IFERROR(__xludf.DUMMYFUNCTION("""COMPUTED_VALUE"""),23400.0)</f>
        <v>23400</v>
      </c>
      <c r="C2042" s="1">
        <f>IFERROR(__xludf.DUMMYFUNCTION("""COMPUTED_VALUE"""),23700.0)</f>
        <v>23700</v>
      </c>
      <c r="D2042" s="1">
        <f>IFERROR(__xludf.DUMMYFUNCTION("""COMPUTED_VALUE"""),22550.0)</f>
        <v>22550</v>
      </c>
      <c r="E2042" s="1">
        <f>IFERROR(__xludf.DUMMYFUNCTION("""COMPUTED_VALUE"""),22900.0)</f>
        <v>22900</v>
      </c>
      <c r="F2042" s="1">
        <f>IFERROR(__xludf.DUMMYFUNCTION("""COMPUTED_VALUE"""),354583.0)</f>
        <v>354583</v>
      </c>
    </row>
    <row r="2043">
      <c r="A2043" s="2">
        <f>IFERROR(__xludf.DUMMYFUNCTION("""COMPUTED_VALUE"""),43948.64583333333)</f>
        <v>43948.64583</v>
      </c>
      <c r="B2043" s="1">
        <f>IFERROR(__xludf.DUMMYFUNCTION("""COMPUTED_VALUE"""),23400.0)</f>
        <v>23400</v>
      </c>
      <c r="C2043" s="1">
        <f>IFERROR(__xludf.DUMMYFUNCTION("""COMPUTED_VALUE"""),24850.0)</f>
        <v>24850</v>
      </c>
      <c r="D2043" s="1">
        <f>IFERROR(__xludf.DUMMYFUNCTION("""COMPUTED_VALUE"""),23300.0)</f>
        <v>23300</v>
      </c>
      <c r="E2043" s="1">
        <f>IFERROR(__xludf.DUMMYFUNCTION("""COMPUTED_VALUE"""),23900.0)</f>
        <v>23900</v>
      </c>
      <c r="F2043" s="1">
        <f>IFERROR(__xludf.DUMMYFUNCTION("""COMPUTED_VALUE"""),1705582.0)</f>
        <v>1705582</v>
      </c>
    </row>
    <row r="2044">
      <c r="A2044" s="2">
        <f>IFERROR(__xludf.DUMMYFUNCTION("""COMPUTED_VALUE"""),43949.64583333333)</f>
        <v>43949.64583</v>
      </c>
      <c r="B2044" s="1">
        <f>IFERROR(__xludf.DUMMYFUNCTION("""COMPUTED_VALUE"""),24200.0)</f>
        <v>24200</v>
      </c>
      <c r="C2044" s="1">
        <f>IFERROR(__xludf.DUMMYFUNCTION("""COMPUTED_VALUE"""),25450.0)</f>
        <v>25450</v>
      </c>
      <c r="D2044" s="1">
        <f>IFERROR(__xludf.DUMMYFUNCTION("""COMPUTED_VALUE"""),22750.0)</f>
        <v>22750</v>
      </c>
      <c r="E2044" s="1">
        <f>IFERROR(__xludf.DUMMYFUNCTION("""COMPUTED_VALUE"""),25200.0)</f>
        <v>25200</v>
      </c>
      <c r="F2044" s="1">
        <f>IFERROR(__xludf.DUMMYFUNCTION("""COMPUTED_VALUE"""),2300302.0)</f>
        <v>2300302</v>
      </c>
    </row>
    <row r="2045">
      <c r="A2045" s="2">
        <f>IFERROR(__xludf.DUMMYFUNCTION("""COMPUTED_VALUE"""),43950.64583333333)</f>
        <v>43950.64583</v>
      </c>
      <c r="B2045" s="1">
        <f>IFERROR(__xludf.DUMMYFUNCTION("""COMPUTED_VALUE"""),24950.0)</f>
        <v>24950</v>
      </c>
      <c r="C2045" s="1">
        <f>IFERROR(__xludf.DUMMYFUNCTION("""COMPUTED_VALUE"""),27400.0)</f>
        <v>27400</v>
      </c>
      <c r="D2045" s="1">
        <f>IFERROR(__xludf.DUMMYFUNCTION("""COMPUTED_VALUE"""),24250.0)</f>
        <v>24250</v>
      </c>
      <c r="E2045" s="1">
        <f>IFERROR(__xludf.DUMMYFUNCTION("""COMPUTED_VALUE"""),24350.0)</f>
        <v>24350</v>
      </c>
      <c r="F2045" s="1">
        <f>IFERROR(__xludf.DUMMYFUNCTION("""COMPUTED_VALUE"""),6420366.0)</f>
        <v>6420366</v>
      </c>
    </row>
    <row r="2046">
      <c r="A2046" s="2">
        <f>IFERROR(__xludf.DUMMYFUNCTION("""COMPUTED_VALUE"""),43955.64583333333)</f>
        <v>43955.64583</v>
      </c>
      <c r="B2046" s="1">
        <f>IFERROR(__xludf.DUMMYFUNCTION("""COMPUTED_VALUE"""),24600.0)</f>
        <v>24600</v>
      </c>
      <c r="C2046" s="1">
        <f>IFERROR(__xludf.DUMMYFUNCTION("""COMPUTED_VALUE"""),25000.0)</f>
        <v>25000</v>
      </c>
      <c r="D2046" s="1">
        <f>IFERROR(__xludf.DUMMYFUNCTION("""COMPUTED_VALUE"""),23350.0)</f>
        <v>23350</v>
      </c>
      <c r="E2046" s="1">
        <f>IFERROR(__xludf.DUMMYFUNCTION("""COMPUTED_VALUE"""),24400.0)</f>
        <v>24400</v>
      </c>
      <c r="F2046" s="1">
        <f>IFERROR(__xludf.DUMMYFUNCTION("""COMPUTED_VALUE"""),1765212.0)</f>
        <v>1765212</v>
      </c>
    </row>
    <row r="2047">
      <c r="A2047" s="2">
        <f>IFERROR(__xludf.DUMMYFUNCTION("""COMPUTED_VALUE"""),43957.64583333333)</f>
        <v>43957.64583</v>
      </c>
      <c r="B2047" s="1">
        <f>IFERROR(__xludf.DUMMYFUNCTION("""COMPUTED_VALUE"""),25200.0)</f>
        <v>25200</v>
      </c>
      <c r="C2047" s="1">
        <f>IFERROR(__xludf.DUMMYFUNCTION("""COMPUTED_VALUE"""),26200.0)</f>
        <v>26200</v>
      </c>
      <c r="D2047" s="1">
        <f>IFERROR(__xludf.DUMMYFUNCTION("""COMPUTED_VALUE"""),23650.0)</f>
        <v>23650</v>
      </c>
      <c r="E2047" s="1">
        <f>IFERROR(__xludf.DUMMYFUNCTION("""COMPUTED_VALUE"""),23650.0)</f>
        <v>23650</v>
      </c>
      <c r="F2047" s="1">
        <f>IFERROR(__xludf.DUMMYFUNCTION("""COMPUTED_VALUE"""),1269356.0)</f>
        <v>1269356</v>
      </c>
    </row>
    <row r="2048">
      <c r="A2048" s="2">
        <f>IFERROR(__xludf.DUMMYFUNCTION("""COMPUTED_VALUE"""),43958.64583333333)</f>
        <v>43958.64583</v>
      </c>
      <c r="B2048" s="1">
        <f>IFERROR(__xludf.DUMMYFUNCTION("""COMPUTED_VALUE"""),23500.0)</f>
        <v>23500</v>
      </c>
      <c r="C2048" s="1">
        <f>IFERROR(__xludf.DUMMYFUNCTION("""COMPUTED_VALUE"""),23950.0)</f>
        <v>23950</v>
      </c>
      <c r="D2048" s="1">
        <f>IFERROR(__xludf.DUMMYFUNCTION("""COMPUTED_VALUE"""),23200.0)</f>
        <v>23200</v>
      </c>
      <c r="E2048" s="1">
        <f>IFERROR(__xludf.DUMMYFUNCTION("""COMPUTED_VALUE"""),23600.0)</f>
        <v>23600</v>
      </c>
      <c r="F2048" s="1">
        <f>IFERROR(__xludf.DUMMYFUNCTION("""COMPUTED_VALUE"""),221183.0)</f>
        <v>221183</v>
      </c>
    </row>
    <row r="2049">
      <c r="A2049" s="2">
        <f>IFERROR(__xludf.DUMMYFUNCTION("""COMPUTED_VALUE"""),43959.64583333333)</f>
        <v>43959.64583</v>
      </c>
      <c r="B2049" s="1">
        <f>IFERROR(__xludf.DUMMYFUNCTION("""COMPUTED_VALUE"""),23600.0)</f>
        <v>23600</v>
      </c>
      <c r="C2049" s="1">
        <f>IFERROR(__xludf.DUMMYFUNCTION("""COMPUTED_VALUE"""),23800.0)</f>
        <v>23800</v>
      </c>
      <c r="D2049" s="1">
        <f>IFERROR(__xludf.DUMMYFUNCTION("""COMPUTED_VALUE"""),23400.0)</f>
        <v>23400</v>
      </c>
      <c r="E2049" s="1">
        <f>IFERROR(__xludf.DUMMYFUNCTION("""COMPUTED_VALUE"""),23400.0)</f>
        <v>23400</v>
      </c>
      <c r="F2049" s="1">
        <f>IFERROR(__xludf.DUMMYFUNCTION("""COMPUTED_VALUE"""),175249.0)</f>
        <v>175249</v>
      </c>
    </row>
    <row r="2050">
      <c r="A2050" s="2">
        <f>IFERROR(__xludf.DUMMYFUNCTION("""COMPUTED_VALUE"""),43962.64583333333)</f>
        <v>43962.64583</v>
      </c>
      <c r="B2050" s="1">
        <f>IFERROR(__xludf.DUMMYFUNCTION("""COMPUTED_VALUE"""),23550.0)</f>
        <v>23550</v>
      </c>
      <c r="C2050" s="1">
        <f>IFERROR(__xludf.DUMMYFUNCTION("""COMPUTED_VALUE"""),24500.0)</f>
        <v>24500</v>
      </c>
      <c r="D2050" s="1">
        <f>IFERROR(__xludf.DUMMYFUNCTION("""COMPUTED_VALUE"""),23300.0)</f>
        <v>23300</v>
      </c>
      <c r="E2050" s="1">
        <f>IFERROR(__xludf.DUMMYFUNCTION("""COMPUTED_VALUE"""),23650.0)</f>
        <v>23650</v>
      </c>
      <c r="F2050" s="1">
        <f>IFERROR(__xludf.DUMMYFUNCTION("""COMPUTED_VALUE"""),597738.0)</f>
        <v>597738</v>
      </c>
    </row>
    <row r="2051">
      <c r="A2051" s="2">
        <f>IFERROR(__xludf.DUMMYFUNCTION("""COMPUTED_VALUE"""),43963.64583333333)</f>
        <v>43963.64583</v>
      </c>
      <c r="B2051" s="1">
        <f>IFERROR(__xludf.DUMMYFUNCTION("""COMPUTED_VALUE"""),23600.0)</f>
        <v>23600</v>
      </c>
      <c r="C2051" s="1">
        <f>IFERROR(__xludf.DUMMYFUNCTION("""COMPUTED_VALUE"""),24050.0)</f>
        <v>24050</v>
      </c>
      <c r="D2051" s="1">
        <f>IFERROR(__xludf.DUMMYFUNCTION("""COMPUTED_VALUE"""),23250.0)</f>
        <v>23250</v>
      </c>
      <c r="E2051" s="1">
        <f>IFERROR(__xludf.DUMMYFUNCTION("""COMPUTED_VALUE"""),23300.0)</f>
        <v>23300</v>
      </c>
      <c r="F2051" s="1">
        <f>IFERROR(__xludf.DUMMYFUNCTION("""COMPUTED_VALUE"""),226429.0)</f>
        <v>226429</v>
      </c>
    </row>
    <row r="2052">
      <c r="A2052" s="2">
        <f>IFERROR(__xludf.DUMMYFUNCTION("""COMPUTED_VALUE"""),43964.64583333333)</f>
        <v>43964.64583</v>
      </c>
      <c r="B2052" s="1">
        <f>IFERROR(__xludf.DUMMYFUNCTION("""COMPUTED_VALUE"""),23000.0)</f>
        <v>23000</v>
      </c>
      <c r="C2052" s="1">
        <f>IFERROR(__xludf.DUMMYFUNCTION("""COMPUTED_VALUE"""),25200.0)</f>
        <v>25200</v>
      </c>
      <c r="D2052" s="1">
        <f>IFERROR(__xludf.DUMMYFUNCTION("""COMPUTED_VALUE"""),22500.0)</f>
        <v>22500</v>
      </c>
      <c r="E2052" s="1">
        <f>IFERROR(__xludf.DUMMYFUNCTION("""COMPUTED_VALUE"""),23350.0)</f>
        <v>23350</v>
      </c>
      <c r="F2052" s="1">
        <f>IFERROR(__xludf.DUMMYFUNCTION("""COMPUTED_VALUE"""),760253.0)</f>
        <v>760253</v>
      </c>
    </row>
    <row r="2053">
      <c r="A2053" s="2">
        <f>IFERROR(__xludf.DUMMYFUNCTION("""COMPUTED_VALUE"""),43965.64583333333)</f>
        <v>43965.64583</v>
      </c>
      <c r="B2053" s="1">
        <f>IFERROR(__xludf.DUMMYFUNCTION("""COMPUTED_VALUE"""),23100.0)</f>
        <v>23100</v>
      </c>
      <c r="C2053" s="1">
        <f>IFERROR(__xludf.DUMMYFUNCTION("""COMPUTED_VALUE"""),23750.0)</f>
        <v>23750</v>
      </c>
      <c r="D2053" s="1">
        <f>IFERROR(__xludf.DUMMYFUNCTION("""COMPUTED_VALUE"""),23000.0)</f>
        <v>23000</v>
      </c>
      <c r="E2053" s="1">
        <f>IFERROR(__xludf.DUMMYFUNCTION("""COMPUTED_VALUE"""),23300.0)</f>
        <v>23300</v>
      </c>
      <c r="F2053" s="1">
        <f>IFERROR(__xludf.DUMMYFUNCTION("""COMPUTED_VALUE"""),192517.0)</f>
        <v>192517</v>
      </c>
    </row>
    <row r="2054">
      <c r="A2054" s="2">
        <f>IFERROR(__xludf.DUMMYFUNCTION("""COMPUTED_VALUE"""),43966.64583333333)</f>
        <v>43966.64583</v>
      </c>
      <c r="B2054" s="1">
        <f>IFERROR(__xludf.DUMMYFUNCTION("""COMPUTED_VALUE"""),23500.0)</f>
        <v>23500</v>
      </c>
      <c r="C2054" s="1">
        <f>IFERROR(__xludf.DUMMYFUNCTION("""COMPUTED_VALUE"""),23700.0)</f>
        <v>23700</v>
      </c>
      <c r="D2054" s="1">
        <f>IFERROR(__xludf.DUMMYFUNCTION("""COMPUTED_VALUE"""),23100.0)</f>
        <v>23100</v>
      </c>
      <c r="E2054" s="1">
        <f>IFERROR(__xludf.DUMMYFUNCTION("""COMPUTED_VALUE"""),23350.0)</f>
        <v>23350</v>
      </c>
      <c r="F2054" s="1">
        <f>IFERROR(__xludf.DUMMYFUNCTION("""COMPUTED_VALUE"""),174634.0)</f>
        <v>174634</v>
      </c>
    </row>
    <row r="2055">
      <c r="A2055" s="2">
        <f>IFERROR(__xludf.DUMMYFUNCTION("""COMPUTED_VALUE"""),43969.64583333333)</f>
        <v>43969.64583</v>
      </c>
      <c r="B2055" s="1">
        <f>IFERROR(__xludf.DUMMYFUNCTION("""COMPUTED_VALUE"""),23100.0)</f>
        <v>23100</v>
      </c>
      <c r="C2055" s="1">
        <f>IFERROR(__xludf.DUMMYFUNCTION("""COMPUTED_VALUE"""),23200.0)</f>
        <v>23200</v>
      </c>
      <c r="D2055" s="1">
        <f>IFERROR(__xludf.DUMMYFUNCTION("""COMPUTED_VALUE"""),22500.0)</f>
        <v>22500</v>
      </c>
      <c r="E2055" s="1">
        <f>IFERROR(__xludf.DUMMYFUNCTION("""COMPUTED_VALUE"""),22500.0)</f>
        <v>22500</v>
      </c>
      <c r="F2055" s="1">
        <f>IFERROR(__xludf.DUMMYFUNCTION("""COMPUTED_VALUE"""),149723.0)</f>
        <v>149723</v>
      </c>
    </row>
    <row r="2056">
      <c r="A2056" s="2">
        <f>IFERROR(__xludf.DUMMYFUNCTION("""COMPUTED_VALUE"""),43970.64583333333)</f>
        <v>43970.64583</v>
      </c>
      <c r="B2056" s="1">
        <f>IFERROR(__xludf.DUMMYFUNCTION("""COMPUTED_VALUE"""),22700.0)</f>
        <v>22700</v>
      </c>
      <c r="C2056" s="1">
        <f>IFERROR(__xludf.DUMMYFUNCTION("""COMPUTED_VALUE"""),22800.0)</f>
        <v>22800</v>
      </c>
      <c r="D2056" s="1">
        <f>IFERROR(__xludf.DUMMYFUNCTION("""COMPUTED_VALUE"""),22200.0)</f>
        <v>22200</v>
      </c>
      <c r="E2056" s="1">
        <f>IFERROR(__xludf.DUMMYFUNCTION("""COMPUTED_VALUE"""),22400.0)</f>
        <v>22400</v>
      </c>
      <c r="F2056" s="1">
        <f>IFERROR(__xludf.DUMMYFUNCTION("""COMPUTED_VALUE"""),127199.0)</f>
        <v>127199</v>
      </c>
    </row>
    <row r="2057">
      <c r="A2057" s="2">
        <f>IFERROR(__xludf.DUMMYFUNCTION("""COMPUTED_VALUE"""),43971.64583333333)</f>
        <v>43971.64583</v>
      </c>
      <c r="B2057" s="1">
        <f>IFERROR(__xludf.DUMMYFUNCTION("""COMPUTED_VALUE"""),22400.0)</f>
        <v>22400</v>
      </c>
      <c r="C2057" s="1">
        <f>IFERROR(__xludf.DUMMYFUNCTION("""COMPUTED_VALUE"""),22850.0)</f>
        <v>22850</v>
      </c>
      <c r="D2057" s="1">
        <f>IFERROR(__xludf.DUMMYFUNCTION("""COMPUTED_VALUE"""),22300.0)</f>
        <v>22300</v>
      </c>
      <c r="E2057" s="1">
        <f>IFERROR(__xludf.DUMMYFUNCTION("""COMPUTED_VALUE"""),22600.0)</f>
        <v>22600</v>
      </c>
      <c r="F2057" s="1">
        <f>IFERROR(__xludf.DUMMYFUNCTION("""COMPUTED_VALUE"""),76136.0)</f>
        <v>76136</v>
      </c>
    </row>
    <row r="2058">
      <c r="A2058" s="2">
        <f>IFERROR(__xludf.DUMMYFUNCTION("""COMPUTED_VALUE"""),43972.64583333333)</f>
        <v>43972.64583</v>
      </c>
      <c r="B2058" s="1">
        <f>IFERROR(__xludf.DUMMYFUNCTION("""COMPUTED_VALUE"""),22800.0)</f>
        <v>22800</v>
      </c>
      <c r="C2058" s="1">
        <f>IFERROR(__xludf.DUMMYFUNCTION("""COMPUTED_VALUE"""),22850.0)</f>
        <v>22850</v>
      </c>
      <c r="D2058" s="1">
        <f>IFERROR(__xludf.DUMMYFUNCTION("""COMPUTED_VALUE"""),22400.0)</f>
        <v>22400</v>
      </c>
      <c r="E2058" s="1">
        <f>IFERROR(__xludf.DUMMYFUNCTION("""COMPUTED_VALUE"""),22550.0)</f>
        <v>22550</v>
      </c>
      <c r="F2058" s="1">
        <f>IFERROR(__xludf.DUMMYFUNCTION("""COMPUTED_VALUE"""),88989.0)</f>
        <v>88989</v>
      </c>
    </row>
    <row r="2059">
      <c r="A2059" s="2">
        <f>IFERROR(__xludf.DUMMYFUNCTION("""COMPUTED_VALUE"""),43973.64583333333)</f>
        <v>43973.64583</v>
      </c>
      <c r="B2059" s="1">
        <f>IFERROR(__xludf.DUMMYFUNCTION("""COMPUTED_VALUE"""),22550.0)</f>
        <v>22550</v>
      </c>
      <c r="C2059" s="1">
        <f>IFERROR(__xludf.DUMMYFUNCTION("""COMPUTED_VALUE"""),22700.0)</f>
        <v>22700</v>
      </c>
      <c r="D2059" s="1">
        <f>IFERROR(__xludf.DUMMYFUNCTION("""COMPUTED_VALUE"""),21700.0)</f>
        <v>21700</v>
      </c>
      <c r="E2059" s="1">
        <f>IFERROR(__xludf.DUMMYFUNCTION("""COMPUTED_VALUE"""),22000.0)</f>
        <v>22000</v>
      </c>
      <c r="F2059" s="1">
        <f>IFERROR(__xludf.DUMMYFUNCTION("""COMPUTED_VALUE"""),113358.0)</f>
        <v>113358</v>
      </c>
    </row>
    <row r="2060">
      <c r="A2060" s="2">
        <f>IFERROR(__xludf.DUMMYFUNCTION("""COMPUTED_VALUE"""),43976.64583333333)</f>
        <v>43976.64583</v>
      </c>
      <c r="B2060" s="1">
        <f>IFERROR(__xludf.DUMMYFUNCTION("""COMPUTED_VALUE"""),21950.0)</f>
        <v>21950</v>
      </c>
      <c r="C2060" s="1">
        <f>IFERROR(__xludf.DUMMYFUNCTION("""COMPUTED_VALUE"""),22350.0)</f>
        <v>22350</v>
      </c>
      <c r="D2060" s="1">
        <f>IFERROR(__xludf.DUMMYFUNCTION("""COMPUTED_VALUE"""),21800.0)</f>
        <v>21800</v>
      </c>
      <c r="E2060" s="1">
        <f>IFERROR(__xludf.DUMMYFUNCTION("""COMPUTED_VALUE"""),22150.0)</f>
        <v>22150</v>
      </c>
      <c r="F2060" s="1">
        <f>IFERROR(__xludf.DUMMYFUNCTION("""COMPUTED_VALUE"""),61997.0)</f>
        <v>61997</v>
      </c>
    </row>
    <row r="2061">
      <c r="A2061" s="2">
        <f>IFERROR(__xludf.DUMMYFUNCTION("""COMPUTED_VALUE"""),43977.64583333333)</f>
        <v>43977.64583</v>
      </c>
      <c r="B2061" s="1">
        <f>IFERROR(__xludf.DUMMYFUNCTION("""COMPUTED_VALUE"""),22150.0)</f>
        <v>22150</v>
      </c>
      <c r="C2061" s="1">
        <f>IFERROR(__xludf.DUMMYFUNCTION("""COMPUTED_VALUE"""),22350.0)</f>
        <v>22350</v>
      </c>
      <c r="D2061" s="1">
        <f>IFERROR(__xludf.DUMMYFUNCTION("""COMPUTED_VALUE"""),22000.0)</f>
        <v>22000</v>
      </c>
      <c r="E2061" s="1">
        <f>IFERROR(__xludf.DUMMYFUNCTION("""COMPUTED_VALUE"""),22250.0)</f>
        <v>22250</v>
      </c>
      <c r="F2061" s="1">
        <f>IFERROR(__xludf.DUMMYFUNCTION("""COMPUTED_VALUE"""),69785.0)</f>
        <v>69785</v>
      </c>
    </row>
    <row r="2062">
      <c r="A2062" s="2">
        <f>IFERROR(__xludf.DUMMYFUNCTION("""COMPUTED_VALUE"""),43978.64583333333)</f>
        <v>43978.64583</v>
      </c>
      <c r="B2062" s="1">
        <f>IFERROR(__xludf.DUMMYFUNCTION("""COMPUTED_VALUE"""),22100.0)</f>
        <v>22100</v>
      </c>
      <c r="C2062" s="1">
        <f>IFERROR(__xludf.DUMMYFUNCTION("""COMPUTED_VALUE"""),22450.0)</f>
        <v>22450</v>
      </c>
      <c r="D2062" s="1">
        <f>IFERROR(__xludf.DUMMYFUNCTION("""COMPUTED_VALUE"""),22100.0)</f>
        <v>22100</v>
      </c>
      <c r="E2062" s="1">
        <f>IFERROR(__xludf.DUMMYFUNCTION("""COMPUTED_VALUE"""),22200.0)</f>
        <v>22200</v>
      </c>
      <c r="F2062" s="1">
        <f>IFERROR(__xludf.DUMMYFUNCTION("""COMPUTED_VALUE"""),79300.0)</f>
        <v>79300</v>
      </c>
    </row>
    <row r="2063">
      <c r="A2063" s="2">
        <f>IFERROR(__xludf.DUMMYFUNCTION("""COMPUTED_VALUE"""),43979.64583333333)</f>
        <v>43979.64583</v>
      </c>
      <c r="B2063" s="1">
        <f>IFERROR(__xludf.DUMMYFUNCTION("""COMPUTED_VALUE"""),22200.0)</f>
        <v>22200</v>
      </c>
      <c r="C2063" s="1">
        <f>IFERROR(__xludf.DUMMYFUNCTION("""COMPUTED_VALUE"""),22400.0)</f>
        <v>22400</v>
      </c>
      <c r="D2063" s="1">
        <f>IFERROR(__xludf.DUMMYFUNCTION("""COMPUTED_VALUE"""),20900.0)</f>
        <v>20900</v>
      </c>
      <c r="E2063" s="1">
        <f>IFERROR(__xludf.DUMMYFUNCTION("""COMPUTED_VALUE"""),21400.0)</f>
        <v>21400</v>
      </c>
      <c r="F2063" s="1">
        <f>IFERROR(__xludf.DUMMYFUNCTION("""COMPUTED_VALUE"""),146322.0)</f>
        <v>146322</v>
      </c>
    </row>
    <row r="2064">
      <c r="A2064" s="2">
        <f>IFERROR(__xludf.DUMMYFUNCTION("""COMPUTED_VALUE"""),43980.64583333333)</f>
        <v>43980.64583</v>
      </c>
      <c r="B2064" s="1">
        <f>IFERROR(__xludf.DUMMYFUNCTION("""COMPUTED_VALUE"""),21400.0)</f>
        <v>21400</v>
      </c>
      <c r="C2064" s="1">
        <f>IFERROR(__xludf.DUMMYFUNCTION("""COMPUTED_VALUE"""),21500.0)</f>
        <v>21500</v>
      </c>
      <c r="D2064" s="1">
        <f>IFERROR(__xludf.DUMMYFUNCTION("""COMPUTED_VALUE"""),20750.0)</f>
        <v>20750</v>
      </c>
      <c r="E2064" s="1">
        <f>IFERROR(__xludf.DUMMYFUNCTION("""COMPUTED_VALUE"""),20950.0)</f>
        <v>20950</v>
      </c>
      <c r="F2064" s="1">
        <f>IFERROR(__xludf.DUMMYFUNCTION("""COMPUTED_VALUE"""),107714.0)</f>
        <v>107714</v>
      </c>
    </row>
    <row r="2065">
      <c r="A2065" s="2">
        <f>IFERROR(__xludf.DUMMYFUNCTION("""COMPUTED_VALUE"""),43983.64583333333)</f>
        <v>43983.64583</v>
      </c>
      <c r="B2065" s="1">
        <f>IFERROR(__xludf.DUMMYFUNCTION("""COMPUTED_VALUE"""),20950.0)</f>
        <v>20950</v>
      </c>
      <c r="C2065" s="1">
        <f>IFERROR(__xludf.DUMMYFUNCTION("""COMPUTED_VALUE"""),21550.0)</f>
        <v>21550</v>
      </c>
      <c r="D2065" s="1">
        <f>IFERROR(__xludf.DUMMYFUNCTION("""COMPUTED_VALUE"""),20950.0)</f>
        <v>20950</v>
      </c>
      <c r="E2065" s="1">
        <f>IFERROR(__xludf.DUMMYFUNCTION("""COMPUTED_VALUE"""),21200.0)</f>
        <v>21200</v>
      </c>
      <c r="F2065" s="1">
        <f>IFERROR(__xludf.DUMMYFUNCTION("""COMPUTED_VALUE"""),85107.0)</f>
        <v>85107</v>
      </c>
    </row>
    <row r="2066">
      <c r="A2066" s="2">
        <f>IFERROR(__xludf.DUMMYFUNCTION("""COMPUTED_VALUE"""),43984.64583333333)</f>
        <v>43984.64583</v>
      </c>
      <c r="B2066" s="1">
        <f>IFERROR(__xludf.DUMMYFUNCTION("""COMPUTED_VALUE"""),21400.0)</f>
        <v>21400</v>
      </c>
      <c r="C2066" s="1">
        <f>IFERROR(__xludf.DUMMYFUNCTION("""COMPUTED_VALUE"""),23500.0)</f>
        <v>23500</v>
      </c>
      <c r="D2066" s="1">
        <f>IFERROR(__xludf.DUMMYFUNCTION("""COMPUTED_VALUE"""),21200.0)</f>
        <v>21200</v>
      </c>
      <c r="E2066" s="1">
        <f>IFERROR(__xludf.DUMMYFUNCTION("""COMPUTED_VALUE"""),21750.0)</f>
        <v>21750</v>
      </c>
      <c r="F2066" s="1">
        <f>IFERROR(__xludf.DUMMYFUNCTION("""COMPUTED_VALUE"""),901712.0)</f>
        <v>901712</v>
      </c>
    </row>
    <row r="2067">
      <c r="A2067" s="2">
        <f>IFERROR(__xludf.DUMMYFUNCTION("""COMPUTED_VALUE"""),43985.64583333333)</f>
        <v>43985.64583</v>
      </c>
      <c r="B2067" s="1">
        <f>IFERROR(__xludf.DUMMYFUNCTION("""COMPUTED_VALUE"""),21900.0)</f>
        <v>21900</v>
      </c>
      <c r="C2067" s="1">
        <f>IFERROR(__xludf.DUMMYFUNCTION("""COMPUTED_VALUE"""),23050.0)</f>
        <v>23050</v>
      </c>
      <c r="D2067" s="1">
        <f>IFERROR(__xludf.DUMMYFUNCTION("""COMPUTED_VALUE"""),21700.0)</f>
        <v>21700</v>
      </c>
      <c r="E2067" s="1">
        <f>IFERROR(__xludf.DUMMYFUNCTION("""COMPUTED_VALUE"""),21950.0)</f>
        <v>21950</v>
      </c>
      <c r="F2067" s="1">
        <f>IFERROR(__xludf.DUMMYFUNCTION("""COMPUTED_VALUE"""),508494.0)</f>
        <v>508494</v>
      </c>
    </row>
    <row r="2068">
      <c r="A2068" s="2">
        <f>IFERROR(__xludf.DUMMYFUNCTION("""COMPUTED_VALUE"""),43986.64583333333)</f>
        <v>43986.64583</v>
      </c>
      <c r="B2068" s="1">
        <f>IFERROR(__xludf.DUMMYFUNCTION("""COMPUTED_VALUE"""),22100.0)</f>
        <v>22100</v>
      </c>
      <c r="C2068" s="1">
        <f>IFERROR(__xludf.DUMMYFUNCTION("""COMPUTED_VALUE"""),22500.0)</f>
        <v>22500</v>
      </c>
      <c r="D2068" s="1">
        <f>IFERROR(__xludf.DUMMYFUNCTION("""COMPUTED_VALUE"""),21800.0)</f>
        <v>21800</v>
      </c>
      <c r="E2068" s="1">
        <f>IFERROR(__xludf.DUMMYFUNCTION("""COMPUTED_VALUE"""),22350.0)</f>
        <v>22350</v>
      </c>
      <c r="F2068" s="1">
        <f>IFERROR(__xludf.DUMMYFUNCTION("""COMPUTED_VALUE"""),172233.0)</f>
        <v>172233</v>
      </c>
    </row>
    <row r="2069">
      <c r="A2069" s="2">
        <f>IFERROR(__xludf.DUMMYFUNCTION("""COMPUTED_VALUE"""),43987.64583333333)</f>
        <v>43987.64583</v>
      </c>
      <c r="B2069" s="1">
        <f>IFERROR(__xludf.DUMMYFUNCTION("""COMPUTED_VALUE"""),21950.0)</f>
        <v>21950</v>
      </c>
      <c r="C2069" s="1">
        <f>IFERROR(__xludf.DUMMYFUNCTION("""COMPUTED_VALUE"""),22300.0)</f>
        <v>22300</v>
      </c>
      <c r="D2069" s="1">
        <f>IFERROR(__xludf.DUMMYFUNCTION("""COMPUTED_VALUE"""),21950.0)</f>
        <v>21950</v>
      </c>
      <c r="E2069" s="1">
        <f>IFERROR(__xludf.DUMMYFUNCTION("""COMPUTED_VALUE"""),22150.0)</f>
        <v>22150</v>
      </c>
      <c r="F2069" s="1">
        <f>IFERROR(__xludf.DUMMYFUNCTION("""COMPUTED_VALUE"""),129861.0)</f>
        <v>129861</v>
      </c>
    </row>
    <row r="2070">
      <c r="A2070" s="2">
        <f>IFERROR(__xludf.DUMMYFUNCTION("""COMPUTED_VALUE"""),43990.64583333333)</f>
        <v>43990.64583</v>
      </c>
      <c r="B2070" s="1">
        <f>IFERROR(__xludf.DUMMYFUNCTION("""COMPUTED_VALUE"""),22100.0)</f>
        <v>22100</v>
      </c>
      <c r="C2070" s="1">
        <f>IFERROR(__xludf.DUMMYFUNCTION("""COMPUTED_VALUE"""),22350.0)</f>
        <v>22350</v>
      </c>
      <c r="D2070" s="1">
        <f>IFERROR(__xludf.DUMMYFUNCTION("""COMPUTED_VALUE"""),22050.0)</f>
        <v>22050</v>
      </c>
      <c r="E2070" s="1">
        <f>IFERROR(__xludf.DUMMYFUNCTION("""COMPUTED_VALUE"""),22100.0)</f>
        <v>22100</v>
      </c>
      <c r="F2070" s="1">
        <f>IFERROR(__xludf.DUMMYFUNCTION("""COMPUTED_VALUE"""),89266.0)</f>
        <v>89266</v>
      </c>
    </row>
    <row r="2071">
      <c r="A2071" s="2">
        <f>IFERROR(__xludf.DUMMYFUNCTION("""COMPUTED_VALUE"""),43991.64583333333)</f>
        <v>43991.64583</v>
      </c>
      <c r="B2071" s="1">
        <f>IFERROR(__xludf.DUMMYFUNCTION("""COMPUTED_VALUE"""),22100.0)</f>
        <v>22100</v>
      </c>
      <c r="C2071" s="1">
        <f>IFERROR(__xludf.DUMMYFUNCTION("""COMPUTED_VALUE"""),23000.0)</f>
        <v>23000</v>
      </c>
      <c r="D2071" s="1">
        <f>IFERROR(__xludf.DUMMYFUNCTION("""COMPUTED_VALUE"""),21750.0)</f>
        <v>21750</v>
      </c>
      <c r="E2071" s="1">
        <f>IFERROR(__xludf.DUMMYFUNCTION("""COMPUTED_VALUE"""),23000.0)</f>
        <v>23000</v>
      </c>
      <c r="F2071" s="1">
        <f>IFERROR(__xludf.DUMMYFUNCTION("""COMPUTED_VALUE"""),244947.0)</f>
        <v>244947</v>
      </c>
    </row>
    <row r="2072">
      <c r="A2072" s="2">
        <f>IFERROR(__xludf.DUMMYFUNCTION("""COMPUTED_VALUE"""),43992.64583333333)</f>
        <v>43992.64583</v>
      </c>
      <c r="B2072" s="1">
        <f>IFERROR(__xludf.DUMMYFUNCTION("""COMPUTED_VALUE"""),22600.0)</f>
        <v>22600</v>
      </c>
      <c r="C2072" s="1">
        <f>IFERROR(__xludf.DUMMYFUNCTION("""COMPUTED_VALUE"""),23700.0)</f>
        <v>23700</v>
      </c>
      <c r="D2072" s="1">
        <f>IFERROR(__xludf.DUMMYFUNCTION("""COMPUTED_VALUE"""),22300.0)</f>
        <v>22300</v>
      </c>
      <c r="E2072" s="1">
        <f>IFERROR(__xludf.DUMMYFUNCTION("""COMPUTED_VALUE"""),22300.0)</f>
        <v>22300</v>
      </c>
      <c r="F2072" s="1">
        <f>IFERROR(__xludf.DUMMYFUNCTION("""COMPUTED_VALUE"""),697554.0)</f>
        <v>697554</v>
      </c>
    </row>
    <row r="2073">
      <c r="A2073" s="2">
        <f>IFERROR(__xludf.DUMMYFUNCTION("""COMPUTED_VALUE"""),43993.64583333333)</f>
        <v>43993.64583</v>
      </c>
      <c r="B2073" s="1">
        <f>IFERROR(__xludf.DUMMYFUNCTION("""COMPUTED_VALUE"""),22300.0)</f>
        <v>22300</v>
      </c>
      <c r="C2073" s="1">
        <f>IFERROR(__xludf.DUMMYFUNCTION("""COMPUTED_VALUE"""),22750.0)</f>
        <v>22750</v>
      </c>
      <c r="D2073" s="1">
        <f>IFERROR(__xludf.DUMMYFUNCTION("""COMPUTED_VALUE"""),22000.0)</f>
        <v>22000</v>
      </c>
      <c r="E2073" s="1">
        <f>IFERROR(__xludf.DUMMYFUNCTION("""COMPUTED_VALUE"""),22000.0)</f>
        <v>22000</v>
      </c>
      <c r="F2073" s="1">
        <f>IFERROR(__xludf.DUMMYFUNCTION("""COMPUTED_VALUE"""),140546.0)</f>
        <v>140546</v>
      </c>
    </row>
    <row r="2074">
      <c r="A2074" s="2">
        <f>IFERROR(__xludf.DUMMYFUNCTION("""COMPUTED_VALUE"""),43994.64583333333)</f>
        <v>43994.64583</v>
      </c>
      <c r="B2074" s="1">
        <f>IFERROR(__xludf.DUMMYFUNCTION("""COMPUTED_VALUE"""),20750.0)</f>
        <v>20750</v>
      </c>
      <c r="C2074" s="1">
        <f>IFERROR(__xludf.DUMMYFUNCTION("""COMPUTED_VALUE"""),21600.0)</f>
        <v>21600</v>
      </c>
      <c r="D2074" s="1">
        <f>IFERROR(__xludf.DUMMYFUNCTION("""COMPUTED_VALUE"""),19900.0)</f>
        <v>19900</v>
      </c>
      <c r="E2074" s="1">
        <f>IFERROR(__xludf.DUMMYFUNCTION("""COMPUTED_VALUE"""),21450.0)</f>
        <v>21450</v>
      </c>
      <c r="F2074" s="1">
        <f>IFERROR(__xludf.DUMMYFUNCTION("""COMPUTED_VALUE"""),142699.0)</f>
        <v>142699</v>
      </c>
    </row>
    <row r="2075">
      <c r="A2075" s="2">
        <f>IFERROR(__xludf.DUMMYFUNCTION("""COMPUTED_VALUE"""),43997.64583333333)</f>
        <v>43997.64583</v>
      </c>
      <c r="B2075" s="1">
        <f>IFERROR(__xludf.DUMMYFUNCTION("""COMPUTED_VALUE"""),21550.0)</f>
        <v>21550</v>
      </c>
      <c r="C2075" s="1">
        <f>IFERROR(__xludf.DUMMYFUNCTION("""COMPUTED_VALUE"""),22300.0)</f>
        <v>22300</v>
      </c>
      <c r="D2075" s="1">
        <f>IFERROR(__xludf.DUMMYFUNCTION("""COMPUTED_VALUE"""),19950.0)</f>
        <v>19950</v>
      </c>
      <c r="E2075" s="1">
        <f>IFERROR(__xludf.DUMMYFUNCTION("""COMPUTED_VALUE"""),20650.0)</f>
        <v>20650</v>
      </c>
      <c r="F2075" s="1">
        <f>IFERROR(__xludf.DUMMYFUNCTION("""COMPUTED_VALUE"""),165442.0)</f>
        <v>165442</v>
      </c>
    </row>
    <row r="2076">
      <c r="A2076" s="2">
        <f>IFERROR(__xludf.DUMMYFUNCTION("""COMPUTED_VALUE"""),43998.64583333333)</f>
        <v>43998.64583</v>
      </c>
      <c r="B2076" s="1">
        <f>IFERROR(__xludf.DUMMYFUNCTION("""COMPUTED_VALUE"""),20950.0)</f>
        <v>20950</v>
      </c>
      <c r="C2076" s="1">
        <f>IFERROR(__xludf.DUMMYFUNCTION("""COMPUTED_VALUE"""),21500.0)</f>
        <v>21500</v>
      </c>
      <c r="D2076" s="1">
        <f>IFERROR(__xludf.DUMMYFUNCTION("""COMPUTED_VALUE"""),20800.0)</f>
        <v>20800</v>
      </c>
      <c r="E2076" s="1">
        <f>IFERROR(__xludf.DUMMYFUNCTION("""COMPUTED_VALUE"""),21100.0)</f>
        <v>21100</v>
      </c>
      <c r="F2076" s="1">
        <f>IFERROR(__xludf.DUMMYFUNCTION("""COMPUTED_VALUE"""),79909.0)</f>
        <v>79909</v>
      </c>
    </row>
    <row r="2077">
      <c r="A2077" s="2">
        <f>IFERROR(__xludf.DUMMYFUNCTION("""COMPUTED_VALUE"""),43999.64583333333)</f>
        <v>43999.64583</v>
      </c>
      <c r="B2077" s="1">
        <f>IFERROR(__xludf.DUMMYFUNCTION("""COMPUTED_VALUE"""),20700.0)</f>
        <v>20700</v>
      </c>
      <c r="C2077" s="1">
        <f>IFERROR(__xludf.DUMMYFUNCTION("""COMPUTED_VALUE"""),21200.0)</f>
        <v>21200</v>
      </c>
      <c r="D2077" s="1">
        <f>IFERROR(__xludf.DUMMYFUNCTION("""COMPUTED_VALUE"""),20600.0)</f>
        <v>20600</v>
      </c>
      <c r="E2077" s="1">
        <f>IFERROR(__xludf.DUMMYFUNCTION("""COMPUTED_VALUE"""),21000.0)</f>
        <v>21000</v>
      </c>
      <c r="F2077" s="1">
        <f>IFERROR(__xludf.DUMMYFUNCTION("""COMPUTED_VALUE"""),61614.0)</f>
        <v>61614</v>
      </c>
    </row>
    <row r="2078">
      <c r="A2078" s="2">
        <f>IFERROR(__xludf.DUMMYFUNCTION("""COMPUTED_VALUE"""),44000.64583333333)</f>
        <v>44000.64583</v>
      </c>
      <c r="B2078" s="1">
        <f>IFERROR(__xludf.DUMMYFUNCTION("""COMPUTED_VALUE"""),20850.0)</f>
        <v>20850</v>
      </c>
      <c r="C2078" s="1">
        <f>IFERROR(__xludf.DUMMYFUNCTION("""COMPUTED_VALUE"""),22600.0)</f>
        <v>22600</v>
      </c>
      <c r="D2078" s="1">
        <f>IFERROR(__xludf.DUMMYFUNCTION("""COMPUTED_VALUE"""),20750.0)</f>
        <v>20750</v>
      </c>
      <c r="E2078" s="1">
        <f>IFERROR(__xludf.DUMMYFUNCTION("""COMPUTED_VALUE"""),22500.0)</f>
        <v>22500</v>
      </c>
      <c r="F2078" s="1">
        <f>IFERROR(__xludf.DUMMYFUNCTION("""COMPUTED_VALUE"""),405017.0)</f>
        <v>405017</v>
      </c>
    </row>
    <row r="2079">
      <c r="A2079" s="2">
        <f>IFERROR(__xludf.DUMMYFUNCTION("""COMPUTED_VALUE"""),44001.64583333333)</f>
        <v>44001.64583</v>
      </c>
      <c r="B2079" s="1">
        <f>IFERROR(__xludf.DUMMYFUNCTION("""COMPUTED_VALUE"""),22200.0)</f>
        <v>22200</v>
      </c>
      <c r="C2079" s="1">
        <f>IFERROR(__xludf.DUMMYFUNCTION("""COMPUTED_VALUE"""),22500.0)</f>
        <v>22500</v>
      </c>
      <c r="D2079" s="1">
        <f>IFERROR(__xludf.DUMMYFUNCTION("""COMPUTED_VALUE"""),21750.0)</f>
        <v>21750</v>
      </c>
      <c r="E2079" s="1">
        <f>IFERROR(__xludf.DUMMYFUNCTION("""COMPUTED_VALUE"""),22200.0)</f>
        <v>22200</v>
      </c>
      <c r="F2079" s="1">
        <f>IFERROR(__xludf.DUMMYFUNCTION("""COMPUTED_VALUE"""),244061.0)</f>
        <v>244061</v>
      </c>
    </row>
    <row r="2080">
      <c r="A2080" s="2">
        <f>IFERROR(__xludf.DUMMYFUNCTION("""COMPUTED_VALUE"""),44004.64583333333)</f>
        <v>44004.64583</v>
      </c>
      <c r="B2080" s="1">
        <f>IFERROR(__xludf.DUMMYFUNCTION("""COMPUTED_VALUE"""),22000.0)</f>
        <v>22000</v>
      </c>
      <c r="C2080" s="1">
        <f>IFERROR(__xludf.DUMMYFUNCTION("""COMPUTED_VALUE"""),22250.0)</f>
        <v>22250</v>
      </c>
      <c r="D2080" s="1">
        <f>IFERROR(__xludf.DUMMYFUNCTION("""COMPUTED_VALUE"""),21650.0)</f>
        <v>21650</v>
      </c>
      <c r="E2080" s="1">
        <f>IFERROR(__xludf.DUMMYFUNCTION("""COMPUTED_VALUE"""),21650.0)</f>
        <v>21650</v>
      </c>
      <c r="F2080" s="1">
        <f>IFERROR(__xludf.DUMMYFUNCTION("""COMPUTED_VALUE"""),93075.0)</f>
        <v>93075</v>
      </c>
    </row>
    <row r="2081">
      <c r="A2081" s="2">
        <f>IFERROR(__xludf.DUMMYFUNCTION("""COMPUTED_VALUE"""),44005.64583333333)</f>
        <v>44005.64583</v>
      </c>
      <c r="B2081" s="1">
        <f>IFERROR(__xludf.DUMMYFUNCTION("""COMPUTED_VALUE"""),21700.0)</f>
        <v>21700</v>
      </c>
      <c r="C2081" s="1">
        <f>IFERROR(__xludf.DUMMYFUNCTION("""COMPUTED_VALUE"""),22000.0)</f>
        <v>22000</v>
      </c>
      <c r="D2081" s="1">
        <f>IFERROR(__xludf.DUMMYFUNCTION("""COMPUTED_VALUE"""),21300.0)</f>
        <v>21300</v>
      </c>
      <c r="E2081" s="1">
        <f>IFERROR(__xludf.DUMMYFUNCTION("""COMPUTED_VALUE"""),21300.0)</f>
        <v>21300</v>
      </c>
      <c r="F2081" s="1">
        <f>IFERROR(__xludf.DUMMYFUNCTION("""COMPUTED_VALUE"""),73149.0)</f>
        <v>73149</v>
      </c>
    </row>
    <row r="2082">
      <c r="A2082" s="2">
        <f>IFERROR(__xludf.DUMMYFUNCTION("""COMPUTED_VALUE"""),44006.64583333333)</f>
        <v>44006.64583</v>
      </c>
      <c r="B2082" s="1">
        <f>IFERROR(__xludf.DUMMYFUNCTION("""COMPUTED_VALUE"""),21400.0)</f>
        <v>21400</v>
      </c>
      <c r="C2082" s="1">
        <f>IFERROR(__xludf.DUMMYFUNCTION("""COMPUTED_VALUE"""),22800.0)</f>
        <v>22800</v>
      </c>
      <c r="D2082" s="1">
        <f>IFERROR(__xludf.DUMMYFUNCTION("""COMPUTED_VALUE"""),21100.0)</f>
        <v>21100</v>
      </c>
      <c r="E2082" s="1">
        <f>IFERROR(__xludf.DUMMYFUNCTION("""COMPUTED_VALUE"""),22800.0)</f>
        <v>22800</v>
      </c>
      <c r="F2082" s="1">
        <f>IFERROR(__xludf.DUMMYFUNCTION("""COMPUTED_VALUE"""),366798.0)</f>
        <v>366798</v>
      </c>
    </row>
    <row r="2083">
      <c r="A2083" s="2">
        <f>IFERROR(__xludf.DUMMYFUNCTION("""COMPUTED_VALUE"""),44007.64583333333)</f>
        <v>44007.64583</v>
      </c>
      <c r="B2083" s="1">
        <f>IFERROR(__xludf.DUMMYFUNCTION("""COMPUTED_VALUE"""),22500.0)</f>
        <v>22500</v>
      </c>
      <c r="C2083" s="1">
        <f>IFERROR(__xludf.DUMMYFUNCTION("""COMPUTED_VALUE"""),23100.0)</f>
        <v>23100</v>
      </c>
      <c r="D2083" s="1">
        <f>IFERROR(__xludf.DUMMYFUNCTION("""COMPUTED_VALUE"""),21400.0)</f>
        <v>21400</v>
      </c>
      <c r="E2083" s="1">
        <f>IFERROR(__xludf.DUMMYFUNCTION("""COMPUTED_VALUE"""),21800.0)</f>
        <v>21800</v>
      </c>
      <c r="F2083" s="1">
        <f>IFERROR(__xludf.DUMMYFUNCTION("""COMPUTED_VALUE"""),505663.0)</f>
        <v>505663</v>
      </c>
    </row>
    <row r="2084">
      <c r="A2084" s="2">
        <f>IFERROR(__xludf.DUMMYFUNCTION("""COMPUTED_VALUE"""),44008.64583333333)</f>
        <v>44008.64583</v>
      </c>
      <c r="B2084" s="1">
        <f>IFERROR(__xludf.DUMMYFUNCTION("""COMPUTED_VALUE"""),22000.0)</f>
        <v>22000</v>
      </c>
      <c r="C2084" s="1">
        <f>IFERROR(__xludf.DUMMYFUNCTION("""COMPUTED_VALUE"""),22400.0)</f>
        <v>22400</v>
      </c>
      <c r="D2084" s="1">
        <f>IFERROR(__xludf.DUMMYFUNCTION("""COMPUTED_VALUE"""),21650.0)</f>
        <v>21650</v>
      </c>
      <c r="E2084" s="1">
        <f>IFERROR(__xludf.DUMMYFUNCTION("""COMPUTED_VALUE"""),21850.0)</f>
        <v>21850</v>
      </c>
      <c r="F2084" s="1">
        <f>IFERROR(__xludf.DUMMYFUNCTION("""COMPUTED_VALUE"""),139017.0)</f>
        <v>139017</v>
      </c>
    </row>
    <row r="2085">
      <c r="A2085" s="2">
        <f>IFERROR(__xludf.DUMMYFUNCTION("""COMPUTED_VALUE"""),44011.64583333333)</f>
        <v>44011.64583</v>
      </c>
      <c r="B2085" s="1">
        <f>IFERROR(__xludf.DUMMYFUNCTION("""COMPUTED_VALUE"""),21300.0)</f>
        <v>21300</v>
      </c>
      <c r="C2085" s="1">
        <f>IFERROR(__xludf.DUMMYFUNCTION("""COMPUTED_VALUE"""),21850.0)</f>
        <v>21850</v>
      </c>
      <c r="D2085" s="1">
        <f>IFERROR(__xludf.DUMMYFUNCTION("""COMPUTED_VALUE"""),21050.0)</f>
        <v>21050</v>
      </c>
      <c r="E2085" s="1">
        <f>IFERROR(__xludf.DUMMYFUNCTION("""COMPUTED_VALUE"""),21450.0)</f>
        <v>21450</v>
      </c>
      <c r="F2085" s="1">
        <f>IFERROR(__xludf.DUMMYFUNCTION("""COMPUTED_VALUE"""),117251.0)</f>
        <v>117251</v>
      </c>
    </row>
    <row r="2086">
      <c r="A2086" s="2">
        <f>IFERROR(__xludf.DUMMYFUNCTION("""COMPUTED_VALUE"""),44012.64583333333)</f>
        <v>44012.64583</v>
      </c>
      <c r="B2086" s="1">
        <f>IFERROR(__xludf.DUMMYFUNCTION("""COMPUTED_VALUE"""),21700.0)</f>
        <v>21700</v>
      </c>
      <c r="C2086" s="1">
        <f>IFERROR(__xludf.DUMMYFUNCTION("""COMPUTED_VALUE"""),22350.0)</f>
        <v>22350</v>
      </c>
      <c r="D2086" s="1">
        <f>IFERROR(__xludf.DUMMYFUNCTION("""COMPUTED_VALUE"""),21150.0)</f>
        <v>21150</v>
      </c>
      <c r="E2086" s="1">
        <f>IFERROR(__xludf.DUMMYFUNCTION("""COMPUTED_VALUE"""),21350.0)</f>
        <v>21350</v>
      </c>
      <c r="F2086" s="1">
        <f>IFERROR(__xludf.DUMMYFUNCTION("""COMPUTED_VALUE"""),168062.0)</f>
        <v>168062</v>
      </c>
    </row>
    <row r="2087">
      <c r="A2087" s="2">
        <f>IFERROR(__xludf.DUMMYFUNCTION("""COMPUTED_VALUE"""),44013.64583333333)</f>
        <v>44013.64583</v>
      </c>
      <c r="B2087" s="1">
        <f>IFERROR(__xludf.DUMMYFUNCTION("""COMPUTED_VALUE"""),21550.0)</f>
        <v>21550</v>
      </c>
      <c r="C2087" s="1">
        <f>IFERROR(__xludf.DUMMYFUNCTION("""COMPUTED_VALUE"""),21750.0)</f>
        <v>21750</v>
      </c>
      <c r="D2087" s="1">
        <f>IFERROR(__xludf.DUMMYFUNCTION("""COMPUTED_VALUE"""),21100.0)</f>
        <v>21100</v>
      </c>
      <c r="E2087" s="1">
        <f>IFERROR(__xludf.DUMMYFUNCTION("""COMPUTED_VALUE"""),21100.0)</f>
        <v>21100</v>
      </c>
      <c r="F2087" s="1">
        <f>IFERROR(__xludf.DUMMYFUNCTION("""COMPUTED_VALUE"""),75006.0)</f>
        <v>75006</v>
      </c>
    </row>
    <row r="2088">
      <c r="A2088" s="2">
        <f>IFERROR(__xludf.DUMMYFUNCTION("""COMPUTED_VALUE"""),44014.64583333333)</f>
        <v>44014.64583</v>
      </c>
      <c r="B2088" s="1">
        <f>IFERROR(__xludf.DUMMYFUNCTION("""COMPUTED_VALUE"""),21100.0)</f>
        <v>21100</v>
      </c>
      <c r="C2088" s="1">
        <f>IFERROR(__xludf.DUMMYFUNCTION("""COMPUTED_VALUE"""),21400.0)</f>
        <v>21400</v>
      </c>
      <c r="D2088" s="1">
        <f>IFERROR(__xludf.DUMMYFUNCTION("""COMPUTED_VALUE"""),21000.0)</f>
        <v>21000</v>
      </c>
      <c r="E2088" s="1">
        <f>IFERROR(__xludf.DUMMYFUNCTION("""COMPUTED_VALUE"""),21250.0)</f>
        <v>21250</v>
      </c>
      <c r="F2088" s="1">
        <f>IFERROR(__xludf.DUMMYFUNCTION("""COMPUTED_VALUE"""),34546.0)</f>
        <v>34546</v>
      </c>
    </row>
    <row r="2089">
      <c r="A2089" s="2">
        <f>IFERROR(__xludf.DUMMYFUNCTION("""COMPUTED_VALUE"""),44015.64583333333)</f>
        <v>44015.64583</v>
      </c>
      <c r="B2089" s="1">
        <f>IFERROR(__xludf.DUMMYFUNCTION("""COMPUTED_VALUE"""),21250.0)</f>
        <v>21250</v>
      </c>
      <c r="C2089" s="1">
        <f>IFERROR(__xludf.DUMMYFUNCTION("""COMPUTED_VALUE"""),21800.0)</f>
        <v>21800</v>
      </c>
      <c r="D2089" s="1">
        <f>IFERROR(__xludf.DUMMYFUNCTION("""COMPUTED_VALUE"""),21250.0)</f>
        <v>21250</v>
      </c>
      <c r="E2089" s="1">
        <f>IFERROR(__xludf.DUMMYFUNCTION("""COMPUTED_VALUE"""),21400.0)</f>
        <v>21400</v>
      </c>
      <c r="F2089" s="1">
        <f>IFERROR(__xludf.DUMMYFUNCTION("""COMPUTED_VALUE"""),60168.0)</f>
        <v>60168</v>
      </c>
    </row>
    <row r="2090">
      <c r="A2090" s="2">
        <f>IFERROR(__xludf.DUMMYFUNCTION("""COMPUTED_VALUE"""),44018.64583333333)</f>
        <v>44018.64583</v>
      </c>
      <c r="B2090" s="1">
        <f>IFERROR(__xludf.DUMMYFUNCTION("""COMPUTED_VALUE"""),21700.0)</f>
        <v>21700</v>
      </c>
      <c r="C2090" s="1">
        <f>IFERROR(__xludf.DUMMYFUNCTION("""COMPUTED_VALUE"""),21850.0)</f>
        <v>21850</v>
      </c>
      <c r="D2090" s="1">
        <f>IFERROR(__xludf.DUMMYFUNCTION("""COMPUTED_VALUE"""),21200.0)</f>
        <v>21200</v>
      </c>
      <c r="E2090" s="1">
        <f>IFERROR(__xludf.DUMMYFUNCTION("""COMPUTED_VALUE"""),21800.0)</f>
        <v>21800</v>
      </c>
      <c r="F2090" s="1">
        <f>IFERROR(__xludf.DUMMYFUNCTION("""COMPUTED_VALUE"""),71727.0)</f>
        <v>71727</v>
      </c>
    </row>
    <row r="2091">
      <c r="A2091" s="2">
        <f>IFERROR(__xludf.DUMMYFUNCTION("""COMPUTED_VALUE"""),44019.64583333333)</f>
        <v>44019.64583</v>
      </c>
      <c r="B2091" s="1">
        <f>IFERROR(__xludf.DUMMYFUNCTION("""COMPUTED_VALUE"""),21600.0)</f>
        <v>21600</v>
      </c>
      <c r="C2091" s="1">
        <f>IFERROR(__xludf.DUMMYFUNCTION("""COMPUTED_VALUE"""),21950.0)</f>
        <v>21950</v>
      </c>
      <c r="D2091" s="1">
        <f>IFERROR(__xludf.DUMMYFUNCTION("""COMPUTED_VALUE"""),21400.0)</f>
        <v>21400</v>
      </c>
      <c r="E2091" s="1">
        <f>IFERROR(__xludf.DUMMYFUNCTION("""COMPUTED_VALUE"""),21450.0)</f>
        <v>21450</v>
      </c>
      <c r="F2091" s="1">
        <f>IFERROR(__xludf.DUMMYFUNCTION("""COMPUTED_VALUE"""),70400.0)</f>
        <v>70400</v>
      </c>
    </row>
    <row r="2092">
      <c r="A2092" s="2">
        <f>IFERROR(__xludf.DUMMYFUNCTION("""COMPUTED_VALUE"""),44020.64583333333)</f>
        <v>44020.64583</v>
      </c>
      <c r="B2092" s="1">
        <f>IFERROR(__xludf.DUMMYFUNCTION("""COMPUTED_VALUE"""),21600.0)</f>
        <v>21600</v>
      </c>
      <c r="C2092" s="1">
        <f>IFERROR(__xludf.DUMMYFUNCTION("""COMPUTED_VALUE"""),21650.0)</f>
        <v>21650</v>
      </c>
      <c r="D2092" s="1">
        <f>IFERROR(__xludf.DUMMYFUNCTION("""COMPUTED_VALUE"""),21200.0)</f>
        <v>21200</v>
      </c>
      <c r="E2092" s="1">
        <f>IFERROR(__xludf.DUMMYFUNCTION("""COMPUTED_VALUE"""),21600.0)</f>
        <v>21600</v>
      </c>
      <c r="F2092" s="1">
        <f>IFERROR(__xludf.DUMMYFUNCTION("""COMPUTED_VALUE"""),67677.0)</f>
        <v>67677</v>
      </c>
    </row>
    <row r="2093">
      <c r="A2093" s="2">
        <f>IFERROR(__xludf.DUMMYFUNCTION("""COMPUTED_VALUE"""),44021.64583333333)</f>
        <v>44021.64583</v>
      </c>
      <c r="B2093" s="1">
        <f>IFERROR(__xludf.DUMMYFUNCTION("""COMPUTED_VALUE"""),21600.0)</f>
        <v>21600</v>
      </c>
      <c r="C2093" s="1">
        <f>IFERROR(__xludf.DUMMYFUNCTION("""COMPUTED_VALUE"""),21700.0)</f>
        <v>21700</v>
      </c>
      <c r="D2093" s="1">
        <f>IFERROR(__xludf.DUMMYFUNCTION("""COMPUTED_VALUE"""),21450.0)</f>
        <v>21450</v>
      </c>
      <c r="E2093" s="1">
        <f>IFERROR(__xludf.DUMMYFUNCTION("""COMPUTED_VALUE"""),21500.0)</f>
        <v>21500</v>
      </c>
      <c r="F2093" s="1">
        <f>IFERROR(__xludf.DUMMYFUNCTION("""COMPUTED_VALUE"""),38124.0)</f>
        <v>38124</v>
      </c>
    </row>
    <row r="2094">
      <c r="A2094" s="2">
        <f>IFERROR(__xludf.DUMMYFUNCTION("""COMPUTED_VALUE"""),44022.64583333333)</f>
        <v>44022.64583</v>
      </c>
      <c r="B2094" s="1">
        <f>IFERROR(__xludf.DUMMYFUNCTION("""COMPUTED_VALUE"""),21300.0)</f>
        <v>21300</v>
      </c>
      <c r="C2094" s="1">
        <f>IFERROR(__xludf.DUMMYFUNCTION("""COMPUTED_VALUE"""),21550.0)</f>
        <v>21550</v>
      </c>
      <c r="D2094" s="1">
        <f>IFERROR(__xludf.DUMMYFUNCTION("""COMPUTED_VALUE"""),20950.0)</f>
        <v>20950</v>
      </c>
      <c r="E2094" s="1">
        <f>IFERROR(__xludf.DUMMYFUNCTION("""COMPUTED_VALUE"""),21050.0)</f>
        <v>21050</v>
      </c>
      <c r="F2094" s="1">
        <f>IFERROR(__xludf.DUMMYFUNCTION("""COMPUTED_VALUE"""),91179.0)</f>
        <v>91179</v>
      </c>
    </row>
    <row r="2095">
      <c r="A2095" s="2">
        <f>IFERROR(__xludf.DUMMYFUNCTION("""COMPUTED_VALUE"""),44025.64583333333)</f>
        <v>44025.64583</v>
      </c>
      <c r="B2095" s="1">
        <f>IFERROR(__xludf.DUMMYFUNCTION("""COMPUTED_VALUE"""),21250.0)</f>
        <v>21250</v>
      </c>
      <c r="C2095" s="1">
        <f>IFERROR(__xludf.DUMMYFUNCTION("""COMPUTED_VALUE"""),21300.0)</f>
        <v>21300</v>
      </c>
      <c r="D2095" s="1">
        <f>IFERROR(__xludf.DUMMYFUNCTION("""COMPUTED_VALUE"""),21000.0)</f>
        <v>21000</v>
      </c>
      <c r="E2095" s="1">
        <f>IFERROR(__xludf.DUMMYFUNCTION("""COMPUTED_VALUE"""),21100.0)</f>
        <v>21100</v>
      </c>
      <c r="F2095" s="1">
        <f>IFERROR(__xludf.DUMMYFUNCTION("""COMPUTED_VALUE"""),45269.0)</f>
        <v>45269</v>
      </c>
    </row>
    <row r="2096">
      <c r="A2096" s="2">
        <f>IFERROR(__xludf.DUMMYFUNCTION("""COMPUTED_VALUE"""),44026.64583333333)</f>
        <v>44026.64583</v>
      </c>
      <c r="B2096" s="1">
        <f>IFERROR(__xludf.DUMMYFUNCTION("""COMPUTED_VALUE"""),21000.0)</f>
        <v>21000</v>
      </c>
      <c r="C2096" s="1">
        <f>IFERROR(__xludf.DUMMYFUNCTION("""COMPUTED_VALUE"""),21300.0)</f>
        <v>21300</v>
      </c>
      <c r="D2096" s="1">
        <f>IFERROR(__xludf.DUMMYFUNCTION("""COMPUTED_VALUE"""),20850.0)</f>
        <v>20850</v>
      </c>
      <c r="E2096" s="1">
        <f>IFERROR(__xludf.DUMMYFUNCTION("""COMPUTED_VALUE"""),20950.0)</f>
        <v>20950</v>
      </c>
      <c r="F2096" s="1">
        <f>IFERROR(__xludf.DUMMYFUNCTION("""COMPUTED_VALUE"""),44781.0)</f>
        <v>44781</v>
      </c>
    </row>
    <row r="2097">
      <c r="A2097" s="2">
        <f>IFERROR(__xludf.DUMMYFUNCTION("""COMPUTED_VALUE"""),44027.64583333333)</f>
        <v>44027.64583</v>
      </c>
      <c r="B2097" s="1">
        <f>IFERROR(__xludf.DUMMYFUNCTION("""COMPUTED_VALUE"""),21250.0)</f>
        <v>21250</v>
      </c>
      <c r="C2097" s="1">
        <f>IFERROR(__xludf.DUMMYFUNCTION("""COMPUTED_VALUE"""),21250.0)</f>
        <v>21250</v>
      </c>
      <c r="D2097" s="1">
        <f>IFERROR(__xludf.DUMMYFUNCTION("""COMPUTED_VALUE"""),20850.0)</f>
        <v>20850</v>
      </c>
      <c r="E2097" s="1">
        <f>IFERROR(__xludf.DUMMYFUNCTION("""COMPUTED_VALUE"""),20950.0)</f>
        <v>20950</v>
      </c>
      <c r="F2097" s="1">
        <f>IFERROR(__xludf.DUMMYFUNCTION("""COMPUTED_VALUE"""),68751.0)</f>
        <v>68751</v>
      </c>
    </row>
    <row r="2098">
      <c r="A2098" s="2">
        <f>IFERROR(__xludf.DUMMYFUNCTION("""COMPUTED_VALUE"""),44028.64583333333)</f>
        <v>44028.64583</v>
      </c>
      <c r="B2098" s="1">
        <f>IFERROR(__xludf.DUMMYFUNCTION("""COMPUTED_VALUE"""),21100.0)</f>
        <v>21100</v>
      </c>
      <c r="C2098" s="1">
        <f>IFERROR(__xludf.DUMMYFUNCTION("""COMPUTED_VALUE"""),21150.0)</f>
        <v>21150</v>
      </c>
      <c r="D2098" s="1">
        <f>IFERROR(__xludf.DUMMYFUNCTION("""COMPUTED_VALUE"""),20900.0)</f>
        <v>20900</v>
      </c>
      <c r="E2098" s="1">
        <f>IFERROR(__xludf.DUMMYFUNCTION("""COMPUTED_VALUE"""),20900.0)</f>
        <v>20900</v>
      </c>
      <c r="F2098" s="1">
        <f>IFERROR(__xludf.DUMMYFUNCTION("""COMPUTED_VALUE"""),45885.0)</f>
        <v>45885</v>
      </c>
    </row>
    <row r="2099">
      <c r="A2099" s="2">
        <f>IFERROR(__xludf.DUMMYFUNCTION("""COMPUTED_VALUE"""),44029.64583333333)</f>
        <v>44029.64583</v>
      </c>
      <c r="B2099" s="1">
        <f>IFERROR(__xludf.DUMMYFUNCTION("""COMPUTED_VALUE"""),20900.0)</f>
        <v>20900</v>
      </c>
      <c r="C2099" s="1">
        <f>IFERROR(__xludf.DUMMYFUNCTION("""COMPUTED_VALUE"""),21300.0)</f>
        <v>21300</v>
      </c>
      <c r="D2099" s="1">
        <f>IFERROR(__xludf.DUMMYFUNCTION("""COMPUTED_VALUE"""),20850.0)</f>
        <v>20850</v>
      </c>
      <c r="E2099" s="1">
        <f>IFERROR(__xludf.DUMMYFUNCTION("""COMPUTED_VALUE"""),21250.0)</f>
        <v>21250</v>
      </c>
      <c r="F2099" s="1">
        <f>IFERROR(__xludf.DUMMYFUNCTION("""COMPUTED_VALUE"""),46369.0)</f>
        <v>46369</v>
      </c>
    </row>
    <row r="2100">
      <c r="A2100" s="2">
        <f>IFERROR(__xludf.DUMMYFUNCTION("""COMPUTED_VALUE"""),44032.64583333333)</f>
        <v>44032.64583</v>
      </c>
      <c r="B2100" s="1">
        <f>IFERROR(__xludf.DUMMYFUNCTION("""COMPUTED_VALUE"""),21250.0)</f>
        <v>21250</v>
      </c>
      <c r="C2100" s="1">
        <f>IFERROR(__xludf.DUMMYFUNCTION("""COMPUTED_VALUE"""),21600.0)</f>
        <v>21600</v>
      </c>
      <c r="D2100" s="1">
        <f>IFERROR(__xludf.DUMMYFUNCTION("""COMPUTED_VALUE"""),21100.0)</f>
        <v>21100</v>
      </c>
      <c r="E2100" s="1">
        <f>IFERROR(__xludf.DUMMYFUNCTION("""COMPUTED_VALUE"""),21150.0)</f>
        <v>21150</v>
      </c>
      <c r="F2100" s="1">
        <f>IFERROR(__xludf.DUMMYFUNCTION("""COMPUTED_VALUE"""),91806.0)</f>
        <v>91806</v>
      </c>
    </row>
    <row r="2101">
      <c r="A2101" s="2">
        <f>IFERROR(__xludf.DUMMYFUNCTION("""COMPUTED_VALUE"""),44033.64583333333)</f>
        <v>44033.64583</v>
      </c>
      <c r="B2101" s="1">
        <f>IFERROR(__xludf.DUMMYFUNCTION("""COMPUTED_VALUE"""),21100.0)</f>
        <v>21100</v>
      </c>
      <c r="C2101" s="1">
        <f>IFERROR(__xludf.DUMMYFUNCTION("""COMPUTED_VALUE"""),21500.0)</f>
        <v>21500</v>
      </c>
      <c r="D2101" s="1">
        <f>IFERROR(__xludf.DUMMYFUNCTION("""COMPUTED_VALUE"""),21100.0)</f>
        <v>21100</v>
      </c>
      <c r="E2101" s="1">
        <f>IFERROR(__xludf.DUMMYFUNCTION("""COMPUTED_VALUE"""),21300.0)</f>
        <v>21300</v>
      </c>
      <c r="F2101" s="1">
        <f>IFERROR(__xludf.DUMMYFUNCTION("""COMPUTED_VALUE"""),69106.0)</f>
        <v>69106</v>
      </c>
    </row>
    <row r="2102">
      <c r="A2102" s="2">
        <f>IFERROR(__xludf.DUMMYFUNCTION("""COMPUTED_VALUE"""),44034.64583333333)</f>
        <v>44034.64583</v>
      </c>
      <c r="B2102" s="1">
        <f>IFERROR(__xludf.DUMMYFUNCTION("""COMPUTED_VALUE"""),21400.0)</f>
        <v>21400</v>
      </c>
      <c r="C2102" s="1">
        <f>IFERROR(__xludf.DUMMYFUNCTION("""COMPUTED_VALUE"""),22000.0)</f>
        <v>22000</v>
      </c>
      <c r="D2102" s="1">
        <f>IFERROR(__xludf.DUMMYFUNCTION("""COMPUTED_VALUE"""),21150.0)</f>
        <v>21150</v>
      </c>
      <c r="E2102" s="1">
        <f>IFERROR(__xludf.DUMMYFUNCTION("""COMPUTED_VALUE"""),21400.0)</f>
        <v>21400</v>
      </c>
      <c r="F2102" s="1">
        <f>IFERROR(__xludf.DUMMYFUNCTION("""COMPUTED_VALUE"""),172317.0)</f>
        <v>172317</v>
      </c>
    </row>
    <row r="2103">
      <c r="A2103" s="2">
        <f>IFERROR(__xludf.DUMMYFUNCTION("""COMPUTED_VALUE"""),44035.64583333333)</f>
        <v>44035.64583</v>
      </c>
      <c r="B2103" s="1">
        <f>IFERROR(__xludf.DUMMYFUNCTION("""COMPUTED_VALUE"""),21450.0)</f>
        <v>21450</v>
      </c>
      <c r="C2103" s="1">
        <f>IFERROR(__xludf.DUMMYFUNCTION("""COMPUTED_VALUE"""),21700.0)</f>
        <v>21700</v>
      </c>
      <c r="D2103" s="1">
        <f>IFERROR(__xludf.DUMMYFUNCTION("""COMPUTED_VALUE"""),21300.0)</f>
        <v>21300</v>
      </c>
      <c r="E2103" s="1">
        <f>IFERROR(__xludf.DUMMYFUNCTION("""COMPUTED_VALUE"""),21500.0)</f>
        <v>21500</v>
      </c>
      <c r="F2103" s="1">
        <f>IFERROR(__xludf.DUMMYFUNCTION("""COMPUTED_VALUE"""),84038.0)</f>
        <v>84038</v>
      </c>
    </row>
    <row r="2104">
      <c r="A2104" s="2">
        <f>IFERROR(__xludf.DUMMYFUNCTION("""COMPUTED_VALUE"""),44036.64583333333)</f>
        <v>44036.64583</v>
      </c>
      <c r="B2104" s="1">
        <f>IFERROR(__xludf.DUMMYFUNCTION("""COMPUTED_VALUE"""),21500.0)</f>
        <v>21500</v>
      </c>
      <c r="C2104" s="1">
        <f>IFERROR(__xludf.DUMMYFUNCTION("""COMPUTED_VALUE"""),22150.0)</f>
        <v>22150</v>
      </c>
      <c r="D2104" s="1">
        <f>IFERROR(__xludf.DUMMYFUNCTION("""COMPUTED_VALUE"""),21350.0)</f>
        <v>21350</v>
      </c>
      <c r="E2104" s="1">
        <f>IFERROR(__xludf.DUMMYFUNCTION("""COMPUTED_VALUE"""),21800.0)</f>
        <v>21800</v>
      </c>
      <c r="F2104" s="1">
        <f>IFERROR(__xludf.DUMMYFUNCTION("""COMPUTED_VALUE"""),210464.0)</f>
        <v>210464</v>
      </c>
    </row>
    <row r="2105">
      <c r="A2105" s="2">
        <f>IFERROR(__xludf.DUMMYFUNCTION("""COMPUTED_VALUE"""),44039.64583333333)</f>
        <v>44039.64583</v>
      </c>
      <c r="B2105" s="1">
        <f>IFERROR(__xludf.DUMMYFUNCTION("""COMPUTED_VALUE"""),21850.0)</f>
        <v>21850</v>
      </c>
      <c r="C2105" s="1">
        <f>IFERROR(__xludf.DUMMYFUNCTION("""COMPUTED_VALUE"""),22300.0)</f>
        <v>22300</v>
      </c>
      <c r="D2105" s="1">
        <f>IFERROR(__xludf.DUMMYFUNCTION("""COMPUTED_VALUE"""),21850.0)</f>
        <v>21850</v>
      </c>
      <c r="E2105" s="1">
        <f>IFERROR(__xludf.DUMMYFUNCTION("""COMPUTED_VALUE"""),22200.0)</f>
        <v>22200</v>
      </c>
      <c r="F2105" s="1">
        <f>IFERROR(__xludf.DUMMYFUNCTION("""COMPUTED_VALUE"""),173706.0)</f>
        <v>173706</v>
      </c>
    </row>
    <row r="2106">
      <c r="A2106" s="2">
        <f>IFERROR(__xludf.DUMMYFUNCTION("""COMPUTED_VALUE"""),44040.64583333333)</f>
        <v>44040.64583</v>
      </c>
      <c r="B2106" s="1">
        <f>IFERROR(__xludf.DUMMYFUNCTION("""COMPUTED_VALUE"""),22300.0)</f>
        <v>22300</v>
      </c>
      <c r="C2106" s="1">
        <f>IFERROR(__xludf.DUMMYFUNCTION("""COMPUTED_VALUE"""),22350.0)</f>
        <v>22350</v>
      </c>
      <c r="D2106" s="1">
        <f>IFERROR(__xludf.DUMMYFUNCTION("""COMPUTED_VALUE"""),21700.0)</f>
        <v>21700</v>
      </c>
      <c r="E2106" s="1">
        <f>IFERROR(__xludf.DUMMYFUNCTION("""COMPUTED_VALUE"""),21750.0)</f>
        <v>21750</v>
      </c>
      <c r="F2106" s="1">
        <f>IFERROR(__xludf.DUMMYFUNCTION("""COMPUTED_VALUE"""),87793.0)</f>
        <v>87793</v>
      </c>
    </row>
    <row r="2107">
      <c r="A2107" s="2">
        <f>IFERROR(__xludf.DUMMYFUNCTION("""COMPUTED_VALUE"""),44041.64583333333)</f>
        <v>44041.64583</v>
      </c>
      <c r="B2107" s="1">
        <f>IFERROR(__xludf.DUMMYFUNCTION("""COMPUTED_VALUE"""),21750.0)</f>
        <v>21750</v>
      </c>
      <c r="C2107" s="1">
        <f>IFERROR(__xludf.DUMMYFUNCTION("""COMPUTED_VALUE"""),22000.0)</f>
        <v>22000</v>
      </c>
      <c r="D2107" s="1">
        <f>IFERROR(__xludf.DUMMYFUNCTION("""COMPUTED_VALUE"""),21600.0)</f>
        <v>21600</v>
      </c>
      <c r="E2107" s="1">
        <f>IFERROR(__xludf.DUMMYFUNCTION("""COMPUTED_VALUE"""),21750.0)</f>
        <v>21750</v>
      </c>
      <c r="F2107" s="1">
        <f>IFERROR(__xludf.DUMMYFUNCTION("""COMPUTED_VALUE"""),69265.0)</f>
        <v>69265</v>
      </c>
    </row>
    <row r="2108">
      <c r="A2108" s="2">
        <f>IFERROR(__xludf.DUMMYFUNCTION("""COMPUTED_VALUE"""),44042.64583333333)</f>
        <v>44042.64583</v>
      </c>
      <c r="B2108" s="1">
        <f>IFERROR(__xludf.DUMMYFUNCTION("""COMPUTED_VALUE"""),21800.0)</f>
        <v>21800</v>
      </c>
      <c r="C2108" s="1">
        <f>IFERROR(__xludf.DUMMYFUNCTION("""COMPUTED_VALUE"""),22750.0)</f>
        <v>22750</v>
      </c>
      <c r="D2108" s="1">
        <f>IFERROR(__xludf.DUMMYFUNCTION("""COMPUTED_VALUE"""),21650.0)</f>
        <v>21650</v>
      </c>
      <c r="E2108" s="1">
        <f>IFERROR(__xludf.DUMMYFUNCTION("""COMPUTED_VALUE"""),22500.0)</f>
        <v>22500</v>
      </c>
      <c r="F2108" s="1">
        <f>IFERROR(__xludf.DUMMYFUNCTION("""COMPUTED_VALUE"""),349732.0)</f>
        <v>349732</v>
      </c>
    </row>
    <row r="2109">
      <c r="A2109" s="2">
        <f>IFERROR(__xludf.DUMMYFUNCTION("""COMPUTED_VALUE"""),44043.64583333333)</f>
        <v>44043.64583</v>
      </c>
      <c r="B2109" s="1">
        <f>IFERROR(__xludf.DUMMYFUNCTION("""COMPUTED_VALUE"""),22800.0)</f>
        <v>22800</v>
      </c>
      <c r="C2109" s="1">
        <f>IFERROR(__xludf.DUMMYFUNCTION("""COMPUTED_VALUE"""),23250.0)</f>
        <v>23250</v>
      </c>
      <c r="D2109" s="1">
        <f>IFERROR(__xludf.DUMMYFUNCTION("""COMPUTED_VALUE"""),22300.0)</f>
        <v>22300</v>
      </c>
      <c r="E2109" s="1">
        <f>IFERROR(__xludf.DUMMYFUNCTION("""COMPUTED_VALUE"""),22350.0)</f>
        <v>22350</v>
      </c>
      <c r="F2109" s="1">
        <f>IFERROR(__xludf.DUMMYFUNCTION("""COMPUTED_VALUE"""),363170.0)</f>
        <v>363170</v>
      </c>
    </row>
    <row r="2110">
      <c r="A2110" s="2">
        <f>IFERROR(__xludf.DUMMYFUNCTION("""COMPUTED_VALUE"""),44046.64583333333)</f>
        <v>44046.64583</v>
      </c>
      <c r="B2110" s="1">
        <f>IFERROR(__xludf.DUMMYFUNCTION("""COMPUTED_VALUE"""),22650.0)</f>
        <v>22650</v>
      </c>
      <c r="C2110" s="1">
        <f>IFERROR(__xludf.DUMMYFUNCTION("""COMPUTED_VALUE"""),22650.0)</f>
        <v>22650</v>
      </c>
      <c r="D2110" s="1">
        <f>IFERROR(__xludf.DUMMYFUNCTION("""COMPUTED_VALUE"""),21700.0)</f>
        <v>21700</v>
      </c>
      <c r="E2110" s="1">
        <f>IFERROR(__xludf.DUMMYFUNCTION("""COMPUTED_VALUE"""),21900.0)</f>
        <v>21900</v>
      </c>
      <c r="F2110" s="1">
        <f>IFERROR(__xludf.DUMMYFUNCTION("""COMPUTED_VALUE"""),111167.0)</f>
        <v>111167</v>
      </c>
    </row>
    <row r="2111">
      <c r="A2111" s="2">
        <f>IFERROR(__xludf.DUMMYFUNCTION("""COMPUTED_VALUE"""),44047.64583333333)</f>
        <v>44047.64583</v>
      </c>
      <c r="B2111" s="1">
        <f>IFERROR(__xludf.DUMMYFUNCTION("""COMPUTED_VALUE"""),21850.0)</f>
        <v>21850</v>
      </c>
      <c r="C2111" s="1">
        <f>IFERROR(__xludf.DUMMYFUNCTION("""COMPUTED_VALUE"""),22400.0)</f>
        <v>22400</v>
      </c>
      <c r="D2111" s="1">
        <f>IFERROR(__xludf.DUMMYFUNCTION("""COMPUTED_VALUE"""),21800.0)</f>
        <v>21800</v>
      </c>
      <c r="E2111" s="1">
        <f>IFERROR(__xludf.DUMMYFUNCTION("""COMPUTED_VALUE"""),22050.0)</f>
        <v>22050</v>
      </c>
      <c r="F2111" s="1">
        <f>IFERROR(__xludf.DUMMYFUNCTION("""COMPUTED_VALUE"""),105549.0)</f>
        <v>105549</v>
      </c>
    </row>
    <row r="2112">
      <c r="A2112" s="2">
        <f>IFERROR(__xludf.DUMMYFUNCTION("""COMPUTED_VALUE"""),44048.64583333333)</f>
        <v>44048.64583</v>
      </c>
      <c r="B2112" s="1">
        <f>IFERROR(__xludf.DUMMYFUNCTION("""COMPUTED_VALUE"""),21800.0)</f>
        <v>21800</v>
      </c>
      <c r="C2112" s="1">
        <f>IFERROR(__xludf.DUMMYFUNCTION("""COMPUTED_VALUE"""),22000.0)</f>
        <v>22000</v>
      </c>
      <c r="D2112" s="1">
        <f>IFERROR(__xludf.DUMMYFUNCTION("""COMPUTED_VALUE"""),21650.0)</f>
        <v>21650</v>
      </c>
      <c r="E2112" s="1">
        <f>IFERROR(__xludf.DUMMYFUNCTION("""COMPUTED_VALUE"""),21700.0)</f>
        <v>21700</v>
      </c>
      <c r="F2112" s="1">
        <f>IFERROR(__xludf.DUMMYFUNCTION("""COMPUTED_VALUE"""),108099.0)</f>
        <v>108099</v>
      </c>
    </row>
    <row r="2113">
      <c r="A2113" s="2">
        <f>IFERROR(__xludf.DUMMYFUNCTION("""COMPUTED_VALUE"""),44049.64583333333)</f>
        <v>44049.64583</v>
      </c>
      <c r="B2113" s="1">
        <f>IFERROR(__xludf.DUMMYFUNCTION("""COMPUTED_VALUE"""),21600.0)</f>
        <v>21600</v>
      </c>
      <c r="C2113" s="1">
        <f>IFERROR(__xludf.DUMMYFUNCTION("""COMPUTED_VALUE"""),21900.0)</f>
        <v>21900</v>
      </c>
      <c r="D2113" s="1">
        <f>IFERROR(__xludf.DUMMYFUNCTION("""COMPUTED_VALUE"""),21500.0)</f>
        <v>21500</v>
      </c>
      <c r="E2113" s="1">
        <f>IFERROR(__xludf.DUMMYFUNCTION("""COMPUTED_VALUE"""),21700.0)</f>
        <v>21700</v>
      </c>
      <c r="F2113" s="1">
        <f>IFERROR(__xludf.DUMMYFUNCTION("""COMPUTED_VALUE"""),107190.0)</f>
        <v>107190</v>
      </c>
    </row>
    <row r="2114">
      <c r="A2114" s="2">
        <f>IFERROR(__xludf.DUMMYFUNCTION("""COMPUTED_VALUE"""),44050.64583333333)</f>
        <v>44050.64583</v>
      </c>
      <c r="B2114" s="1">
        <f>IFERROR(__xludf.DUMMYFUNCTION("""COMPUTED_VALUE"""),21700.0)</f>
        <v>21700</v>
      </c>
      <c r="C2114" s="1">
        <f>IFERROR(__xludf.DUMMYFUNCTION("""COMPUTED_VALUE"""),21850.0)</f>
        <v>21850</v>
      </c>
      <c r="D2114" s="1">
        <f>IFERROR(__xludf.DUMMYFUNCTION("""COMPUTED_VALUE"""),21550.0)</f>
        <v>21550</v>
      </c>
      <c r="E2114" s="1">
        <f>IFERROR(__xludf.DUMMYFUNCTION("""COMPUTED_VALUE"""),21700.0)</f>
        <v>21700</v>
      </c>
      <c r="F2114" s="1">
        <f>IFERROR(__xludf.DUMMYFUNCTION("""COMPUTED_VALUE"""),71771.0)</f>
        <v>71771</v>
      </c>
    </row>
    <row r="2115">
      <c r="A2115" s="2">
        <f>IFERROR(__xludf.DUMMYFUNCTION("""COMPUTED_VALUE"""),44053.64583333333)</f>
        <v>44053.64583</v>
      </c>
      <c r="B2115" s="1">
        <f>IFERROR(__xludf.DUMMYFUNCTION("""COMPUTED_VALUE"""),21800.0)</f>
        <v>21800</v>
      </c>
      <c r="C2115" s="1">
        <f>IFERROR(__xludf.DUMMYFUNCTION("""COMPUTED_VALUE"""),22000.0)</f>
        <v>22000</v>
      </c>
      <c r="D2115" s="1">
        <f>IFERROR(__xludf.DUMMYFUNCTION("""COMPUTED_VALUE"""),21650.0)</f>
        <v>21650</v>
      </c>
      <c r="E2115" s="1">
        <f>IFERROR(__xludf.DUMMYFUNCTION("""COMPUTED_VALUE"""),21850.0)</f>
        <v>21850</v>
      </c>
      <c r="F2115" s="1">
        <f>IFERROR(__xludf.DUMMYFUNCTION("""COMPUTED_VALUE"""),74513.0)</f>
        <v>74513</v>
      </c>
    </row>
    <row r="2116">
      <c r="A2116" s="2">
        <f>IFERROR(__xludf.DUMMYFUNCTION("""COMPUTED_VALUE"""),44054.64583333333)</f>
        <v>44054.64583</v>
      </c>
      <c r="B2116" s="1">
        <f>IFERROR(__xludf.DUMMYFUNCTION("""COMPUTED_VALUE"""),21700.0)</f>
        <v>21700</v>
      </c>
      <c r="C2116" s="1">
        <f>IFERROR(__xludf.DUMMYFUNCTION("""COMPUTED_VALUE"""),22100.0)</f>
        <v>22100</v>
      </c>
      <c r="D2116" s="1">
        <f>IFERROR(__xludf.DUMMYFUNCTION("""COMPUTED_VALUE"""),21650.0)</f>
        <v>21650</v>
      </c>
      <c r="E2116" s="1">
        <f>IFERROR(__xludf.DUMMYFUNCTION("""COMPUTED_VALUE"""),21850.0)</f>
        <v>21850</v>
      </c>
      <c r="F2116" s="1">
        <f>IFERROR(__xludf.DUMMYFUNCTION("""COMPUTED_VALUE"""),86703.0)</f>
        <v>86703</v>
      </c>
    </row>
    <row r="2117">
      <c r="A2117" s="2">
        <f>IFERROR(__xludf.DUMMYFUNCTION("""COMPUTED_VALUE"""),44055.64583333333)</f>
        <v>44055.64583</v>
      </c>
      <c r="B2117" s="1">
        <f>IFERROR(__xludf.DUMMYFUNCTION("""COMPUTED_VALUE"""),21850.0)</f>
        <v>21850</v>
      </c>
      <c r="C2117" s="1">
        <f>IFERROR(__xludf.DUMMYFUNCTION("""COMPUTED_VALUE"""),21850.0)</f>
        <v>21850</v>
      </c>
      <c r="D2117" s="1">
        <f>IFERROR(__xludf.DUMMYFUNCTION("""COMPUTED_VALUE"""),21300.0)</f>
        <v>21300</v>
      </c>
      <c r="E2117" s="1">
        <f>IFERROR(__xludf.DUMMYFUNCTION("""COMPUTED_VALUE"""),21350.0)</f>
        <v>21350</v>
      </c>
      <c r="F2117" s="1">
        <f>IFERROR(__xludf.DUMMYFUNCTION("""COMPUTED_VALUE"""),95206.0)</f>
        <v>95206</v>
      </c>
    </row>
    <row r="2118">
      <c r="A2118" s="2">
        <f>IFERROR(__xludf.DUMMYFUNCTION("""COMPUTED_VALUE"""),44056.64583333333)</f>
        <v>44056.64583</v>
      </c>
      <c r="B2118" s="1">
        <f>IFERROR(__xludf.DUMMYFUNCTION("""COMPUTED_VALUE"""),21200.0)</f>
        <v>21200</v>
      </c>
      <c r="C2118" s="1">
        <f>IFERROR(__xludf.DUMMYFUNCTION("""COMPUTED_VALUE"""),21550.0)</f>
        <v>21550</v>
      </c>
      <c r="D2118" s="1">
        <f>IFERROR(__xludf.DUMMYFUNCTION("""COMPUTED_VALUE"""),21100.0)</f>
        <v>21100</v>
      </c>
      <c r="E2118" s="1">
        <f>IFERROR(__xludf.DUMMYFUNCTION("""COMPUTED_VALUE"""),21100.0)</f>
        <v>21100</v>
      </c>
      <c r="F2118" s="1">
        <f>IFERROR(__xludf.DUMMYFUNCTION("""COMPUTED_VALUE"""),104416.0)</f>
        <v>104416</v>
      </c>
    </row>
    <row r="2119">
      <c r="A2119" s="2">
        <f>IFERROR(__xludf.DUMMYFUNCTION("""COMPUTED_VALUE"""),44057.64583333333)</f>
        <v>44057.64583</v>
      </c>
      <c r="B2119" s="1">
        <f>IFERROR(__xludf.DUMMYFUNCTION("""COMPUTED_VALUE"""),21200.0)</f>
        <v>21200</v>
      </c>
      <c r="C2119" s="1">
        <f>IFERROR(__xludf.DUMMYFUNCTION("""COMPUTED_VALUE"""),21300.0)</f>
        <v>21300</v>
      </c>
      <c r="D2119" s="1">
        <f>IFERROR(__xludf.DUMMYFUNCTION("""COMPUTED_VALUE"""),20700.0)</f>
        <v>20700</v>
      </c>
      <c r="E2119" s="1">
        <f>IFERROR(__xludf.DUMMYFUNCTION("""COMPUTED_VALUE"""),21050.0)</f>
        <v>21050</v>
      </c>
      <c r="F2119" s="1">
        <f>IFERROR(__xludf.DUMMYFUNCTION("""COMPUTED_VALUE"""),63552.0)</f>
        <v>63552</v>
      </c>
    </row>
    <row r="2120">
      <c r="A2120" s="2">
        <f>IFERROR(__xludf.DUMMYFUNCTION("""COMPUTED_VALUE"""),44061.64583333333)</f>
        <v>44061.64583</v>
      </c>
      <c r="B2120" s="1">
        <f>IFERROR(__xludf.DUMMYFUNCTION("""COMPUTED_VALUE"""),21100.0)</f>
        <v>21100</v>
      </c>
      <c r="C2120" s="1">
        <f>IFERROR(__xludf.DUMMYFUNCTION("""COMPUTED_VALUE"""),21500.0)</f>
        <v>21500</v>
      </c>
      <c r="D2120" s="1">
        <f>IFERROR(__xludf.DUMMYFUNCTION("""COMPUTED_VALUE"""),19450.0)</f>
        <v>19450</v>
      </c>
      <c r="E2120" s="1">
        <f>IFERROR(__xludf.DUMMYFUNCTION("""COMPUTED_VALUE"""),19900.0)</f>
        <v>19900</v>
      </c>
      <c r="F2120" s="1">
        <f>IFERROR(__xludf.DUMMYFUNCTION("""COMPUTED_VALUE"""),123345.0)</f>
        <v>123345</v>
      </c>
    </row>
    <row r="2121">
      <c r="A2121" s="2">
        <f>IFERROR(__xludf.DUMMYFUNCTION("""COMPUTED_VALUE"""),44062.64583333333)</f>
        <v>44062.64583</v>
      </c>
      <c r="B2121" s="1">
        <f>IFERROR(__xludf.DUMMYFUNCTION("""COMPUTED_VALUE"""),19800.0)</f>
        <v>19800</v>
      </c>
      <c r="C2121" s="1">
        <f>IFERROR(__xludf.DUMMYFUNCTION("""COMPUTED_VALUE"""),20350.0)</f>
        <v>20350</v>
      </c>
      <c r="D2121" s="1">
        <f>IFERROR(__xludf.DUMMYFUNCTION("""COMPUTED_VALUE"""),19800.0)</f>
        <v>19800</v>
      </c>
      <c r="E2121" s="1">
        <f>IFERROR(__xludf.DUMMYFUNCTION("""COMPUTED_VALUE"""),20000.0)</f>
        <v>20000</v>
      </c>
      <c r="F2121" s="1">
        <f>IFERROR(__xludf.DUMMYFUNCTION("""COMPUTED_VALUE"""),59511.0)</f>
        <v>59511</v>
      </c>
    </row>
    <row r="2122">
      <c r="A2122" s="2">
        <f>IFERROR(__xludf.DUMMYFUNCTION("""COMPUTED_VALUE"""),44063.64583333333)</f>
        <v>44063.64583</v>
      </c>
      <c r="B2122" s="1">
        <f>IFERROR(__xludf.DUMMYFUNCTION("""COMPUTED_VALUE"""),20200.0)</f>
        <v>20200</v>
      </c>
      <c r="C2122" s="1">
        <f>IFERROR(__xludf.DUMMYFUNCTION("""COMPUTED_VALUE"""),20200.0)</f>
        <v>20200</v>
      </c>
      <c r="D2122" s="1">
        <f>IFERROR(__xludf.DUMMYFUNCTION("""COMPUTED_VALUE"""),18500.0)</f>
        <v>18500</v>
      </c>
      <c r="E2122" s="1">
        <f>IFERROR(__xludf.DUMMYFUNCTION("""COMPUTED_VALUE"""),18950.0)</f>
        <v>18950</v>
      </c>
      <c r="F2122" s="1">
        <f>IFERROR(__xludf.DUMMYFUNCTION("""COMPUTED_VALUE"""),133000.0)</f>
        <v>133000</v>
      </c>
    </row>
    <row r="2123">
      <c r="A2123" s="2">
        <f>IFERROR(__xludf.DUMMYFUNCTION("""COMPUTED_VALUE"""),44064.64583333333)</f>
        <v>44064.64583</v>
      </c>
      <c r="B2123" s="1">
        <f>IFERROR(__xludf.DUMMYFUNCTION("""COMPUTED_VALUE"""),19000.0)</f>
        <v>19000</v>
      </c>
      <c r="C2123" s="1">
        <f>IFERROR(__xludf.DUMMYFUNCTION("""COMPUTED_VALUE"""),19450.0)</f>
        <v>19450</v>
      </c>
      <c r="D2123" s="1">
        <f>IFERROR(__xludf.DUMMYFUNCTION("""COMPUTED_VALUE"""),18600.0)</f>
        <v>18600</v>
      </c>
      <c r="E2123" s="1">
        <f>IFERROR(__xludf.DUMMYFUNCTION("""COMPUTED_VALUE"""),18950.0)</f>
        <v>18950</v>
      </c>
      <c r="F2123" s="1">
        <f>IFERROR(__xludf.DUMMYFUNCTION("""COMPUTED_VALUE"""),58724.0)</f>
        <v>58724</v>
      </c>
    </row>
    <row r="2124">
      <c r="A2124" s="2">
        <f>IFERROR(__xludf.DUMMYFUNCTION("""COMPUTED_VALUE"""),44067.64583333333)</f>
        <v>44067.64583</v>
      </c>
      <c r="B2124" s="1">
        <f>IFERROR(__xludf.DUMMYFUNCTION("""COMPUTED_VALUE"""),18700.0)</f>
        <v>18700</v>
      </c>
      <c r="C2124" s="1">
        <f>IFERROR(__xludf.DUMMYFUNCTION("""COMPUTED_VALUE"""),19200.0)</f>
        <v>19200</v>
      </c>
      <c r="D2124" s="1">
        <f>IFERROR(__xludf.DUMMYFUNCTION("""COMPUTED_VALUE"""),18600.0)</f>
        <v>18600</v>
      </c>
      <c r="E2124" s="1">
        <f>IFERROR(__xludf.DUMMYFUNCTION("""COMPUTED_VALUE"""),18900.0)</f>
        <v>18900</v>
      </c>
      <c r="F2124" s="1">
        <f>IFERROR(__xludf.DUMMYFUNCTION("""COMPUTED_VALUE"""),36355.0)</f>
        <v>36355</v>
      </c>
    </row>
    <row r="2125">
      <c r="A2125" s="2">
        <f>IFERROR(__xludf.DUMMYFUNCTION("""COMPUTED_VALUE"""),44068.64583333333)</f>
        <v>44068.64583</v>
      </c>
      <c r="B2125" s="1">
        <f>IFERROR(__xludf.DUMMYFUNCTION("""COMPUTED_VALUE"""),18850.0)</f>
        <v>18850</v>
      </c>
      <c r="C2125" s="1">
        <f>IFERROR(__xludf.DUMMYFUNCTION("""COMPUTED_VALUE"""),19850.0)</f>
        <v>19850</v>
      </c>
      <c r="D2125" s="1">
        <f>IFERROR(__xludf.DUMMYFUNCTION("""COMPUTED_VALUE"""),18850.0)</f>
        <v>18850</v>
      </c>
      <c r="E2125" s="1">
        <f>IFERROR(__xludf.DUMMYFUNCTION("""COMPUTED_VALUE"""),19700.0)</f>
        <v>19700</v>
      </c>
      <c r="F2125" s="1">
        <f>IFERROR(__xludf.DUMMYFUNCTION("""COMPUTED_VALUE"""),89758.0)</f>
        <v>89758</v>
      </c>
    </row>
    <row r="2126">
      <c r="A2126" s="2">
        <f>IFERROR(__xludf.DUMMYFUNCTION("""COMPUTED_VALUE"""),44069.64583333333)</f>
        <v>44069.64583</v>
      </c>
      <c r="B2126" s="1">
        <f>IFERROR(__xludf.DUMMYFUNCTION("""COMPUTED_VALUE"""),19700.0)</f>
        <v>19700</v>
      </c>
      <c r="C2126" s="1">
        <f>IFERROR(__xludf.DUMMYFUNCTION("""COMPUTED_VALUE"""),19800.0)</f>
        <v>19800</v>
      </c>
      <c r="D2126" s="1">
        <f>IFERROR(__xludf.DUMMYFUNCTION("""COMPUTED_VALUE"""),19250.0)</f>
        <v>19250</v>
      </c>
      <c r="E2126" s="1">
        <f>IFERROR(__xludf.DUMMYFUNCTION("""COMPUTED_VALUE"""),19450.0)</f>
        <v>19450</v>
      </c>
      <c r="F2126" s="1">
        <f>IFERROR(__xludf.DUMMYFUNCTION("""COMPUTED_VALUE"""),56701.0)</f>
        <v>56701</v>
      </c>
    </row>
    <row r="2127">
      <c r="A2127" s="2">
        <f>IFERROR(__xludf.DUMMYFUNCTION("""COMPUTED_VALUE"""),44070.64583333333)</f>
        <v>44070.64583</v>
      </c>
      <c r="B2127" s="1">
        <f>IFERROR(__xludf.DUMMYFUNCTION("""COMPUTED_VALUE"""),19400.0)</f>
        <v>19400</v>
      </c>
      <c r="C2127" s="1">
        <f>IFERROR(__xludf.DUMMYFUNCTION("""COMPUTED_VALUE"""),19600.0)</f>
        <v>19600</v>
      </c>
      <c r="D2127" s="1">
        <f>IFERROR(__xludf.DUMMYFUNCTION("""COMPUTED_VALUE"""),18900.0)</f>
        <v>18900</v>
      </c>
      <c r="E2127" s="1">
        <f>IFERROR(__xludf.DUMMYFUNCTION("""COMPUTED_VALUE"""),19000.0)</f>
        <v>19000</v>
      </c>
      <c r="F2127" s="1">
        <f>IFERROR(__xludf.DUMMYFUNCTION("""COMPUTED_VALUE"""),60797.0)</f>
        <v>60797</v>
      </c>
    </row>
    <row r="2128">
      <c r="A2128" s="2">
        <f>IFERROR(__xludf.DUMMYFUNCTION("""COMPUTED_VALUE"""),44071.64583333333)</f>
        <v>44071.64583</v>
      </c>
      <c r="B2128" s="1">
        <f>IFERROR(__xludf.DUMMYFUNCTION("""COMPUTED_VALUE"""),19250.0)</f>
        <v>19250</v>
      </c>
      <c r="C2128" s="1">
        <f>IFERROR(__xludf.DUMMYFUNCTION("""COMPUTED_VALUE"""),19600.0)</f>
        <v>19600</v>
      </c>
      <c r="D2128" s="1">
        <f>IFERROR(__xludf.DUMMYFUNCTION("""COMPUTED_VALUE"""),18950.0)</f>
        <v>18950</v>
      </c>
      <c r="E2128" s="1">
        <f>IFERROR(__xludf.DUMMYFUNCTION("""COMPUTED_VALUE"""),19400.0)</f>
        <v>19400</v>
      </c>
      <c r="F2128" s="1">
        <f>IFERROR(__xludf.DUMMYFUNCTION("""COMPUTED_VALUE"""),77019.0)</f>
        <v>77019</v>
      </c>
    </row>
    <row r="2129">
      <c r="A2129" s="2">
        <f>IFERROR(__xludf.DUMMYFUNCTION("""COMPUTED_VALUE"""),44074.64583333333)</f>
        <v>44074.64583</v>
      </c>
      <c r="B2129" s="1">
        <f>IFERROR(__xludf.DUMMYFUNCTION("""COMPUTED_VALUE"""),19550.0)</f>
        <v>19550</v>
      </c>
      <c r="C2129" s="1">
        <f>IFERROR(__xludf.DUMMYFUNCTION("""COMPUTED_VALUE"""),20550.0)</f>
        <v>20550</v>
      </c>
      <c r="D2129" s="1">
        <f>IFERROR(__xludf.DUMMYFUNCTION("""COMPUTED_VALUE"""),19150.0)</f>
        <v>19150</v>
      </c>
      <c r="E2129" s="1">
        <f>IFERROR(__xludf.DUMMYFUNCTION("""COMPUTED_VALUE"""),19550.0)</f>
        <v>19550</v>
      </c>
      <c r="F2129" s="1">
        <f>IFERROR(__xludf.DUMMYFUNCTION("""COMPUTED_VALUE"""),104463.0)</f>
        <v>104463</v>
      </c>
    </row>
    <row r="2130">
      <c r="A2130" s="2">
        <f>IFERROR(__xludf.DUMMYFUNCTION("""COMPUTED_VALUE"""),44075.64583333333)</f>
        <v>44075.64583</v>
      </c>
      <c r="B2130" s="1">
        <f>IFERROR(__xludf.DUMMYFUNCTION("""COMPUTED_VALUE"""),19900.0)</f>
        <v>19900</v>
      </c>
      <c r="C2130" s="1">
        <f>IFERROR(__xludf.DUMMYFUNCTION("""COMPUTED_VALUE"""),20000.0)</f>
        <v>20000</v>
      </c>
      <c r="D2130" s="1">
        <f>IFERROR(__xludf.DUMMYFUNCTION("""COMPUTED_VALUE"""),19150.0)</f>
        <v>19150</v>
      </c>
      <c r="E2130" s="1">
        <f>IFERROR(__xludf.DUMMYFUNCTION("""COMPUTED_VALUE"""),19600.0)</f>
        <v>19600</v>
      </c>
      <c r="F2130" s="1">
        <f>IFERROR(__xludf.DUMMYFUNCTION("""COMPUTED_VALUE"""),44340.0)</f>
        <v>44340</v>
      </c>
    </row>
    <row r="2131">
      <c r="A2131" s="2">
        <f>IFERROR(__xludf.DUMMYFUNCTION("""COMPUTED_VALUE"""),44076.64583333333)</f>
        <v>44076.64583</v>
      </c>
      <c r="B2131" s="1">
        <f>IFERROR(__xludf.DUMMYFUNCTION("""COMPUTED_VALUE"""),19500.0)</f>
        <v>19500</v>
      </c>
      <c r="C2131" s="1">
        <f>IFERROR(__xludf.DUMMYFUNCTION("""COMPUTED_VALUE"""),19900.0)</f>
        <v>19900</v>
      </c>
      <c r="D2131" s="1">
        <f>IFERROR(__xludf.DUMMYFUNCTION("""COMPUTED_VALUE"""),19500.0)</f>
        <v>19500</v>
      </c>
      <c r="E2131" s="1">
        <f>IFERROR(__xludf.DUMMYFUNCTION("""COMPUTED_VALUE"""),19750.0)</f>
        <v>19750</v>
      </c>
      <c r="F2131" s="1">
        <f>IFERROR(__xludf.DUMMYFUNCTION("""COMPUTED_VALUE"""),44948.0)</f>
        <v>44948</v>
      </c>
    </row>
    <row r="2132">
      <c r="A2132" s="2">
        <f>IFERROR(__xludf.DUMMYFUNCTION("""COMPUTED_VALUE"""),44077.64583333333)</f>
        <v>44077.64583</v>
      </c>
      <c r="B2132" s="1">
        <f>IFERROR(__xludf.DUMMYFUNCTION("""COMPUTED_VALUE"""),19600.0)</f>
        <v>19600</v>
      </c>
      <c r="C2132" s="1">
        <f>IFERROR(__xludf.DUMMYFUNCTION("""COMPUTED_VALUE"""),20150.0)</f>
        <v>20150</v>
      </c>
      <c r="D2132" s="1">
        <f>IFERROR(__xludf.DUMMYFUNCTION("""COMPUTED_VALUE"""),19600.0)</f>
        <v>19600</v>
      </c>
      <c r="E2132" s="1">
        <f>IFERROR(__xludf.DUMMYFUNCTION("""COMPUTED_VALUE"""),20050.0)</f>
        <v>20050</v>
      </c>
      <c r="F2132" s="1">
        <f>IFERROR(__xludf.DUMMYFUNCTION("""COMPUTED_VALUE"""),60931.0)</f>
        <v>60931</v>
      </c>
    </row>
    <row r="2133">
      <c r="A2133" s="2">
        <f>IFERROR(__xludf.DUMMYFUNCTION("""COMPUTED_VALUE"""),44078.64583333333)</f>
        <v>44078.64583</v>
      </c>
      <c r="B2133" s="1">
        <f>IFERROR(__xludf.DUMMYFUNCTION("""COMPUTED_VALUE"""),19300.0)</f>
        <v>19300</v>
      </c>
      <c r="C2133" s="1">
        <f>IFERROR(__xludf.DUMMYFUNCTION("""COMPUTED_VALUE"""),19850.0)</f>
        <v>19850</v>
      </c>
      <c r="D2133" s="1">
        <f>IFERROR(__xludf.DUMMYFUNCTION("""COMPUTED_VALUE"""),19300.0)</f>
        <v>19300</v>
      </c>
      <c r="E2133" s="1">
        <f>IFERROR(__xludf.DUMMYFUNCTION("""COMPUTED_VALUE"""),19750.0)</f>
        <v>19750</v>
      </c>
      <c r="F2133" s="1">
        <f>IFERROR(__xludf.DUMMYFUNCTION("""COMPUTED_VALUE"""),46850.0)</f>
        <v>46850</v>
      </c>
    </row>
    <row r="2134">
      <c r="A2134" s="2">
        <f>IFERROR(__xludf.DUMMYFUNCTION("""COMPUTED_VALUE"""),44081.64583333333)</f>
        <v>44081.64583</v>
      </c>
      <c r="B2134" s="1">
        <f>IFERROR(__xludf.DUMMYFUNCTION("""COMPUTED_VALUE"""),19750.0)</f>
        <v>19750</v>
      </c>
      <c r="C2134" s="1">
        <f>IFERROR(__xludf.DUMMYFUNCTION("""COMPUTED_VALUE"""),20300.0)</f>
        <v>20300</v>
      </c>
      <c r="D2134" s="1">
        <f>IFERROR(__xludf.DUMMYFUNCTION("""COMPUTED_VALUE"""),19650.0)</f>
        <v>19650</v>
      </c>
      <c r="E2134" s="1">
        <f>IFERROR(__xludf.DUMMYFUNCTION("""COMPUTED_VALUE"""),20200.0)</f>
        <v>20200</v>
      </c>
      <c r="F2134" s="1">
        <f>IFERROR(__xludf.DUMMYFUNCTION("""COMPUTED_VALUE"""),64233.0)</f>
        <v>64233</v>
      </c>
    </row>
    <row r="2135">
      <c r="A2135" s="2">
        <f>IFERROR(__xludf.DUMMYFUNCTION("""COMPUTED_VALUE"""),44082.64583333333)</f>
        <v>44082.64583</v>
      </c>
      <c r="B2135" s="1">
        <f>IFERROR(__xludf.DUMMYFUNCTION("""COMPUTED_VALUE"""),20200.0)</f>
        <v>20200</v>
      </c>
      <c r="C2135" s="1">
        <f>IFERROR(__xludf.DUMMYFUNCTION("""COMPUTED_VALUE"""),20200.0)</f>
        <v>20200</v>
      </c>
      <c r="D2135" s="1">
        <f>IFERROR(__xludf.DUMMYFUNCTION("""COMPUTED_VALUE"""),19700.0)</f>
        <v>19700</v>
      </c>
      <c r="E2135" s="1">
        <f>IFERROR(__xludf.DUMMYFUNCTION("""COMPUTED_VALUE"""),19750.0)</f>
        <v>19750</v>
      </c>
      <c r="F2135" s="1">
        <f>IFERROR(__xludf.DUMMYFUNCTION("""COMPUTED_VALUE"""),54272.0)</f>
        <v>54272</v>
      </c>
    </row>
    <row r="2136">
      <c r="A2136" s="2">
        <f>IFERROR(__xludf.DUMMYFUNCTION("""COMPUTED_VALUE"""),44083.64583333333)</f>
        <v>44083.64583</v>
      </c>
      <c r="B2136" s="1">
        <f>IFERROR(__xludf.DUMMYFUNCTION("""COMPUTED_VALUE"""),19750.0)</f>
        <v>19750</v>
      </c>
      <c r="C2136" s="1">
        <f>IFERROR(__xludf.DUMMYFUNCTION("""COMPUTED_VALUE"""),19850.0)</f>
        <v>19850</v>
      </c>
      <c r="D2136" s="1">
        <f>IFERROR(__xludf.DUMMYFUNCTION("""COMPUTED_VALUE"""),19250.0)</f>
        <v>19250</v>
      </c>
      <c r="E2136" s="1">
        <f>IFERROR(__xludf.DUMMYFUNCTION("""COMPUTED_VALUE"""),19350.0)</f>
        <v>19350</v>
      </c>
      <c r="F2136" s="1">
        <f>IFERROR(__xludf.DUMMYFUNCTION("""COMPUTED_VALUE"""),48497.0)</f>
        <v>48497</v>
      </c>
    </row>
    <row r="2137">
      <c r="A2137" s="2">
        <f>IFERROR(__xludf.DUMMYFUNCTION("""COMPUTED_VALUE"""),44084.64583333333)</f>
        <v>44084.64583</v>
      </c>
      <c r="B2137" s="1">
        <f>IFERROR(__xludf.DUMMYFUNCTION("""COMPUTED_VALUE"""),19350.0)</f>
        <v>19350</v>
      </c>
      <c r="C2137" s="1">
        <f>IFERROR(__xludf.DUMMYFUNCTION("""COMPUTED_VALUE"""),19650.0)</f>
        <v>19650</v>
      </c>
      <c r="D2137" s="1">
        <f>IFERROR(__xludf.DUMMYFUNCTION("""COMPUTED_VALUE"""),19300.0)</f>
        <v>19300</v>
      </c>
      <c r="E2137" s="1">
        <f>IFERROR(__xludf.DUMMYFUNCTION("""COMPUTED_VALUE"""),19350.0)</f>
        <v>19350</v>
      </c>
      <c r="F2137" s="1">
        <f>IFERROR(__xludf.DUMMYFUNCTION("""COMPUTED_VALUE"""),53441.0)</f>
        <v>53441</v>
      </c>
    </row>
    <row r="2138">
      <c r="A2138" s="2">
        <f>IFERROR(__xludf.DUMMYFUNCTION("""COMPUTED_VALUE"""),44085.64583333333)</f>
        <v>44085.64583</v>
      </c>
      <c r="B2138" s="1">
        <f>IFERROR(__xludf.DUMMYFUNCTION("""COMPUTED_VALUE"""),19350.0)</f>
        <v>19350</v>
      </c>
      <c r="C2138" s="1">
        <f>IFERROR(__xludf.DUMMYFUNCTION("""COMPUTED_VALUE"""),19550.0)</f>
        <v>19550</v>
      </c>
      <c r="D2138" s="1">
        <f>IFERROR(__xludf.DUMMYFUNCTION("""COMPUTED_VALUE"""),19200.0)</f>
        <v>19200</v>
      </c>
      <c r="E2138" s="1">
        <f>IFERROR(__xludf.DUMMYFUNCTION("""COMPUTED_VALUE"""),19350.0)</f>
        <v>19350</v>
      </c>
      <c r="F2138" s="1">
        <f>IFERROR(__xludf.DUMMYFUNCTION("""COMPUTED_VALUE"""),30432.0)</f>
        <v>30432</v>
      </c>
    </row>
    <row r="2139">
      <c r="A2139" s="2">
        <f>IFERROR(__xludf.DUMMYFUNCTION("""COMPUTED_VALUE"""),44088.64583333333)</f>
        <v>44088.64583</v>
      </c>
      <c r="B2139" s="1">
        <f>IFERROR(__xludf.DUMMYFUNCTION("""COMPUTED_VALUE"""),19550.0)</f>
        <v>19550</v>
      </c>
      <c r="C2139" s="1">
        <f>IFERROR(__xludf.DUMMYFUNCTION("""COMPUTED_VALUE"""),20350.0)</f>
        <v>20350</v>
      </c>
      <c r="D2139" s="1">
        <f>IFERROR(__xludf.DUMMYFUNCTION("""COMPUTED_VALUE"""),19550.0)</f>
        <v>19550</v>
      </c>
      <c r="E2139" s="1">
        <f>IFERROR(__xludf.DUMMYFUNCTION("""COMPUTED_VALUE"""),20000.0)</f>
        <v>20000</v>
      </c>
      <c r="F2139" s="1">
        <f>IFERROR(__xludf.DUMMYFUNCTION("""COMPUTED_VALUE"""),136126.0)</f>
        <v>136126</v>
      </c>
    </row>
    <row r="2140">
      <c r="A2140" s="2">
        <f>IFERROR(__xludf.DUMMYFUNCTION("""COMPUTED_VALUE"""),44089.64583333333)</f>
        <v>44089.64583</v>
      </c>
      <c r="B2140" s="1">
        <f>IFERROR(__xludf.DUMMYFUNCTION("""COMPUTED_VALUE"""),20100.0)</f>
        <v>20100</v>
      </c>
      <c r="C2140" s="1">
        <f>IFERROR(__xludf.DUMMYFUNCTION("""COMPUTED_VALUE"""),20200.0)</f>
        <v>20200</v>
      </c>
      <c r="D2140" s="1">
        <f>IFERROR(__xludf.DUMMYFUNCTION("""COMPUTED_VALUE"""),19750.0)</f>
        <v>19750</v>
      </c>
      <c r="E2140" s="1">
        <f>IFERROR(__xludf.DUMMYFUNCTION("""COMPUTED_VALUE"""),20100.0)</f>
        <v>20100</v>
      </c>
      <c r="F2140" s="1">
        <f>IFERROR(__xludf.DUMMYFUNCTION("""COMPUTED_VALUE"""),42027.0)</f>
        <v>42027</v>
      </c>
    </row>
    <row r="2141">
      <c r="A2141" s="2">
        <f>IFERROR(__xludf.DUMMYFUNCTION("""COMPUTED_VALUE"""),44090.64583333333)</f>
        <v>44090.64583</v>
      </c>
      <c r="B2141" s="1">
        <f>IFERROR(__xludf.DUMMYFUNCTION("""COMPUTED_VALUE"""),19900.0)</f>
        <v>19900</v>
      </c>
      <c r="C2141" s="1">
        <f>IFERROR(__xludf.DUMMYFUNCTION("""COMPUTED_VALUE"""),20250.0)</f>
        <v>20250</v>
      </c>
      <c r="D2141" s="1">
        <f>IFERROR(__xludf.DUMMYFUNCTION("""COMPUTED_VALUE"""),19850.0)</f>
        <v>19850</v>
      </c>
      <c r="E2141" s="1">
        <f>IFERROR(__xludf.DUMMYFUNCTION("""COMPUTED_VALUE"""),20000.0)</f>
        <v>20000</v>
      </c>
      <c r="F2141" s="1">
        <f>IFERROR(__xludf.DUMMYFUNCTION("""COMPUTED_VALUE"""),31514.0)</f>
        <v>31514</v>
      </c>
    </row>
    <row r="2142">
      <c r="A2142" s="2">
        <f>IFERROR(__xludf.DUMMYFUNCTION("""COMPUTED_VALUE"""),44091.64583333333)</f>
        <v>44091.64583</v>
      </c>
      <c r="B2142" s="1">
        <f>IFERROR(__xludf.DUMMYFUNCTION("""COMPUTED_VALUE"""),19950.0)</f>
        <v>19950</v>
      </c>
      <c r="C2142" s="1">
        <f>IFERROR(__xludf.DUMMYFUNCTION("""COMPUTED_VALUE"""),20100.0)</f>
        <v>20100</v>
      </c>
      <c r="D2142" s="1">
        <f>IFERROR(__xludf.DUMMYFUNCTION("""COMPUTED_VALUE"""),19600.0)</f>
        <v>19600</v>
      </c>
      <c r="E2142" s="1">
        <f>IFERROR(__xludf.DUMMYFUNCTION("""COMPUTED_VALUE"""),19700.0)</f>
        <v>19700</v>
      </c>
      <c r="F2142" s="1">
        <f>IFERROR(__xludf.DUMMYFUNCTION("""COMPUTED_VALUE"""),37015.0)</f>
        <v>37015</v>
      </c>
    </row>
    <row r="2143">
      <c r="A2143" s="2">
        <f>IFERROR(__xludf.DUMMYFUNCTION("""COMPUTED_VALUE"""),44092.64583333333)</f>
        <v>44092.64583</v>
      </c>
      <c r="B2143" s="1">
        <f>IFERROR(__xludf.DUMMYFUNCTION("""COMPUTED_VALUE"""),19700.0)</f>
        <v>19700</v>
      </c>
      <c r="C2143" s="1">
        <f>IFERROR(__xludf.DUMMYFUNCTION("""COMPUTED_VALUE"""),19900.0)</f>
        <v>19900</v>
      </c>
      <c r="D2143" s="1">
        <f>IFERROR(__xludf.DUMMYFUNCTION("""COMPUTED_VALUE"""),19500.0)</f>
        <v>19500</v>
      </c>
      <c r="E2143" s="1">
        <f>IFERROR(__xludf.DUMMYFUNCTION("""COMPUTED_VALUE"""),19600.0)</f>
        <v>19600</v>
      </c>
      <c r="F2143" s="1">
        <f>IFERROR(__xludf.DUMMYFUNCTION("""COMPUTED_VALUE"""),23097.0)</f>
        <v>23097</v>
      </c>
    </row>
    <row r="2144">
      <c r="A2144" s="2">
        <f>IFERROR(__xludf.DUMMYFUNCTION("""COMPUTED_VALUE"""),44095.64583333333)</f>
        <v>44095.64583</v>
      </c>
      <c r="B2144" s="1">
        <f>IFERROR(__xludf.DUMMYFUNCTION("""COMPUTED_VALUE"""),19500.0)</f>
        <v>19500</v>
      </c>
      <c r="C2144" s="1">
        <f>IFERROR(__xludf.DUMMYFUNCTION("""COMPUTED_VALUE"""),19750.0)</f>
        <v>19750</v>
      </c>
      <c r="D2144" s="1">
        <f>IFERROR(__xludf.DUMMYFUNCTION("""COMPUTED_VALUE"""),19150.0)</f>
        <v>19150</v>
      </c>
      <c r="E2144" s="1">
        <f>IFERROR(__xludf.DUMMYFUNCTION("""COMPUTED_VALUE"""),19200.0)</f>
        <v>19200</v>
      </c>
      <c r="F2144" s="1">
        <f>IFERROR(__xludf.DUMMYFUNCTION("""COMPUTED_VALUE"""),42193.0)</f>
        <v>42193</v>
      </c>
    </row>
    <row r="2145">
      <c r="A2145" s="2">
        <f>IFERROR(__xludf.DUMMYFUNCTION("""COMPUTED_VALUE"""),44096.64583333333)</f>
        <v>44096.64583</v>
      </c>
      <c r="B2145" s="1">
        <f>IFERROR(__xludf.DUMMYFUNCTION("""COMPUTED_VALUE"""),18950.0)</f>
        <v>18950</v>
      </c>
      <c r="C2145" s="1">
        <f>IFERROR(__xludf.DUMMYFUNCTION("""COMPUTED_VALUE"""),19500.0)</f>
        <v>19500</v>
      </c>
      <c r="D2145" s="1">
        <f>IFERROR(__xludf.DUMMYFUNCTION("""COMPUTED_VALUE"""),18550.0)</f>
        <v>18550</v>
      </c>
      <c r="E2145" s="1">
        <f>IFERROR(__xludf.DUMMYFUNCTION("""COMPUTED_VALUE"""),19150.0)</f>
        <v>19150</v>
      </c>
      <c r="F2145" s="1">
        <f>IFERROR(__xludf.DUMMYFUNCTION("""COMPUTED_VALUE"""),72291.0)</f>
        <v>72291</v>
      </c>
    </row>
    <row r="2146">
      <c r="A2146" s="2">
        <f>IFERROR(__xludf.DUMMYFUNCTION("""COMPUTED_VALUE"""),44097.64583333333)</f>
        <v>44097.64583</v>
      </c>
      <c r="B2146" s="1">
        <f>IFERROR(__xludf.DUMMYFUNCTION("""COMPUTED_VALUE"""),19200.0)</f>
        <v>19200</v>
      </c>
      <c r="C2146" s="1">
        <f>IFERROR(__xludf.DUMMYFUNCTION("""COMPUTED_VALUE"""),19700.0)</f>
        <v>19700</v>
      </c>
      <c r="D2146" s="1">
        <f>IFERROR(__xludf.DUMMYFUNCTION("""COMPUTED_VALUE"""),17700.0)</f>
        <v>17700</v>
      </c>
      <c r="E2146" s="1">
        <f>IFERROR(__xludf.DUMMYFUNCTION("""COMPUTED_VALUE"""),19300.0)</f>
        <v>19300</v>
      </c>
      <c r="F2146" s="1">
        <f>IFERROR(__xludf.DUMMYFUNCTION("""COMPUTED_VALUE"""),103352.0)</f>
        <v>103352</v>
      </c>
    </row>
    <row r="2147">
      <c r="A2147" s="2">
        <f>IFERROR(__xludf.DUMMYFUNCTION("""COMPUTED_VALUE"""),44098.64583333333)</f>
        <v>44098.64583</v>
      </c>
      <c r="B2147" s="1">
        <f>IFERROR(__xludf.DUMMYFUNCTION("""COMPUTED_VALUE"""),18800.0)</f>
        <v>18800</v>
      </c>
      <c r="C2147" s="1">
        <f>IFERROR(__xludf.DUMMYFUNCTION("""COMPUTED_VALUE"""),19350.0)</f>
        <v>19350</v>
      </c>
      <c r="D2147" s="1">
        <f>IFERROR(__xludf.DUMMYFUNCTION("""COMPUTED_VALUE"""),18350.0)</f>
        <v>18350</v>
      </c>
      <c r="E2147" s="1">
        <f>IFERROR(__xludf.DUMMYFUNCTION("""COMPUTED_VALUE"""),18500.0)</f>
        <v>18500</v>
      </c>
      <c r="F2147" s="1">
        <f>IFERROR(__xludf.DUMMYFUNCTION("""COMPUTED_VALUE"""),47808.0)</f>
        <v>47808</v>
      </c>
    </row>
    <row r="2148">
      <c r="A2148" s="2">
        <f>IFERROR(__xludf.DUMMYFUNCTION("""COMPUTED_VALUE"""),44099.64583333333)</f>
        <v>44099.64583</v>
      </c>
      <c r="B2148" s="1">
        <f>IFERROR(__xludf.DUMMYFUNCTION("""COMPUTED_VALUE"""),18400.0)</f>
        <v>18400</v>
      </c>
      <c r="C2148" s="1">
        <f>IFERROR(__xludf.DUMMYFUNCTION("""COMPUTED_VALUE"""),18650.0)</f>
        <v>18650</v>
      </c>
      <c r="D2148" s="1">
        <f>IFERROR(__xludf.DUMMYFUNCTION("""COMPUTED_VALUE"""),18200.0)</f>
        <v>18200</v>
      </c>
      <c r="E2148" s="1">
        <f>IFERROR(__xludf.DUMMYFUNCTION("""COMPUTED_VALUE"""),18250.0)</f>
        <v>18250</v>
      </c>
      <c r="F2148" s="1">
        <f>IFERROR(__xludf.DUMMYFUNCTION("""COMPUTED_VALUE"""),42620.0)</f>
        <v>42620</v>
      </c>
    </row>
    <row r="2149">
      <c r="A2149" s="2">
        <f>IFERROR(__xludf.DUMMYFUNCTION("""COMPUTED_VALUE"""),44102.64583333333)</f>
        <v>44102.64583</v>
      </c>
      <c r="B2149" s="1">
        <f>IFERROR(__xludf.DUMMYFUNCTION("""COMPUTED_VALUE"""),18300.0)</f>
        <v>18300</v>
      </c>
      <c r="C2149" s="1">
        <f>IFERROR(__xludf.DUMMYFUNCTION("""COMPUTED_VALUE"""),18950.0)</f>
        <v>18950</v>
      </c>
      <c r="D2149" s="1">
        <f>IFERROR(__xludf.DUMMYFUNCTION("""COMPUTED_VALUE"""),18300.0)</f>
        <v>18300</v>
      </c>
      <c r="E2149" s="1">
        <f>IFERROR(__xludf.DUMMYFUNCTION("""COMPUTED_VALUE"""),18800.0)</f>
        <v>18800</v>
      </c>
      <c r="F2149" s="1">
        <f>IFERROR(__xludf.DUMMYFUNCTION("""COMPUTED_VALUE"""),34872.0)</f>
        <v>34872</v>
      </c>
    </row>
    <row r="2150">
      <c r="A2150" s="2">
        <f>IFERROR(__xludf.DUMMYFUNCTION("""COMPUTED_VALUE"""),44103.64583333333)</f>
        <v>44103.64583</v>
      </c>
      <c r="B2150" s="1">
        <f>IFERROR(__xludf.DUMMYFUNCTION("""COMPUTED_VALUE"""),18600.0)</f>
        <v>18600</v>
      </c>
      <c r="C2150" s="1">
        <f>IFERROR(__xludf.DUMMYFUNCTION("""COMPUTED_VALUE"""),19150.0)</f>
        <v>19150</v>
      </c>
      <c r="D2150" s="1">
        <f>IFERROR(__xludf.DUMMYFUNCTION("""COMPUTED_VALUE"""),18600.0)</f>
        <v>18600</v>
      </c>
      <c r="E2150" s="1">
        <f>IFERROR(__xludf.DUMMYFUNCTION("""COMPUTED_VALUE"""),18900.0)</f>
        <v>18900</v>
      </c>
      <c r="F2150" s="1">
        <f>IFERROR(__xludf.DUMMYFUNCTION("""COMPUTED_VALUE"""),19164.0)</f>
        <v>19164</v>
      </c>
    </row>
    <row r="2151">
      <c r="A2151" s="2">
        <f>IFERROR(__xludf.DUMMYFUNCTION("""COMPUTED_VALUE"""),44109.64583333333)</f>
        <v>44109.64583</v>
      </c>
      <c r="B2151" s="1">
        <f>IFERROR(__xludf.DUMMYFUNCTION("""COMPUTED_VALUE"""),18650.0)</f>
        <v>18650</v>
      </c>
      <c r="C2151" s="1">
        <f>IFERROR(__xludf.DUMMYFUNCTION("""COMPUTED_VALUE"""),19350.0)</f>
        <v>19350</v>
      </c>
      <c r="D2151" s="1">
        <f>IFERROR(__xludf.DUMMYFUNCTION("""COMPUTED_VALUE"""),18650.0)</f>
        <v>18650</v>
      </c>
      <c r="E2151" s="1">
        <f>IFERROR(__xludf.DUMMYFUNCTION("""COMPUTED_VALUE"""),19050.0)</f>
        <v>19050</v>
      </c>
      <c r="F2151" s="1">
        <f>IFERROR(__xludf.DUMMYFUNCTION("""COMPUTED_VALUE"""),33590.0)</f>
        <v>33590</v>
      </c>
    </row>
    <row r="2152">
      <c r="A2152" s="2">
        <f>IFERROR(__xludf.DUMMYFUNCTION("""COMPUTED_VALUE"""),44110.64583333333)</f>
        <v>44110.64583</v>
      </c>
      <c r="B2152" s="1">
        <f>IFERROR(__xludf.DUMMYFUNCTION("""COMPUTED_VALUE"""),19150.0)</f>
        <v>19150</v>
      </c>
      <c r="C2152" s="1">
        <f>IFERROR(__xludf.DUMMYFUNCTION("""COMPUTED_VALUE"""),22700.0)</f>
        <v>22700</v>
      </c>
      <c r="D2152" s="1">
        <f>IFERROR(__xludf.DUMMYFUNCTION("""COMPUTED_VALUE"""),19050.0)</f>
        <v>19050</v>
      </c>
      <c r="E2152" s="1">
        <f>IFERROR(__xludf.DUMMYFUNCTION("""COMPUTED_VALUE"""),20850.0)</f>
        <v>20850</v>
      </c>
      <c r="F2152" s="1">
        <f>IFERROR(__xludf.DUMMYFUNCTION("""COMPUTED_VALUE"""),3191619.0)</f>
        <v>3191619</v>
      </c>
    </row>
    <row r="2153">
      <c r="A2153" s="2">
        <f>IFERROR(__xludf.DUMMYFUNCTION("""COMPUTED_VALUE"""),44111.64583333333)</f>
        <v>44111.64583</v>
      </c>
      <c r="B2153" s="1">
        <f>IFERROR(__xludf.DUMMYFUNCTION("""COMPUTED_VALUE"""),20500.0)</f>
        <v>20500</v>
      </c>
      <c r="C2153" s="1">
        <f>IFERROR(__xludf.DUMMYFUNCTION("""COMPUTED_VALUE"""),21400.0)</f>
        <v>21400</v>
      </c>
      <c r="D2153" s="1">
        <f>IFERROR(__xludf.DUMMYFUNCTION("""COMPUTED_VALUE"""),20450.0)</f>
        <v>20450</v>
      </c>
      <c r="E2153" s="1">
        <f>IFERROR(__xludf.DUMMYFUNCTION("""COMPUTED_VALUE"""),20950.0)</f>
        <v>20950</v>
      </c>
      <c r="F2153" s="1">
        <f>IFERROR(__xludf.DUMMYFUNCTION("""COMPUTED_VALUE"""),445134.0)</f>
        <v>445134</v>
      </c>
    </row>
    <row r="2154">
      <c r="A2154" s="2">
        <f>IFERROR(__xludf.DUMMYFUNCTION("""COMPUTED_VALUE"""),44112.64583333333)</f>
        <v>44112.64583</v>
      </c>
      <c r="B2154" s="1">
        <f>IFERROR(__xludf.DUMMYFUNCTION("""COMPUTED_VALUE"""),20950.0)</f>
        <v>20950</v>
      </c>
      <c r="C2154" s="1">
        <f>IFERROR(__xludf.DUMMYFUNCTION("""COMPUTED_VALUE"""),21150.0)</f>
        <v>21150</v>
      </c>
      <c r="D2154" s="1">
        <f>IFERROR(__xludf.DUMMYFUNCTION("""COMPUTED_VALUE"""),20400.0)</f>
        <v>20400</v>
      </c>
      <c r="E2154" s="1">
        <f>IFERROR(__xludf.DUMMYFUNCTION("""COMPUTED_VALUE"""),20500.0)</f>
        <v>20500</v>
      </c>
      <c r="F2154" s="1">
        <f>IFERROR(__xludf.DUMMYFUNCTION("""COMPUTED_VALUE"""),144456.0)</f>
        <v>144456</v>
      </c>
    </row>
    <row r="2155">
      <c r="A2155" s="2">
        <f>IFERROR(__xludf.DUMMYFUNCTION("""COMPUTED_VALUE"""),44116.64583333333)</f>
        <v>44116.64583</v>
      </c>
      <c r="B2155" s="1">
        <f>IFERROR(__xludf.DUMMYFUNCTION("""COMPUTED_VALUE"""),20500.0)</f>
        <v>20500</v>
      </c>
      <c r="C2155" s="1">
        <f>IFERROR(__xludf.DUMMYFUNCTION("""COMPUTED_VALUE"""),21450.0)</f>
        <v>21450</v>
      </c>
      <c r="D2155" s="1">
        <f>IFERROR(__xludf.DUMMYFUNCTION("""COMPUTED_VALUE"""),20400.0)</f>
        <v>20400</v>
      </c>
      <c r="E2155" s="1">
        <f>IFERROR(__xludf.DUMMYFUNCTION("""COMPUTED_VALUE"""),21000.0)</f>
        <v>21000</v>
      </c>
      <c r="F2155" s="1">
        <f>IFERROR(__xludf.DUMMYFUNCTION("""COMPUTED_VALUE"""),306380.0)</f>
        <v>306380</v>
      </c>
    </row>
    <row r="2156">
      <c r="A2156" s="2">
        <f>IFERROR(__xludf.DUMMYFUNCTION("""COMPUTED_VALUE"""),44117.64583333333)</f>
        <v>44117.64583</v>
      </c>
      <c r="B2156" s="1">
        <f>IFERROR(__xludf.DUMMYFUNCTION("""COMPUTED_VALUE"""),21000.0)</f>
        <v>21000</v>
      </c>
      <c r="C2156" s="1">
        <f>IFERROR(__xludf.DUMMYFUNCTION("""COMPUTED_VALUE"""),21750.0)</f>
        <v>21750</v>
      </c>
      <c r="D2156" s="1">
        <f>IFERROR(__xludf.DUMMYFUNCTION("""COMPUTED_VALUE"""),20800.0)</f>
        <v>20800</v>
      </c>
      <c r="E2156" s="1">
        <f>IFERROR(__xludf.DUMMYFUNCTION("""COMPUTED_VALUE"""),21550.0)</f>
        <v>21550</v>
      </c>
      <c r="F2156" s="1">
        <f>IFERROR(__xludf.DUMMYFUNCTION("""COMPUTED_VALUE"""),218657.0)</f>
        <v>218657</v>
      </c>
    </row>
    <row r="2157">
      <c r="A2157" s="2">
        <f>IFERROR(__xludf.DUMMYFUNCTION("""COMPUTED_VALUE"""),44118.64583333333)</f>
        <v>44118.64583</v>
      </c>
      <c r="B2157" s="1">
        <f>IFERROR(__xludf.DUMMYFUNCTION("""COMPUTED_VALUE"""),21450.0)</f>
        <v>21450</v>
      </c>
      <c r="C2157" s="1">
        <f>IFERROR(__xludf.DUMMYFUNCTION("""COMPUTED_VALUE"""),21850.0)</f>
        <v>21850</v>
      </c>
      <c r="D2157" s="1">
        <f>IFERROR(__xludf.DUMMYFUNCTION("""COMPUTED_VALUE"""),20800.0)</f>
        <v>20800</v>
      </c>
      <c r="E2157" s="1">
        <f>IFERROR(__xludf.DUMMYFUNCTION("""COMPUTED_VALUE"""),20800.0)</f>
        <v>20800</v>
      </c>
      <c r="F2157" s="1">
        <f>IFERROR(__xludf.DUMMYFUNCTION("""COMPUTED_VALUE"""),152743.0)</f>
        <v>152743</v>
      </c>
    </row>
    <row r="2158">
      <c r="A2158" s="2">
        <f>IFERROR(__xludf.DUMMYFUNCTION("""COMPUTED_VALUE"""),44119.64583333333)</f>
        <v>44119.64583</v>
      </c>
      <c r="B2158" s="1">
        <f>IFERROR(__xludf.DUMMYFUNCTION("""COMPUTED_VALUE"""),20850.0)</f>
        <v>20850</v>
      </c>
      <c r="C2158" s="1">
        <f>IFERROR(__xludf.DUMMYFUNCTION("""COMPUTED_VALUE"""),22200.0)</f>
        <v>22200</v>
      </c>
      <c r="D2158" s="1">
        <f>IFERROR(__xludf.DUMMYFUNCTION("""COMPUTED_VALUE"""),20250.0)</f>
        <v>20250</v>
      </c>
      <c r="E2158" s="1">
        <f>IFERROR(__xludf.DUMMYFUNCTION("""COMPUTED_VALUE"""),21300.0)</f>
        <v>21300</v>
      </c>
      <c r="F2158" s="1">
        <f>IFERROR(__xludf.DUMMYFUNCTION("""COMPUTED_VALUE"""),224317.0)</f>
        <v>224317</v>
      </c>
    </row>
    <row r="2159">
      <c r="A2159" s="2">
        <f>IFERROR(__xludf.DUMMYFUNCTION("""COMPUTED_VALUE"""),44120.64583333333)</f>
        <v>44120.64583</v>
      </c>
      <c r="B2159" s="1">
        <f>IFERROR(__xludf.DUMMYFUNCTION("""COMPUTED_VALUE"""),21200.0)</f>
        <v>21200</v>
      </c>
      <c r="C2159" s="1">
        <f>IFERROR(__xludf.DUMMYFUNCTION("""COMPUTED_VALUE"""),21700.0)</f>
        <v>21700</v>
      </c>
      <c r="D2159" s="1">
        <f>IFERROR(__xludf.DUMMYFUNCTION("""COMPUTED_VALUE"""),20600.0)</f>
        <v>20600</v>
      </c>
      <c r="E2159" s="1">
        <f>IFERROR(__xludf.DUMMYFUNCTION("""COMPUTED_VALUE"""),21400.0)</f>
        <v>21400</v>
      </c>
      <c r="F2159" s="1">
        <f>IFERROR(__xludf.DUMMYFUNCTION("""COMPUTED_VALUE"""),212653.0)</f>
        <v>212653</v>
      </c>
    </row>
    <row r="2160">
      <c r="A2160" s="2">
        <f>IFERROR(__xludf.DUMMYFUNCTION("""COMPUTED_VALUE"""),44123.64583333333)</f>
        <v>44123.64583</v>
      </c>
      <c r="B2160" s="1">
        <f>IFERROR(__xludf.DUMMYFUNCTION("""COMPUTED_VALUE"""),21800.0)</f>
        <v>21800</v>
      </c>
      <c r="C2160" s="1">
        <f>IFERROR(__xludf.DUMMYFUNCTION("""COMPUTED_VALUE"""),21900.0)</f>
        <v>21900</v>
      </c>
      <c r="D2160" s="1">
        <f>IFERROR(__xludf.DUMMYFUNCTION("""COMPUTED_VALUE"""),21250.0)</f>
        <v>21250</v>
      </c>
      <c r="E2160" s="1">
        <f>IFERROR(__xludf.DUMMYFUNCTION("""COMPUTED_VALUE"""),21300.0)</f>
        <v>21300</v>
      </c>
      <c r="F2160" s="1">
        <f>IFERROR(__xludf.DUMMYFUNCTION("""COMPUTED_VALUE"""),163626.0)</f>
        <v>163626</v>
      </c>
    </row>
    <row r="2161">
      <c r="A2161" s="2">
        <f>IFERROR(__xludf.DUMMYFUNCTION("""COMPUTED_VALUE"""),44124.64583333333)</f>
        <v>44124.64583</v>
      </c>
      <c r="B2161" s="1">
        <f>IFERROR(__xludf.DUMMYFUNCTION("""COMPUTED_VALUE"""),21100.0)</f>
        <v>21100</v>
      </c>
      <c r="C2161" s="1">
        <f>IFERROR(__xludf.DUMMYFUNCTION("""COMPUTED_VALUE"""),21550.0)</f>
        <v>21550</v>
      </c>
      <c r="D2161" s="1">
        <f>IFERROR(__xludf.DUMMYFUNCTION("""COMPUTED_VALUE"""),20800.0)</f>
        <v>20800</v>
      </c>
      <c r="E2161" s="1">
        <f>IFERROR(__xludf.DUMMYFUNCTION("""COMPUTED_VALUE"""),21000.0)</f>
        <v>21000</v>
      </c>
      <c r="F2161" s="1">
        <f>IFERROR(__xludf.DUMMYFUNCTION("""COMPUTED_VALUE"""),98998.0)</f>
        <v>98998</v>
      </c>
    </row>
    <row r="2162">
      <c r="A2162" s="2">
        <f>IFERROR(__xludf.DUMMYFUNCTION("""COMPUTED_VALUE"""),44125.64583333333)</f>
        <v>44125.64583</v>
      </c>
      <c r="B2162" s="1">
        <f>IFERROR(__xludf.DUMMYFUNCTION("""COMPUTED_VALUE"""),21100.0)</f>
        <v>21100</v>
      </c>
      <c r="C2162" s="1">
        <f>IFERROR(__xludf.DUMMYFUNCTION("""COMPUTED_VALUE"""),22450.0)</f>
        <v>22450</v>
      </c>
      <c r="D2162" s="1">
        <f>IFERROR(__xludf.DUMMYFUNCTION("""COMPUTED_VALUE"""),21100.0)</f>
        <v>21100</v>
      </c>
      <c r="E2162" s="1">
        <f>IFERROR(__xludf.DUMMYFUNCTION("""COMPUTED_VALUE"""),21450.0)</f>
        <v>21450</v>
      </c>
      <c r="F2162" s="1">
        <f>IFERROR(__xludf.DUMMYFUNCTION("""COMPUTED_VALUE"""),494538.0)</f>
        <v>494538</v>
      </c>
    </row>
    <row r="2163">
      <c r="A2163" s="2">
        <f>IFERROR(__xludf.DUMMYFUNCTION("""COMPUTED_VALUE"""),44126.64583333333)</f>
        <v>44126.64583</v>
      </c>
      <c r="B2163" s="1">
        <f>IFERROR(__xludf.DUMMYFUNCTION("""COMPUTED_VALUE"""),21900.0)</f>
        <v>21900</v>
      </c>
      <c r="C2163" s="1">
        <f>IFERROR(__xludf.DUMMYFUNCTION("""COMPUTED_VALUE"""),23700.0)</f>
        <v>23700</v>
      </c>
      <c r="D2163" s="1">
        <f>IFERROR(__xludf.DUMMYFUNCTION("""COMPUTED_VALUE"""),21650.0)</f>
        <v>21650</v>
      </c>
      <c r="E2163" s="1">
        <f>IFERROR(__xludf.DUMMYFUNCTION("""COMPUTED_VALUE"""),23400.0)</f>
        <v>23400</v>
      </c>
      <c r="F2163" s="1">
        <f>IFERROR(__xludf.DUMMYFUNCTION("""COMPUTED_VALUE"""),1916670.0)</f>
        <v>1916670</v>
      </c>
    </row>
    <row r="2164">
      <c r="A2164" s="2">
        <f>IFERROR(__xludf.DUMMYFUNCTION("""COMPUTED_VALUE"""),44127.64583333333)</f>
        <v>44127.64583</v>
      </c>
      <c r="B2164" s="1">
        <f>IFERROR(__xludf.DUMMYFUNCTION("""COMPUTED_VALUE"""),22800.0)</f>
        <v>22800</v>
      </c>
      <c r="C2164" s="1">
        <f>IFERROR(__xludf.DUMMYFUNCTION("""COMPUTED_VALUE"""),23600.0)</f>
        <v>23600</v>
      </c>
      <c r="D2164" s="1">
        <f>IFERROR(__xludf.DUMMYFUNCTION("""COMPUTED_VALUE"""),22050.0)</f>
        <v>22050</v>
      </c>
      <c r="E2164" s="1">
        <f>IFERROR(__xludf.DUMMYFUNCTION("""COMPUTED_VALUE"""),23400.0)</f>
        <v>23400</v>
      </c>
      <c r="F2164" s="1">
        <f>IFERROR(__xludf.DUMMYFUNCTION("""COMPUTED_VALUE"""),701250.0)</f>
        <v>701250</v>
      </c>
    </row>
    <row r="2165">
      <c r="A2165" s="2">
        <f>IFERROR(__xludf.DUMMYFUNCTION("""COMPUTED_VALUE"""),44130.64583333333)</f>
        <v>44130.64583</v>
      </c>
      <c r="B2165" s="1">
        <f>IFERROR(__xludf.DUMMYFUNCTION("""COMPUTED_VALUE"""),23400.0)</f>
        <v>23400</v>
      </c>
      <c r="C2165" s="1">
        <f>IFERROR(__xludf.DUMMYFUNCTION("""COMPUTED_VALUE"""),23950.0)</f>
        <v>23950</v>
      </c>
      <c r="D2165" s="1">
        <f>IFERROR(__xludf.DUMMYFUNCTION("""COMPUTED_VALUE"""),22500.0)</f>
        <v>22500</v>
      </c>
      <c r="E2165" s="1">
        <f>IFERROR(__xludf.DUMMYFUNCTION("""COMPUTED_VALUE"""),22900.0)</f>
        <v>22900</v>
      </c>
      <c r="F2165" s="1">
        <f>IFERROR(__xludf.DUMMYFUNCTION("""COMPUTED_VALUE"""),821417.0)</f>
        <v>821417</v>
      </c>
    </row>
    <row r="2166">
      <c r="A2166" s="2">
        <f>IFERROR(__xludf.DUMMYFUNCTION("""COMPUTED_VALUE"""),44131.64583333333)</f>
        <v>44131.64583</v>
      </c>
      <c r="B2166" s="1">
        <f>IFERROR(__xludf.DUMMYFUNCTION("""COMPUTED_VALUE"""),22600.0)</f>
        <v>22600</v>
      </c>
      <c r="C2166" s="1">
        <f>IFERROR(__xludf.DUMMYFUNCTION("""COMPUTED_VALUE"""),22800.0)</f>
        <v>22800</v>
      </c>
      <c r="D2166" s="1">
        <f>IFERROR(__xludf.DUMMYFUNCTION("""COMPUTED_VALUE"""),21950.0)</f>
        <v>21950</v>
      </c>
      <c r="E2166" s="1">
        <f>IFERROR(__xludf.DUMMYFUNCTION("""COMPUTED_VALUE"""),22200.0)</f>
        <v>22200</v>
      </c>
      <c r="F2166" s="1">
        <f>IFERROR(__xludf.DUMMYFUNCTION("""COMPUTED_VALUE"""),317963.0)</f>
        <v>317963</v>
      </c>
    </row>
    <row r="2167">
      <c r="A2167" s="2">
        <f>IFERROR(__xludf.DUMMYFUNCTION("""COMPUTED_VALUE"""),44132.64583333333)</f>
        <v>44132.64583</v>
      </c>
      <c r="B2167" s="1">
        <f>IFERROR(__xludf.DUMMYFUNCTION("""COMPUTED_VALUE"""),22200.0)</f>
        <v>22200</v>
      </c>
      <c r="C2167" s="1">
        <f>IFERROR(__xludf.DUMMYFUNCTION("""COMPUTED_VALUE"""),23200.0)</f>
        <v>23200</v>
      </c>
      <c r="D2167" s="1">
        <f>IFERROR(__xludf.DUMMYFUNCTION("""COMPUTED_VALUE"""),22000.0)</f>
        <v>22000</v>
      </c>
      <c r="E2167" s="1">
        <f>IFERROR(__xludf.DUMMYFUNCTION("""COMPUTED_VALUE"""),23100.0)</f>
        <v>23100</v>
      </c>
      <c r="F2167" s="1">
        <f>IFERROR(__xludf.DUMMYFUNCTION("""COMPUTED_VALUE"""),242344.0)</f>
        <v>242344</v>
      </c>
    </row>
    <row r="2168">
      <c r="A2168" s="2">
        <f>IFERROR(__xludf.DUMMYFUNCTION("""COMPUTED_VALUE"""),44133.64583333333)</f>
        <v>44133.64583</v>
      </c>
      <c r="B2168" s="1">
        <f>IFERROR(__xludf.DUMMYFUNCTION("""COMPUTED_VALUE"""),22550.0)</f>
        <v>22550</v>
      </c>
      <c r="C2168" s="1">
        <f>IFERROR(__xludf.DUMMYFUNCTION("""COMPUTED_VALUE"""),23250.0)</f>
        <v>23250</v>
      </c>
      <c r="D2168" s="1">
        <f>IFERROR(__xludf.DUMMYFUNCTION("""COMPUTED_VALUE"""),22350.0)</f>
        <v>22350</v>
      </c>
      <c r="E2168" s="1">
        <f>IFERROR(__xludf.DUMMYFUNCTION("""COMPUTED_VALUE"""),23200.0)</f>
        <v>23200</v>
      </c>
      <c r="F2168" s="1">
        <f>IFERROR(__xludf.DUMMYFUNCTION("""COMPUTED_VALUE"""),206564.0)</f>
        <v>206564</v>
      </c>
    </row>
    <row r="2169">
      <c r="A2169" s="2">
        <f>IFERROR(__xludf.DUMMYFUNCTION("""COMPUTED_VALUE"""),44134.64583333333)</f>
        <v>44134.64583</v>
      </c>
      <c r="B2169" s="1">
        <f>IFERROR(__xludf.DUMMYFUNCTION("""COMPUTED_VALUE"""),23350.0)</f>
        <v>23350</v>
      </c>
      <c r="C2169" s="1">
        <f>IFERROR(__xludf.DUMMYFUNCTION("""COMPUTED_VALUE"""),24200.0)</f>
        <v>24200</v>
      </c>
      <c r="D2169" s="1">
        <f>IFERROR(__xludf.DUMMYFUNCTION("""COMPUTED_VALUE"""),22950.0)</f>
        <v>22950</v>
      </c>
      <c r="E2169" s="1">
        <f>IFERROR(__xludf.DUMMYFUNCTION("""COMPUTED_VALUE"""),23850.0)</f>
        <v>23850</v>
      </c>
      <c r="F2169" s="1">
        <f>IFERROR(__xludf.DUMMYFUNCTION("""COMPUTED_VALUE"""),831975.0)</f>
        <v>831975</v>
      </c>
    </row>
    <row r="2170">
      <c r="A2170" s="2">
        <f>IFERROR(__xludf.DUMMYFUNCTION("""COMPUTED_VALUE"""),44137.64583333333)</f>
        <v>44137.64583</v>
      </c>
      <c r="B2170" s="1">
        <f>IFERROR(__xludf.DUMMYFUNCTION("""COMPUTED_VALUE"""),24800.0)</f>
        <v>24800</v>
      </c>
      <c r="C2170" s="1">
        <f>IFERROR(__xludf.DUMMYFUNCTION("""COMPUTED_VALUE"""),28000.0)</f>
        <v>28000</v>
      </c>
      <c r="D2170" s="1">
        <f>IFERROR(__xludf.DUMMYFUNCTION("""COMPUTED_VALUE"""),22750.0)</f>
        <v>22750</v>
      </c>
      <c r="E2170" s="1">
        <f>IFERROR(__xludf.DUMMYFUNCTION("""COMPUTED_VALUE"""),22750.0)</f>
        <v>22750</v>
      </c>
      <c r="F2170" s="1">
        <f>IFERROR(__xludf.DUMMYFUNCTION("""COMPUTED_VALUE"""),9162854.0)</f>
        <v>9162854</v>
      </c>
    </row>
    <row r="2171">
      <c r="A2171" s="2">
        <f>IFERROR(__xludf.DUMMYFUNCTION("""COMPUTED_VALUE"""),44138.64583333333)</f>
        <v>44138.64583</v>
      </c>
      <c r="B2171" s="1">
        <f>IFERROR(__xludf.DUMMYFUNCTION("""COMPUTED_VALUE"""),22700.0)</f>
        <v>22700</v>
      </c>
      <c r="C2171" s="1">
        <f>IFERROR(__xludf.DUMMYFUNCTION("""COMPUTED_VALUE"""),23000.0)</f>
        <v>23000</v>
      </c>
      <c r="D2171" s="1">
        <f>IFERROR(__xludf.DUMMYFUNCTION("""COMPUTED_VALUE"""),21800.0)</f>
        <v>21800</v>
      </c>
      <c r="E2171" s="1">
        <f>IFERROR(__xludf.DUMMYFUNCTION("""COMPUTED_VALUE"""),22050.0)</f>
        <v>22050</v>
      </c>
      <c r="F2171" s="1">
        <f>IFERROR(__xludf.DUMMYFUNCTION("""COMPUTED_VALUE"""),1138107.0)</f>
        <v>1138107</v>
      </c>
    </row>
    <row r="2172">
      <c r="A2172" s="2">
        <f>IFERROR(__xludf.DUMMYFUNCTION("""COMPUTED_VALUE"""),44139.64583333333)</f>
        <v>44139.64583</v>
      </c>
      <c r="B2172" s="1">
        <f>IFERROR(__xludf.DUMMYFUNCTION("""COMPUTED_VALUE"""),22250.0)</f>
        <v>22250</v>
      </c>
      <c r="C2172" s="1">
        <f>IFERROR(__xludf.DUMMYFUNCTION("""COMPUTED_VALUE"""),22550.0)</f>
        <v>22550</v>
      </c>
      <c r="D2172" s="1">
        <f>IFERROR(__xludf.DUMMYFUNCTION("""COMPUTED_VALUE"""),21850.0)</f>
        <v>21850</v>
      </c>
      <c r="E2172" s="1">
        <f>IFERROR(__xludf.DUMMYFUNCTION("""COMPUTED_VALUE"""),22050.0)</f>
        <v>22050</v>
      </c>
      <c r="F2172" s="1">
        <f>IFERROR(__xludf.DUMMYFUNCTION("""COMPUTED_VALUE"""),517096.0)</f>
        <v>517096</v>
      </c>
    </row>
    <row r="2173">
      <c r="A2173" s="2">
        <f>IFERROR(__xludf.DUMMYFUNCTION("""COMPUTED_VALUE"""),44140.64583333333)</f>
        <v>44140.64583</v>
      </c>
      <c r="B2173" s="1">
        <f>IFERROR(__xludf.DUMMYFUNCTION("""COMPUTED_VALUE"""),22100.0)</f>
        <v>22100</v>
      </c>
      <c r="C2173" s="1">
        <f>IFERROR(__xludf.DUMMYFUNCTION("""COMPUTED_VALUE"""),22800.0)</f>
        <v>22800</v>
      </c>
      <c r="D2173" s="1">
        <f>IFERROR(__xludf.DUMMYFUNCTION("""COMPUTED_VALUE"""),22000.0)</f>
        <v>22000</v>
      </c>
      <c r="E2173" s="1">
        <f>IFERROR(__xludf.DUMMYFUNCTION("""COMPUTED_VALUE"""),22450.0)</f>
        <v>22450</v>
      </c>
      <c r="F2173" s="1">
        <f>IFERROR(__xludf.DUMMYFUNCTION("""COMPUTED_VALUE"""),380402.0)</f>
        <v>380402</v>
      </c>
    </row>
    <row r="2174">
      <c r="A2174" s="2">
        <f>IFERROR(__xludf.DUMMYFUNCTION("""COMPUTED_VALUE"""),44141.64583333333)</f>
        <v>44141.64583</v>
      </c>
      <c r="B2174" s="1">
        <f>IFERROR(__xludf.DUMMYFUNCTION("""COMPUTED_VALUE"""),22650.0)</f>
        <v>22650</v>
      </c>
      <c r="C2174" s="1">
        <f>IFERROR(__xludf.DUMMYFUNCTION("""COMPUTED_VALUE"""),29150.0)</f>
        <v>29150</v>
      </c>
      <c r="D2174" s="1">
        <f>IFERROR(__xludf.DUMMYFUNCTION("""COMPUTED_VALUE"""),22450.0)</f>
        <v>22450</v>
      </c>
      <c r="E2174" s="1">
        <f>IFERROR(__xludf.DUMMYFUNCTION("""COMPUTED_VALUE"""),24600.0)</f>
        <v>24600</v>
      </c>
      <c r="F2174" s="1">
        <f>IFERROR(__xludf.DUMMYFUNCTION("""COMPUTED_VALUE"""),1.0848025E7)</f>
        <v>10848025</v>
      </c>
    </row>
    <row r="2175">
      <c r="A2175" s="2">
        <f>IFERROR(__xludf.DUMMYFUNCTION("""COMPUTED_VALUE"""),44144.64583333333)</f>
        <v>44144.64583</v>
      </c>
      <c r="B2175" s="1">
        <f>IFERROR(__xludf.DUMMYFUNCTION("""COMPUTED_VALUE"""),24350.0)</f>
        <v>24350</v>
      </c>
      <c r="C2175" s="1">
        <f>IFERROR(__xludf.DUMMYFUNCTION("""COMPUTED_VALUE"""),25200.0)</f>
        <v>25200</v>
      </c>
      <c r="D2175" s="1">
        <f>IFERROR(__xludf.DUMMYFUNCTION("""COMPUTED_VALUE"""),24100.0)</f>
        <v>24100</v>
      </c>
      <c r="E2175" s="1">
        <f>IFERROR(__xludf.DUMMYFUNCTION("""COMPUTED_VALUE"""),24950.0)</f>
        <v>24950</v>
      </c>
      <c r="F2175" s="1">
        <f>IFERROR(__xludf.DUMMYFUNCTION("""COMPUTED_VALUE"""),1381586.0)</f>
        <v>1381586</v>
      </c>
    </row>
    <row r="2176">
      <c r="A2176" s="2">
        <f>IFERROR(__xludf.DUMMYFUNCTION("""COMPUTED_VALUE"""),44145.64583333333)</f>
        <v>44145.64583</v>
      </c>
      <c r="B2176" s="1">
        <f>IFERROR(__xludf.DUMMYFUNCTION("""COMPUTED_VALUE"""),24450.0)</f>
        <v>24450</v>
      </c>
      <c r="C2176" s="1">
        <f>IFERROR(__xludf.DUMMYFUNCTION("""COMPUTED_VALUE"""),24550.0)</f>
        <v>24550</v>
      </c>
      <c r="D2176" s="1">
        <f>IFERROR(__xludf.DUMMYFUNCTION("""COMPUTED_VALUE"""),23650.0)</f>
        <v>23650</v>
      </c>
      <c r="E2176" s="1">
        <f>IFERROR(__xludf.DUMMYFUNCTION("""COMPUTED_VALUE"""),23800.0)</f>
        <v>23800</v>
      </c>
      <c r="F2176" s="1">
        <f>IFERROR(__xludf.DUMMYFUNCTION("""COMPUTED_VALUE"""),616077.0)</f>
        <v>616077</v>
      </c>
    </row>
    <row r="2177">
      <c r="A2177" s="2">
        <f>IFERROR(__xludf.DUMMYFUNCTION("""COMPUTED_VALUE"""),44146.64583333333)</f>
        <v>44146.64583</v>
      </c>
      <c r="B2177" s="1">
        <f>IFERROR(__xludf.DUMMYFUNCTION("""COMPUTED_VALUE"""),23550.0)</f>
        <v>23550</v>
      </c>
      <c r="C2177" s="1">
        <f>IFERROR(__xludf.DUMMYFUNCTION("""COMPUTED_VALUE"""),24500.0)</f>
        <v>24500</v>
      </c>
      <c r="D2177" s="1">
        <f>IFERROR(__xludf.DUMMYFUNCTION("""COMPUTED_VALUE"""),23350.0)</f>
        <v>23350</v>
      </c>
      <c r="E2177" s="1">
        <f>IFERROR(__xludf.DUMMYFUNCTION("""COMPUTED_VALUE"""),23400.0)</f>
        <v>23400</v>
      </c>
      <c r="F2177" s="1">
        <f>IFERROR(__xludf.DUMMYFUNCTION("""COMPUTED_VALUE"""),555799.0)</f>
        <v>555799</v>
      </c>
    </row>
    <row r="2178">
      <c r="A2178" s="2">
        <f>IFERROR(__xludf.DUMMYFUNCTION("""COMPUTED_VALUE"""),44147.64583333333)</f>
        <v>44147.64583</v>
      </c>
      <c r="B2178" s="1">
        <f>IFERROR(__xludf.DUMMYFUNCTION("""COMPUTED_VALUE"""),23550.0)</f>
        <v>23550</v>
      </c>
      <c r="C2178" s="1">
        <f>IFERROR(__xludf.DUMMYFUNCTION("""COMPUTED_VALUE"""),26100.0)</f>
        <v>26100</v>
      </c>
      <c r="D2178" s="1">
        <f>IFERROR(__xludf.DUMMYFUNCTION("""COMPUTED_VALUE"""),23450.0)</f>
        <v>23450</v>
      </c>
      <c r="E2178" s="1">
        <f>IFERROR(__xludf.DUMMYFUNCTION("""COMPUTED_VALUE"""),23950.0)</f>
        <v>23950</v>
      </c>
      <c r="F2178" s="1">
        <f>IFERROR(__xludf.DUMMYFUNCTION("""COMPUTED_VALUE"""),2622148.0)</f>
        <v>2622148</v>
      </c>
    </row>
    <row r="2179">
      <c r="A2179" s="2">
        <f>IFERROR(__xludf.DUMMYFUNCTION("""COMPUTED_VALUE"""),44148.64583333333)</f>
        <v>44148.64583</v>
      </c>
      <c r="B2179" s="1">
        <f>IFERROR(__xludf.DUMMYFUNCTION("""COMPUTED_VALUE"""),24100.0)</f>
        <v>24100</v>
      </c>
      <c r="C2179" s="1">
        <f>IFERROR(__xludf.DUMMYFUNCTION("""COMPUTED_VALUE"""),24500.0)</f>
        <v>24500</v>
      </c>
      <c r="D2179" s="1">
        <f>IFERROR(__xludf.DUMMYFUNCTION("""COMPUTED_VALUE"""),23750.0)</f>
        <v>23750</v>
      </c>
      <c r="E2179" s="1">
        <f>IFERROR(__xludf.DUMMYFUNCTION("""COMPUTED_VALUE"""),24100.0)</f>
        <v>24100</v>
      </c>
      <c r="F2179" s="1">
        <f>IFERROR(__xludf.DUMMYFUNCTION("""COMPUTED_VALUE"""),398482.0)</f>
        <v>398482</v>
      </c>
    </row>
    <row r="2180">
      <c r="A2180" s="2">
        <f>IFERROR(__xludf.DUMMYFUNCTION("""COMPUTED_VALUE"""),44151.64583333333)</f>
        <v>44151.64583</v>
      </c>
      <c r="B2180" s="1">
        <f>IFERROR(__xludf.DUMMYFUNCTION("""COMPUTED_VALUE"""),24350.0)</f>
        <v>24350</v>
      </c>
      <c r="C2180" s="1">
        <f>IFERROR(__xludf.DUMMYFUNCTION("""COMPUTED_VALUE"""),24650.0)</f>
        <v>24650</v>
      </c>
      <c r="D2180" s="1">
        <f>IFERROR(__xludf.DUMMYFUNCTION("""COMPUTED_VALUE"""),23950.0)</f>
        <v>23950</v>
      </c>
      <c r="E2180" s="1">
        <f>IFERROR(__xludf.DUMMYFUNCTION("""COMPUTED_VALUE"""),24150.0)</f>
        <v>24150</v>
      </c>
      <c r="F2180" s="1">
        <f>IFERROR(__xludf.DUMMYFUNCTION("""COMPUTED_VALUE"""),393104.0)</f>
        <v>393104</v>
      </c>
    </row>
    <row r="2181">
      <c r="A2181" s="2">
        <f>IFERROR(__xludf.DUMMYFUNCTION("""COMPUTED_VALUE"""),44152.64583333333)</f>
        <v>44152.64583</v>
      </c>
      <c r="B2181" s="1">
        <f>IFERROR(__xludf.DUMMYFUNCTION("""COMPUTED_VALUE"""),23650.0)</f>
        <v>23650</v>
      </c>
      <c r="C2181" s="1">
        <f>IFERROR(__xludf.DUMMYFUNCTION("""COMPUTED_VALUE"""),24000.0)</f>
        <v>24000</v>
      </c>
      <c r="D2181" s="1">
        <f>IFERROR(__xludf.DUMMYFUNCTION("""COMPUTED_VALUE"""),23500.0)</f>
        <v>23500</v>
      </c>
      <c r="E2181" s="1">
        <f>IFERROR(__xludf.DUMMYFUNCTION("""COMPUTED_VALUE"""),23900.0)</f>
        <v>23900</v>
      </c>
      <c r="F2181" s="1">
        <f>IFERROR(__xludf.DUMMYFUNCTION("""COMPUTED_VALUE"""),276895.0)</f>
        <v>276895</v>
      </c>
    </row>
    <row r="2182">
      <c r="A2182" s="2">
        <f>IFERROR(__xludf.DUMMYFUNCTION("""COMPUTED_VALUE"""),44153.64583333333)</f>
        <v>44153.64583</v>
      </c>
      <c r="B2182" s="1">
        <f>IFERROR(__xludf.DUMMYFUNCTION("""COMPUTED_VALUE"""),23600.0)</f>
        <v>23600</v>
      </c>
      <c r="C2182" s="1">
        <f>IFERROR(__xludf.DUMMYFUNCTION("""COMPUTED_VALUE"""),24100.0)</f>
        <v>24100</v>
      </c>
      <c r="D2182" s="1">
        <f>IFERROR(__xludf.DUMMYFUNCTION("""COMPUTED_VALUE"""),23500.0)</f>
        <v>23500</v>
      </c>
      <c r="E2182" s="1">
        <f>IFERROR(__xludf.DUMMYFUNCTION("""COMPUTED_VALUE"""),23550.0)</f>
        <v>23550</v>
      </c>
      <c r="F2182" s="1">
        <f>IFERROR(__xludf.DUMMYFUNCTION("""COMPUTED_VALUE"""),178601.0)</f>
        <v>178601</v>
      </c>
    </row>
    <row r="2183">
      <c r="A2183" s="2">
        <f>IFERROR(__xludf.DUMMYFUNCTION("""COMPUTED_VALUE"""),44154.64583333333)</f>
        <v>44154.64583</v>
      </c>
      <c r="B2183" s="1">
        <f>IFERROR(__xludf.DUMMYFUNCTION("""COMPUTED_VALUE"""),23550.0)</f>
        <v>23550</v>
      </c>
      <c r="C2183" s="1">
        <f>IFERROR(__xludf.DUMMYFUNCTION("""COMPUTED_VALUE"""),25650.0)</f>
        <v>25650</v>
      </c>
      <c r="D2183" s="1">
        <f>IFERROR(__xludf.DUMMYFUNCTION("""COMPUTED_VALUE"""),23500.0)</f>
        <v>23500</v>
      </c>
      <c r="E2183" s="1">
        <f>IFERROR(__xludf.DUMMYFUNCTION("""COMPUTED_VALUE"""),23950.0)</f>
        <v>23950</v>
      </c>
      <c r="F2183" s="1">
        <f>IFERROR(__xludf.DUMMYFUNCTION("""COMPUTED_VALUE"""),1527130.0)</f>
        <v>1527130</v>
      </c>
    </row>
    <row r="2184">
      <c r="A2184" s="2">
        <f>IFERROR(__xludf.DUMMYFUNCTION("""COMPUTED_VALUE"""),44155.64583333333)</f>
        <v>44155.64583</v>
      </c>
      <c r="B2184" s="1">
        <f>IFERROR(__xludf.DUMMYFUNCTION("""COMPUTED_VALUE"""),23850.0)</f>
        <v>23850</v>
      </c>
      <c r="C2184" s="1">
        <f>IFERROR(__xludf.DUMMYFUNCTION("""COMPUTED_VALUE"""),25000.0)</f>
        <v>25000</v>
      </c>
      <c r="D2184" s="1">
        <f>IFERROR(__xludf.DUMMYFUNCTION("""COMPUTED_VALUE"""),23800.0)</f>
        <v>23800</v>
      </c>
      <c r="E2184" s="1">
        <f>IFERROR(__xludf.DUMMYFUNCTION("""COMPUTED_VALUE"""),24400.0)</f>
        <v>24400</v>
      </c>
      <c r="F2184" s="1">
        <f>IFERROR(__xludf.DUMMYFUNCTION("""COMPUTED_VALUE"""),519317.0)</f>
        <v>519317</v>
      </c>
    </row>
    <row r="2185">
      <c r="A2185" s="2">
        <f>IFERROR(__xludf.DUMMYFUNCTION("""COMPUTED_VALUE"""),44158.64583333333)</f>
        <v>44158.64583</v>
      </c>
      <c r="B2185" s="1">
        <f>IFERROR(__xludf.DUMMYFUNCTION("""COMPUTED_VALUE"""),24500.0)</f>
        <v>24500</v>
      </c>
      <c r="C2185" s="1">
        <f>IFERROR(__xludf.DUMMYFUNCTION("""COMPUTED_VALUE"""),25900.0)</f>
        <v>25900</v>
      </c>
      <c r="D2185" s="1">
        <f>IFERROR(__xludf.DUMMYFUNCTION("""COMPUTED_VALUE"""),24350.0)</f>
        <v>24350</v>
      </c>
      <c r="E2185" s="1">
        <f>IFERROR(__xludf.DUMMYFUNCTION("""COMPUTED_VALUE"""),25850.0)</f>
        <v>25850</v>
      </c>
      <c r="F2185" s="1">
        <f>IFERROR(__xludf.DUMMYFUNCTION("""COMPUTED_VALUE"""),1379944.0)</f>
        <v>1379944</v>
      </c>
    </row>
    <row r="2186">
      <c r="A2186" s="2">
        <f>IFERROR(__xludf.DUMMYFUNCTION("""COMPUTED_VALUE"""),44159.64583333333)</f>
        <v>44159.64583</v>
      </c>
      <c r="B2186" s="1">
        <f>IFERROR(__xludf.DUMMYFUNCTION("""COMPUTED_VALUE"""),26100.0)</f>
        <v>26100</v>
      </c>
      <c r="C2186" s="1">
        <f>IFERROR(__xludf.DUMMYFUNCTION("""COMPUTED_VALUE"""),26600.0)</f>
        <v>26600</v>
      </c>
      <c r="D2186" s="1">
        <f>IFERROR(__xludf.DUMMYFUNCTION("""COMPUTED_VALUE"""),25350.0)</f>
        <v>25350</v>
      </c>
      <c r="E2186" s="1">
        <f>IFERROR(__xludf.DUMMYFUNCTION("""COMPUTED_VALUE"""),25550.0)</f>
        <v>25550</v>
      </c>
      <c r="F2186" s="1">
        <f>IFERROR(__xludf.DUMMYFUNCTION("""COMPUTED_VALUE"""),964606.0)</f>
        <v>964606</v>
      </c>
    </row>
    <row r="2187">
      <c r="A2187" s="2">
        <f>IFERROR(__xludf.DUMMYFUNCTION("""COMPUTED_VALUE"""),44160.64583333333)</f>
        <v>44160.64583</v>
      </c>
      <c r="B2187" s="1">
        <f>IFERROR(__xludf.DUMMYFUNCTION("""COMPUTED_VALUE"""),25500.0)</f>
        <v>25500</v>
      </c>
      <c r="C2187" s="1">
        <f>IFERROR(__xludf.DUMMYFUNCTION("""COMPUTED_VALUE"""),26250.0)</f>
        <v>26250</v>
      </c>
      <c r="D2187" s="1">
        <f>IFERROR(__xludf.DUMMYFUNCTION("""COMPUTED_VALUE"""),25050.0)</f>
        <v>25050</v>
      </c>
      <c r="E2187" s="1">
        <f>IFERROR(__xludf.DUMMYFUNCTION("""COMPUTED_VALUE"""),25350.0)</f>
        <v>25350</v>
      </c>
      <c r="F2187" s="1">
        <f>IFERROR(__xludf.DUMMYFUNCTION("""COMPUTED_VALUE"""),613320.0)</f>
        <v>613320</v>
      </c>
    </row>
    <row r="2188">
      <c r="A2188" s="2">
        <f>IFERROR(__xludf.DUMMYFUNCTION("""COMPUTED_VALUE"""),44161.64583333333)</f>
        <v>44161.64583</v>
      </c>
      <c r="B2188" s="1">
        <f>IFERROR(__xludf.DUMMYFUNCTION("""COMPUTED_VALUE"""),25250.0)</f>
        <v>25250</v>
      </c>
      <c r="C2188" s="1">
        <f>IFERROR(__xludf.DUMMYFUNCTION("""COMPUTED_VALUE"""),25800.0)</f>
        <v>25800</v>
      </c>
      <c r="D2188" s="1">
        <f>IFERROR(__xludf.DUMMYFUNCTION("""COMPUTED_VALUE"""),25000.0)</f>
        <v>25000</v>
      </c>
      <c r="E2188" s="1">
        <f>IFERROR(__xludf.DUMMYFUNCTION("""COMPUTED_VALUE"""),25300.0)</f>
        <v>25300</v>
      </c>
      <c r="F2188" s="1">
        <f>IFERROR(__xludf.DUMMYFUNCTION("""COMPUTED_VALUE"""),196218.0)</f>
        <v>196218</v>
      </c>
    </row>
    <row r="2189">
      <c r="A2189" s="2">
        <f>IFERROR(__xludf.DUMMYFUNCTION("""COMPUTED_VALUE"""),44162.64583333333)</f>
        <v>44162.64583</v>
      </c>
      <c r="B2189" s="1">
        <f>IFERROR(__xludf.DUMMYFUNCTION("""COMPUTED_VALUE"""),25200.0)</f>
        <v>25200</v>
      </c>
      <c r="C2189" s="1">
        <f>IFERROR(__xludf.DUMMYFUNCTION("""COMPUTED_VALUE"""),26400.0)</f>
        <v>26400</v>
      </c>
      <c r="D2189" s="1">
        <f>IFERROR(__xludf.DUMMYFUNCTION("""COMPUTED_VALUE"""),25200.0)</f>
        <v>25200</v>
      </c>
      <c r="E2189" s="1">
        <f>IFERROR(__xludf.DUMMYFUNCTION("""COMPUTED_VALUE"""),26400.0)</f>
        <v>26400</v>
      </c>
      <c r="F2189" s="1">
        <f>IFERROR(__xludf.DUMMYFUNCTION("""COMPUTED_VALUE"""),580868.0)</f>
        <v>580868</v>
      </c>
    </row>
    <row r="2190">
      <c r="A2190" s="2">
        <f>IFERROR(__xludf.DUMMYFUNCTION("""COMPUTED_VALUE"""),44165.64583333333)</f>
        <v>44165.64583</v>
      </c>
      <c r="B2190" s="1">
        <f>IFERROR(__xludf.DUMMYFUNCTION("""COMPUTED_VALUE"""),26700.0)</f>
        <v>26700</v>
      </c>
      <c r="C2190" s="1">
        <f>IFERROR(__xludf.DUMMYFUNCTION("""COMPUTED_VALUE"""),26750.0)</f>
        <v>26750</v>
      </c>
      <c r="D2190" s="1">
        <f>IFERROR(__xludf.DUMMYFUNCTION("""COMPUTED_VALUE"""),26050.0)</f>
        <v>26050</v>
      </c>
      <c r="E2190" s="1">
        <f>IFERROR(__xludf.DUMMYFUNCTION("""COMPUTED_VALUE"""),26150.0)</f>
        <v>26150</v>
      </c>
      <c r="F2190" s="1">
        <f>IFERROR(__xludf.DUMMYFUNCTION("""COMPUTED_VALUE"""),447857.0)</f>
        <v>447857</v>
      </c>
    </row>
    <row r="2191">
      <c r="A2191" s="2">
        <f>IFERROR(__xludf.DUMMYFUNCTION("""COMPUTED_VALUE"""),44166.64583333333)</f>
        <v>44166.64583</v>
      </c>
      <c r="B2191" s="1">
        <f>IFERROR(__xludf.DUMMYFUNCTION("""COMPUTED_VALUE"""),26750.0)</f>
        <v>26750</v>
      </c>
      <c r="C2191" s="1">
        <f>IFERROR(__xludf.DUMMYFUNCTION("""COMPUTED_VALUE"""),28650.0)</f>
        <v>28650</v>
      </c>
      <c r="D2191" s="1">
        <f>IFERROR(__xludf.DUMMYFUNCTION("""COMPUTED_VALUE"""),26550.0)</f>
        <v>26550</v>
      </c>
      <c r="E2191" s="1">
        <f>IFERROR(__xludf.DUMMYFUNCTION("""COMPUTED_VALUE"""),26850.0)</f>
        <v>26850</v>
      </c>
      <c r="F2191" s="1">
        <f>IFERROR(__xludf.DUMMYFUNCTION("""COMPUTED_VALUE"""),2364244.0)</f>
        <v>2364244</v>
      </c>
    </row>
    <row r="2192">
      <c r="A2192" s="2">
        <f>IFERROR(__xludf.DUMMYFUNCTION("""COMPUTED_VALUE"""),44167.64583333333)</f>
        <v>44167.64583</v>
      </c>
      <c r="B2192" s="1">
        <f>IFERROR(__xludf.DUMMYFUNCTION("""COMPUTED_VALUE"""),27150.0)</f>
        <v>27150</v>
      </c>
      <c r="C2192" s="1">
        <f>IFERROR(__xludf.DUMMYFUNCTION("""COMPUTED_VALUE"""),27300.0)</f>
        <v>27300</v>
      </c>
      <c r="D2192" s="1">
        <f>IFERROR(__xludf.DUMMYFUNCTION("""COMPUTED_VALUE"""),26500.0)</f>
        <v>26500</v>
      </c>
      <c r="E2192" s="1">
        <f>IFERROR(__xludf.DUMMYFUNCTION("""COMPUTED_VALUE"""),26900.0)</f>
        <v>26900</v>
      </c>
      <c r="F2192" s="1">
        <f>IFERROR(__xludf.DUMMYFUNCTION("""COMPUTED_VALUE"""),474330.0)</f>
        <v>474330</v>
      </c>
    </row>
    <row r="2193">
      <c r="A2193" s="2">
        <f>IFERROR(__xludf.DUMMYFUNCTION("""COMPUTED_VALUE"""),44168.64583333333)</f>
        <v>44168.64583</v>
      </c>
      <c r="B2193" s="1">
        <f>IFERROR(__xludf.DUMMYFUNCTION("""COMPUTED_VALUE"""),27000.0)</f>
        <v>27000</v>
      </c>
      <c r="C2193" s="1">
        <f>IFERROR(__xludf.DUMMYFUNCTION("""COMPUTED_VALUE"""),27050.0)</f>
        <v>27050</v>
      </c>
      <c r="D2193" s="1">
        <f>IFERROR(__xludf.DUMMYFUNCTION("""COMPUTED_VALUE"""),26000.0)</f>
        <v>26000</v>
      </c>
      <c r="E2193" s="1">
        <f>IFERROR(__xludf.DUMMYFUNCTION("""COMPUTED_VALUE"""),26300.0)</f>
        <v>26300</v>
      </c>
      <c r="F2193" s="1">
        <f>IFERROR(__xludf.DUMMYFUNCTION("""COMPUTED_VALUE"""),484492.0)</f>
        <v>484492</v>
      </c>
    </row>
    <row r="2194">
      <c r="A2194" s="2">
        <f>IFERROR(__xludf.DUMMYFUNCTION("""COMPUTED_VALUE"""),44169.64583333333)</f>
        <v>44169.64583</v>
      </c>
      <c r="B2194" s="1">
        <f>IFERROR(__xludf.DUMMYFUNCTION("""COMPUTED_VALUE"""),26150.0)</f>
        <v>26150</v>
      </c>
      <c r="C2194" s="1">
        <f>IFERROR(__xludf.DUMMYFUNCTION("""COMPUTED_VALUE"""),27300.0)</f>
        <v>27300</v>
      </c>
      <c r="D2194" s="1">
        <f>IFERROR(__xludf.DUMMYFUNCTION("""COMPUTED_VALUE"""),25400.0)</f>
        <v>25400</v>
      </c>
      <c r="E2194" s="1">
        <f>IFERROR(__xludf.DUMMYFUNCTION("""COMPUTED_VALUE"""),26650.0)</f>
        <v>26650</v>
      </c>
      <c r="F2194" s="1">
        <f>IFERROR(__xludf.DUMMYFUNCTION("""COMPUTED_VALUE"""),680782.0)</f>
        <v>680782</v>
      </c>
    </row>
    <row r="2195">
      <c r="A2195" s="2">
        <f>IFERROR(__xludf.DUMMYFUNCTION("""COMPUTED_VALUE"""),44172.64583333333)</f>
        <v>44172.64583</v>
      </c>
      <c r="B2195" s="1">
        <f>IFERROR(__xludf.DUMMYFUNCTION("""COMPUTED_VALUE"""),26950.0)</f>
        <v>26950</v>
      </c>
      <c r="C2195" s="1">
        <f>IFERROR(__xludf.DUMMYFUNCTION("""COMPUTED_VALUE"""),27100.0)</f>
        <v>27100</v>
      </c>
      <c r="D2195" s="1">
        <f>IFERROR(__xludf.DUMMYFUNCTION("""COMPUTED_VALUE"""),26300.0)</f>
        <v>26300</v>
      </c>
      <c r="E2195" s="1">
        <f>IFERROR(__xludf.DUMMYFUNCTION("""COMPUTED_VALUE"""),26350.0)</f>
        <v>26350</v>
      </c>
      <c r="F2195" s="1">
        <f>IFERROR(__xludf.DUMMYFUNCTION("""COMPUTED_VALUE"""),247176.0)</f>
        <v>247176</v>
      </c>
    </row>
    <row r="2196">
      <c r="A2196" s="2">
        <f>IFERROR(__xludf.DUMMYFUNCTION("""COMPUTED_VALUE"""),44173.64583333333)</f>
        <v>44173.64583</v>
      </c>
      <c r="B2196" s="1">
        <f>IFERROR(__xludf.DUMMYFUNCTION("""COMPUTED_VALUE"""),26300.0)</f>
        <v>26300</v>
      </c>
      <c r="C2196" s="1">
        <f>IFERROR(__xludf.DUMMYFUNCTION("""COMPUTED_VALUE"""),26750.0)</f>
        <v>26750</v>
      </c>
      <c r="D2196" s="1">
        <f>IFERROR(__xludf.DUMMYFUNCTION("""COMPUTED_VALUE"""),26000.0)</f>
        <v>26000</v>
      </c>
      <c r="E2196" s="1">
        <f>IFERROR(__xludf.DUMMYFUNCTION("""COMPUTED_VALUE"""),26050.0)</f>
        <v>26050</v>
      </c>
      <c r="F2196" s="1">
        <f>IFERROR(__xludf.DUMMYFUNCTION("""COMPUTED_VALUE"""),176701.0)</f>
        <v>176701</v>
      </c>
    </row>
    <row r="2197">
      <c r="A2197" s="2">
        <f>IFERROR(__xludf.DUMMYFUNCTION("""COMPUTED_VALUE"""),44174.64583333333)</f>
        <v>44174.64583</v>
      </c>
      <c r="B2197" s="1">
        <f>IFERROR(__xludf.DUMMYFUNCTION("""COMPUTED_VALUE"""),26200.0)</f>
        <v>26200</v>
      </c>
      <c r="C2197" s="1">
        <f>IFERROR(__xludf.DUMMYFUNCTION("""COMPUTED_VALUE"""),27150.0)</f>
        <v>27150</v>
      </c>
      <c r="D2197" s="1">
        <f>IFERROR(__xludf.DUMMYFUNCTION("""COMPUTED_VALUE"""),25750.0)</f>
        <v>25750</v>
      </c>
      <c r="E2197" s="1">
        <f>IFERROR(__xludf.DUMMYFUNCTION("""COMPUTED_VALUE"""),26500.0)</f>
        <v>26500</v>
      </c>
      <c r="F2197" s="1">
        <f>IFERROR(__xludf.DUMMYFUNCTION("""COMPUTED_VALUE"""),460687.0)</f>
        <v>460687</v>
      </c>
    </row>
    <row r="2198">
      <c r="A2198" s="2">
        <f>IFERROR(__xludf.DUMMYFUNCTION("""COMPUTED_VALUE"""),44175.64583333333)</f>
        <v>44175.64583</v>
      </c>
      <c r="B2198" s="1">
        <f>IFERROR(__xludf.DUMMYFUNCTION("""COMPUTED_VALUE"""),26200.0)</f>
        <v>26200</v>
      </c>
      <c r="C2198" s="1">
        <f>IFERROR(__xludf.DUMMYFUNCTION("""COMPUTED_VALUE"""),27100.0)</f>
        <v>27100</v>
      </c>
      <c r="D2198" s="1">
        <f>IFERROR(__xludf.DUMMYFUNCTION("""COMPUTED_VALUE"""),26000.0)</f>
        <v>26000</v>
      </c>
      <c r="E2198" s="1">
        <f>IFERROR(__xludf.DUMMYFUNCTION("""COMPUTED_VALUE"""),27000.0)</f>
        <v>27000</v>
      </c>
      <c r="F2198" s="1">
        <f>IFERROR(__xludf.DUMMYFUNCTION("""COMPUTED_VALUE"""),351364.0)</f>
        <v>351364</v>
      </c>
    </row>
    <row r="2199">
      <c r="A2199" s="2">
        <f>IFERROR(__xludf.DUMMYFUNCTION("""COMPUTED_VALUE"""),44176.64583333333)</f>
        <v>44176.64583</v>
      </c>
      <c r="B2199" s="1">
        <f>IFERROR(__xludf.DUMMYFUNCTION("""COMPUTED_VALUE"""),26800.0)</f>
        <v>26800</v>
      </c>
      <c r="C2199" s="1">
        <f>IFERROR(__xludf.DUMMYFUNCTION("""COMPUTED_VALUE"""),26950.0)</f>
        <v>26950</v>
      </c>
      <c r="D2199" s="1">
        <f>IFERROR(__xludf.DUMMYFUNCTION("""COMPUTED_VALUE"""),26000.0)</f>
        <v>26000</v>
      </c>
      <c r="E2199" s="1">
        <f>IFERROR(__xludf.DUMMYFUNCTION("""COMPUTED_VALUE"""),26250.0)</f>
        <v>26250</v>
      </c>
      <c r="F2199" s="1">
        <f>IFERROR(__xludf.DUMMYFUNCTION("""COMPUTED_VALUE"""),236295.0)</f>
        <v>236295</v>
      </c>
    </row>
    <row r="2200">
      <c r="A2200" s="2">
        <f>IFERROR(__xludf.DUMMYFUNCTION("""COMPUTED_VALUE"""),44179.64583333333)</f>
        <v>44179.64583</v>
      </c>
      <c r="B2200" s="1">
        <f>IFERROR(__xludf.DUMMYFUNCTION("""COMPUTED_VALUE"""),26250.0)</f>
        <v>26250</v>
      </c>
      <c r="C2200" s="1">
        <f>IFERROR(__xludf.DUMMYFUNCTION("""COMPUTED_VALUE"""),26250.0)</f>
        <v>26250</v>
      </c>
      <c r="D2200" s="1">
        <f>IFERROR(__xludf.DUMMYFUNCTION("""COMPUTED_VALUE"""),25400.0)</f>
        <v>25400</v>
      </c>
      <c r="E2200" s="1">
        <f>IFERROR(__xludf.DUMMYFUNCTION("""COMPUTED_VALUE"""),25450.0)</f>
        <v>25450</v>
      </c>
      <c r="F2200" s="1">
        <f>IFERROR(__xludf.DUMMYFUNCTION("""COMPUTED_VALUE"""),248792.0)</f>
        <v>248792</v>
      </c>
    </row>
    <row r="2201">
      <c r="A2201" s="2">
        <f>IFERROR(__xludf.DUMMYFUNCTION("""COMPUTED_VALUE"""),44180.64583333333)</f>
        <v>44180.64583</v>
      </c>
      <c r="B2201" s="1">
        <f>IFERROR(__xludf.DUMMYFUNCTION("""COMPUTED_VALUE"""),25400.0)</f>
        <v>25400</v>
      </c>
      <c r="C2201" s="1">
        <f>IFERROR(__xludf.DUMMYFUNCTION("""COMPUTED_VALUE"""),25450.0)</f>
        <v>25450</v>
      </c>
      <c r="D2201" s="1">
        <f>IFERROR(__xludf.DUMMYFUNCTION("""COMPUTED_VALUE"""),24300.0)</f>
        <v>24300</v>
      </c>
      <c r="E2201" s="1">
        <f>IFERROR(__xludf.DUMMYFUNCTION("""COMPUTED_VALUE"""),24500.0)</f>
        <v>24500</v>
      </c>
      <c r="F2201" s="1">
        <f>IFERROR(__xludf.DUMMYFUNCTION("""COMPUTED_VALUE"""),212906.0)</f>
        <v>212906</v>
      </c>
    </row>
    <row r="2202">
      <c r="A2202" s="2">
        <f>IFERROR(__xludf.DUMMYFUNCTION("""COMPUTED_VALUE"""),44181.64583333333)</f>
        <v>44181.64583</v>
      </c>
      <c r="B2202" s="1">
        <f>IFERROR(__xludf.DUMMYFUNCTION("""COMPUTED_VALUE"""),24500.0)</f>
        <v>24500</v>
      </c>
      <c r="C2202" s="1">
        <f>IFERROR(__xludf.DUMMYFUNCTION("""COMPUTED_VALUE"""),25150.0)</f>
        <v>25150</v>
      </c>
      <c r="D2202" s="1">
        <f>IFERROR(__xludf.DUMMYFUNCTION("""COMPUTED_VALUE"""),24500.0)</f>
        <v>24500</v>
      </c>
      <c r="E2202" s="1">
        <f>IFERROR(__xludf.DUMMYFUNCTION("""COMPUTED_VALUE"""),24850.0)</f>
        <v>24850</v>
      </c>
      <c r="F2202" s="1">
        <f>IFERROR(__xludf.DUMMYFUNCTION("""COMPUTED_VALUE"""),137454.0)</f>
        <v>137454</v>
      </c>
    </row>
    <row r="2203">
      <c r="A2203" s="2">
        <f>IFERROR(__xludf.DUMMYFUNCTION("""COMPUTED_VALUE"""),44182.64583333333)</f>
        <v>44182.64583</v>
      </c>
      <c r="B2203" s="1">
        <f>IFERROR(__xludf.DUMMYFUNCTION("""COMPUTED_VALUE"""),24850.0)</f>
        <v>24850</v>
      </c>
      <c r="C2203" s="1">
        <f>IFERROR(__xludf.DUMMYFUNCTION("""COMPUTED_VALUE"""),24900.0)</f>
        <v>24900</v>
      </c>
      <c r="D2203" s="1">
        <f>IFERROR(__xludf.DUMMYFUNCTION("""COMPUTED_VALUE"""),24200.0)</f>
        <v>24200</v>
      </c>
      <c r="E2203" s="1">
        <f>IFERROR(__xludf.DUMMYFUNCTION("""COMPUTED_VALUE"""),24200.0)</f>
        <v>24200</v>
      </c>
      <c r="F2203" s="1">
        <f>IFERROR(__xludf.DUMMYFUNCTION("""COMPUTED_VALUE"""),125844.0)</f>
        <v>125844</v>
      </c>
    </row>
    <row r="2204">
      <c r="A2204" s="2">
        <f>IFERROR(__xludf.DUMMYFUNCTION("""COMPUTED_VALUE"""),44183.64583333333)</f>
        <v>44183.64583</v>
      </c>
      <c r="B2204" s="1">
        <f>IFERROR(__xludf.DUMMYFUNCTION("""COMPUTED_VALUE"""),24450.0)</f>
        <v>24450</v>
      </c>
      <c r="C2204" s="1">
        <f>IFERROR(__xludf.DUMMYFUNCTION("""COMPUTED_VALUE"""),24900.0)</f>
        <v>24900</v>
      </c>
      <c r="D2204" s="1">
        <f>IFERROR(__xludf.DUMMYFUNCTION("""COMPUTED_VALUE"""),24300.0)</f>
        <v>24300</v>
      </c>
      <c r="E2204" s="1">
        <f>IFERROR(__xludf.DUMMYFUNCTION("""COMPUTED_VALUE"""),24800.0)</f>
        <v>24800</v>
      </c>
      <c r="F2204" s="1">
        <f>IFERROR(__xludf.DUMMYFUNCTION("""COMPUTED_VALUE"""),114612.0)</f>
        <v>114612</v>
      </c>
    </row>
    <row r="2205">
      <c r="A2205" s="2">
        <f>IFERROR(__xludf.DUMMYFUNCTION("""COMPUTED_VALUE"""),44186.64583333333)</f>
        <v>44186.64583</v>
      </c>
      <c r="B2205" s="1">
        <f>IFERROR(__xludf.DUMMYFUNCTION("""COMPUTED_VALUE"""),24950.0)</f>
        <v>24950</v>
      </c>
      <c r="C2205" s="1">
        <f>IFERROR(__xludf.DUMMYFUNCTION("""COMPUTED_VALUE"""),24950.0)</f>
        <v>24950</v>
      </c>
      <c r="D2205" s="1">
        <f>IFERROR(__xludf.DUMMYFUNCTION("""COMPUTED_VALUE"""),24250.0)</f>
        <v>24250</v>
      </c>
      <c r="E2205" s="1">
        <f>IFERROR(__xludf.DUMMYFUNCTION("""COMPUTED_VALUE"""),24500.0)</f>
        <v>24500</v>
      </c>
      <c r="F2205" s="1">
        <f>IFERROR(__xludf.DUMMYFUNCTION("""COMPUTED_VALUE"""),99167.0)</f>
        <v>99167</v>
      </c>
    </row>
    <row r="2206">
      <c r="A2206" s="2">
        <f>IFERROR(__xludf.DUMMYFUNCTION("""COMPUTED_VALUE"""),44187.64583333333)</f>
        <v>44187.64583</v>
      </c>
      <c r="B2206" s="1">
        <f>IFERROR(__xludf.DUMMYFUNCTION("""COMPUTED_VALUE"""),24500.0)</f>
        <v>24500</v>
      </c>
      <c r="C2206" s="1">
        <f>IFERROR(__xludf.DUMMYFUNCTION("""COMPUTED_VALUE"""),24500.0)</f>
        <v>24500</v>
      </c>
      <c r="D2206" s="1">
        <f>IFERROR(__xludf.DUMMYFUNCTION("""COMPUTED_VALUE"""),23800.0)</f>
        <v>23800</v>
      </c>
      <c r="E2206" s="1">
        <f>IFERROR(__xludf.DUMMYFUNCTION("""COMPUTED_VALUE"""),23800.0)</f>
        <v>23800</v>
      </c>
      <c r="F2206" s="1">
        <f>IFERROR(__xludf.DUMMYFUNCTION("""COMPUTED_VALUE"""),126203.0)</f>
        <v>126203</v>
      </c>
    </row>
    <row r="2207">
      <c r="A2207" s="2">
        <f>IFERROR(__xludf.DUMMYFUNCTION("""COMPUTED_VALUE"""),44188.64583333333)</f>
        <v>44188.64583</v>
      </c>
      <c r="B2207" s="1">
        <f>IFERROR(__xludf.DUMMYFUNCTION("""COMPUTED_VALUE"""),23800.0)</f>
        <v>23800</v>
      </c>
      <c r="C2207" s="1">
        <f>IFERROR(__xludf.DUMMYFUNCTION("""COMPUTED_VALUE"""),24100.0)</f>
        <v>24100</v>
      </c>
      <c r="D2207" s="1">
        <f>IFERROR(__xludf.DUMMYFUNCTION("""COMPUTED_VALUE"""),22750.0)</f>
        <v>22750</v>
      </c>
      <c r="E2207" s="1">
        <f>IFERROR(__xludf.DUMMYFUNCTION("""COMPUTED_VALUE"""),23150.0)</f>
        <v>23150</v>
      </c>
      <c r="F2207" s="1">
        <f>IFERROR(__xludf.DUMMYFUNCTION("""COMPUTED_VALUE"""),190365.0)</f>
        <v>190365</v>
      </c>
    </row>
    <row r="2208">
      <c r="A2208" s="2">
        <f>IFERROR(__xludf.DUMMYFUNCTION("""COMPUTED_VALUE"""),44189.64583333333)</f>
        <v>44189.64583</v>
      </c>
      <c r="B2208" s="1">
        <f>IFERROR(__xludf.DUMMYFUNCTION("""COMPUTED_VALUE"""),23250.0)</f>
        <v>23250</v>
      </c>
      <c r="C2208" s="1">
        <f>IFERROR(__xludf.DUMMYFUNCTION("""COMPUTED_VALUE"""),23550.0)</f>
        <v>23550</v>
      </c>
      <c r="D2208" s="1">
        <f>IFERROR(__xludf.DUMMYFUNCTION("""COMPUTED_VALUE"""),23150.0)</f>
        <v>23150</v>
      </c>
      <c r="E2208" s="1">
        <f>IFERROR(__xludf.DUMMYFUNCTION("""COMPUTED_VALUE"""),23150.0)</f>
        <v>23150</v>
      </c>
      <c r="F2208" s="1">
        <f>IFERROR(__xludf.DUMMYFUNCTION("""COMPUTED_VALUE"""),76391.0)</f>
        <v>76391</v>
      </c>
    </row>
    <row r="2209">
      <c r="A2209" s="2">
        <f>IFERROR(__xludf.DUMMYFUNCTION("""COMPUTED_VALUE"""),44193.64583333333)</f>
        <v>44193.64583</v>
      </c>
      <c r="B2209" s="1">
        <f>IFERROR(__xludf.DUMMYFUNCTION("""COMPUTED_VALUE"""),23150.0)</f>
        <v>23150</v>
      </c>
      <c r="C2209" s="1">
        <f>IFERROR(__xludf.DUMMYFUNCTION("""COMPUTED_VALUE"""),23400.0)</f>
        <v>23400</v>
      </c>
      <c r="D2209" s="1">
        <f>IFERROR(__xludf.DUMMYFUNCTION("""COMPUTED_VALUE"""),22700.0)</f>
        <v>22700</v>
      </c>
      <c r="E2209" s="1">
        <f>IFERROR(__xludf.DUMMYFUNCTION("""COMPUTED_VALUE"""),22850.0)</f>
        <v>22850</v>
      </c>
      <c r="F2209" s="1">
        <f>IFERROR(__xludf.DUMMYFUNCTION("""COMPUTED_VALUE"""),106272.0)</f>
        <v>106272</v>
      </c>
    </row>
    <row r="2210">
      <c r="A2210" s="2">
        <f>IFERROR(__xludf.DUMMYFUNCTION("""COMPUTED_VALUE"""),44194.64583333333)</f>
        <v>44194.64583</v>
      </c>
      <c r="B2210" s="1">
        <f>IFERROR(__xludf.DUMMYFUNCTION("""COMPUTED_VALUE"""),22950.0)</f>
        <v>22950</v>
      </c>
      <c r="C2210" s="1">
        <f>IFERROR(__xludf.DUMMYFUNCTION("""COMPUTED_VALUE"""),23650.0)</f>
        <v>23650</v>
      </c>
      <c r="D2210" s="1">
        <f>IFERROR(__xludf.DUMMYFUNCTION("""COMPUTED_VALUE"""),22850.0)</f>
        <v>22850</v>
      </c>
      <c r="E2210" s="1">
        <f>IFERROR(__xludf.DUMMYFUNCTION("""COMPUTED_VALUE"""),23450.0)</f>
        <v>23450</v>
      </c>
      <c r="F2210" s="1">
        <f>IFERROR(__xludf.DUMMYFUNCTION("""COMPUTED_VALUE"""),65061.0)</f>
        <v>65061</v>
      </c>
    </row>
    <row r="2211">
      <c r="A2211" s="2">
        <f>IFERROR(__xludf.DUMMYFUNCTION("""COMPUTED_VALUE"""),44195.64583333333)</f>
        <v>44195.64583</v>
      </c>
      <c r="B2211" s="1">
        <f>IFERROR(__xludf.DUMMYFUNCTION("""COMPUTED_VALUE"""),25000.0)</f>
        <v>25000</v>
      </c>
      <c r="C2211" s="1">
        <f>IFERROR(__xludf.DUMMYFUNCTION("""COMPUTED_VALUE"""),26500.0)</f>
        <v>26500</v>
      </c>
      <c r="D2211" s="1">
        <f>IFERROR(__xludf.DUMMYFUNCTION("""COMPUTED_VALUE"""),23950.0)</f>
        <v>23950</v>
      </c>
      <c r="E2211" s="1">
        <f>IFERROR(__xludf.DUMMYFUNCTION("""COMPUTED_VALUE"""),23950.0)</f>
        <v>23950</v>
      </c>
      <c r="F2211" s="1">
        <f>IFERROR(__xludf.DUMMYFUNCTION("""COMPUTED_VALUE"""),1205799.0)</f>
        <v>1205799</v>
      </c>
    </row>
    <row r="2212">
      <c r="A2212" s="2">
        <f>IFERROR(__xludf.DUMMYFUNCTION("""COMPUTED_VALUE"""),44200.64583333333)</f>
        <v>44200.64583</v>
      </c>
      <c r="B2212" s="1">
        <f>IFERROR(__xludf.DUMMYFUNCTION("""COMPUTED_VALUE"""),24050.0)</f>
        <v>24050</v>
      </c>
      <c r="C2212" s="1">
        <f>IFERROR(__xludf.DUMMYFUNCTION("""COMPUTED_VALUE"""),24500.0)</f>
        <v>24500</v>
      </c>
      <c r="D2212" s="1">
        <f>IFERROR(__xludf.DUMMYFUNCTION("""COMPUTED_VALUE"""),23600.0)</f>
        <v>23600</v>
      </c>
      <c r="E2212" s="1">
        <f>IFERROR(__xludf.DUMMYFUNCTION("""COMPUTED_VALUE"""),24100.0)</f>
        <v>24100</v>
      </c>
      <c r="F2212" s="1">
        <f>IFERROR(__xludf.DUMMYFUNCTION("""COMPUTED_VALUE"""),112617.0)</f>
        <v>112617</v>
      </c>
    </row>
    <row r="2213">
      <c r="A2213" s="2">
        <f>IFERROR(__xludf.DUMMYFUNCTION("""COMPUTED_VALUE"""),44201.64583333333)</f>
        <v>44201.64583</v>
      </c>
      <c r="B2213" s="1">
        <f>IFERROR(__xludf.DUMMYFUNCTION("""COMPUTED_VALUE"""),23900.0)</f>
        <v>23900</v>
      </c>
      <c r="C2213" s="1">
        <f>IFERROR(__xludf.DUMMYFUNCTION("""COMPUTED_VALUE"""),24450.0)</f>
        <v>24450</v>
      </c>
      <c r="D2213" s="1">
        <f>IFERROR(__xludf.DUMMYFUNCTION("""COMPUTED_VALUE"""),23850.0)</f>
        <v>23850</v>
      </c>
      <c r="E2213" s="1">
        <f>IFERROR(__xludf.DUMMYFUNCTION("""COMPUTED_VALUE"""),24300.0)</f>
        <v>24300</v>
      </c>
      <c r="F2213" s="1">
        <f>IFERROR(__xludf.DUMMYFUNCTION("""COMPUTED_VALUE"""),94742.0)</f>
        <v>94742</v>
      </c>
    </row>
    <row r="2214">
      <c r="A2214" s="2">
        <f>IFERROR(__xludf.DUMMYFUNCTION("""COMPUTED_VALUE"""),44202.64583333333)</f>
        <v>44202.64583</v>
      </c>
      <c r="B2214" s="1">
        <f>IFERROR(__xludf.DUMMYFUNCTION("""COMPUTED_VALUE"""),24250.0)</f>
        <v>24250</v>
      </c>
      <c r="C2214" s="1">
        <f>IFERROR(__xludf.DUMMYFUNCTION("""COMPUTED_VALUE"""),24500.0)</f>
        <v>24500</v>
      </c>
      <c r="D2214" s="1">
        <f>IFERROR(__xludf.DUMMYFUNCTION("""COMPUTED_VALUE"""),23900.0)</f>
        <v>23900</v>
      </c>
      <c r="E2214" s="1">
        <f>IFERROR(__xludf.DUMMYFUNCTION("""COMPUTED_VALUE"""),23900.0)</f>
        <v>23900</v>
      </c>
      <c r="F2214" s="1">
        <f>IFERROR(__xludf.DUMMYFUNCTION("""COMPUTED_VALUE"""),110264.0)</f>
        <v>110264</v>
      </c>
    </row>
    <row r="2215">
      <c r="A2215" s="2">
        <f>IFERROR(__xludf.DUMMYFUNCTION("""COMPUTED_VALUE"""),44203.64583333333)</f>
        <v>44203.64583</v>
      </c>
      <c r="B2215" s="1">
        <f>IFERROR(__xludf.DUMMYFUNCTION("""COMPUTED_VALUE"""),24200.0)</f>
        <v>24200</v>
      </c>
      <c r="C2215" s="1">
        <f>IFERROR(__xludf.DUMMYFUNCTION("""COMPUTED_VALUE"""),24200.0)</f>
        <v>24200</v>
      </c>
      <c r="D2215" s="1">
        <f>IFERROR(__xludf.DUMMYFUNCTION("""COMPUTED_VALUE"""),23700.0)</f>
        <v>23700</v>
      </c>
      <c r="E2215" s="1">
        <f>IFERROR(__xludf.DUMMYFUNCTION("""COMPUTED_VALUE"""),23800.0)</f>
        <v>23800</v>
      </c>
      <c r="F2215" s="1">
        <f>IFERROR(__xludf.DUMMYFUNCTION("""COMPUTED_VALUE"""),97374.0)</f>
        <v>97374</v>
      </c>
    </row>
    <row r="2216">
      <c r="A2216" s="2">
        <f>IFERROR(__xludf.DUMMYFUNCTION("""COMPUTED_VALUE"""),44204.64583333333)</f>
        <v>44204.64583</v>
      </c>
      <c r="B2216" s="1">
        <f>IFERROR(__xludf.DUMMYFUNCTION("""COMPUTED_VALUE"""),23700.0)</f>
        <v>23700</v>
      </c>
      <c r="C2216" s="1">
        <f>IFERROR(__xludf.DUMMYFUNCTION("""COMPUTED_VALUE"""),23800.0)</f>
        <v>23800</v>
      </c>
      <c r="D2216" s="1">
        <f>IFERROR(__xludf.DUMMYFUNCTION("""COMPUTED_VALUE"""),23200.0)</f>
        <v>23200</v>
      </c>
      <c r="E2216" s="1">
        <f>IFERROR(__xludf.DUMMYFUNCTION("""COMPUTED_VALUE"""),23200.0)</f>
        <v>23200</v>
      </c>
      <c r="F2216" s="1">
        <f>IFERROR(__xludf.DUMMYFUNCTION("""COMPUTED_VALUE"""),115292.0)</f>
        <v>115292</v>
      </c>
    </row>
    <row r="2217">
      <c r="A2217" s="2">
        <f>IFERROR(__xludf.DUMMYFUNCTION("""COMPUTED_VALUE"""),44207.64583333333)</f>
        <v>44207.64583</v>
      </c>
      <c r="B2217" s="1">
        <f>IFERROR(__xludf.DUMMYFUNCTION("""COMPUTED_VALUE"""),23200.0)</f>
        <v>23200</v>
      </c>
      <c r="C2217" s="1">
        <f>IFERROR(__xludf.DUMMYFUNCTION("""COMPUTED_VALUE"""),23300.0)</f>
        <v>23300</v>
      </c>
      <c r="D2217" s="1">
        <f>IFERROR(__xludf.DUMMYFUNCTION("""COMPUTED_VALUE"""),22350.0)</f>
        <v>22350</v>
      </c>
      <c r="E2217" s="1">
        <f>IFERROR(__xludf.DUMMYFUNCTION("""COMPUTED_VALUE"""),22500.0)</f>
        <v>22500</v>
      </c>
      <c r="F2217" s="1">
        <f>IFERROR(__xludf.DUMMYFUNCTION("""COMPUTED_VALUE"""),109102.0)</f>
        <v>109102</v>
      </c>
    </row>
    <row r="2218">
      <c r="A2218" s="2">
        <f>IFERROR(__xludf.DUMMYFUNCTION("""COMPUTED_VALUE"""),44208.64583333333)</f>
        <v>44208.64583</v>
      </c>
      <c r="B2218" s="1">
        <f>IFERROR(__xludf.DUMMYFUNCTION("""COMPUTED_VALUE"""),22250.0)</f>
        <v>22250</v>
      </c>
      <c r="C2218" s="1">
        <f>IFERROR(__xludf.DUMMYFUNCTION("""COMPUTED_VALUE"""),23500.0)</f>
        <v>23500</v>
      </c>
      <c r="D2218" s="1">
        <f>IFERROR(__xludf.DUMMYFUNCTION("""COMPUTED_VALUE"""),22250.0)</f>
        <v>22250</v>
      </c>
      <c r="E2218" s="1">
        <f>IFERROR(__xludf.DUMMYFUNCTION("""COMPUTED_VALUE"""),23100.0)</f>
        <v>23100</v>
      </c>
      <c r="F2218" s="1">
        <f>IFERROR(__xludf.DUMMYFUNCTION("""COMPUTED_VALUE"""),50926.0)</f>
        <v>50926</v>
      </c>
    </row>
    <row r="2219">
      <c r="A2219" s="2">
        <f>IFERROR(__xludf.DUMMYFUNCTION("""COMPUTED_VALUE"""),44209.64583333333)</f>
        <v>44209.64583</v>
      </c>
      <c r="B2219" s="1">
        <f>IFERROR(__xludf.DUMMYFUNCTION("""COMPUTED_VALUE"""),22900.0)</f>
        <v>22900</v>
      </c>
      <c r="C2219" s="1">
        <f>IFERROR(__xludf.DUMMYFUNCTION("""COMPUTED_VALUE"""),26550.0)</f>
        <v>26550</v>
      </c>
      <c r="D2219" s="1">
        <f>IFERROR(__xludf.DUMMYFUNCTION("""COMPUTED_VALUE"""),22900.0)</f>
        <v>22900</v>
      </c>
      <c r="E2219" s="1">
        <f>IFERROR(__xludf.DUMMYFUNCTION("""COMPUTED_VALUE"""),23750.0)</f>
        <v>23750</v>
      </c>
      <c r="F2219" s="1">
        <f>IFERROR(__xludf.DUMMYFUNCTION("""COMPUTED_VALUE"""),1612581.0)</f>
        <v>1612581</v>
      </c>
    </row>
    <row r="2220">
      <c r="A2220" s="2">
        <f>IFERROR(__xludf.DUMMYFUNCTION("""COMPUTED_VALUE"""),44210.64583333333)</f>
        <v>44210.64583</v>
      </c>
      <c r="B2220" s="1">
        <f>IFERROR(__xludf.DUMMYFUNCTION("""COMPUTED_VALUE"""),23750.0)</f>
        <v>23750</v>
      </c>
      <c r="C2220" s="1">
        <f>IFERROR(__xludf.DUMMYFUNCTION("""COMPUTED_VALUE"""),24250.0)</f>
        <v>24250</v>
      </c>
      <c r="D2220" s="1">
        <f>IFERROR(__xludf.DUMMYFUNCTION("""COMPUTED_VALUE"""),23600.0)</f>
        <v>23600</v>
      </c>
      <c r="E2220" s="1">
        <f>IFERROR(__xludf.DUMMYFUNCTION("""COMPUTED_VALUE"""),23900.0)</f>
        <v>23900</v>
      </c>
      <c r="F2220" s="1">
        <f>IFERROR(__xludf.DUMMYFUNCTION("""COMPUTED_VALUE"""),204777.0)</f>
        <v>204777</v>
      </c>
    </row>
    <row r="2221">
      <c r="A2221" s="2">
        <f>IFERROR(__xludf.DUMMYFUNCTION("""COMPUTED_VALUE"""),44211.64583333333)</f>
        <v>44211.64583</v>
      </c>
      <c r="B2221" s="1">
        <f>IFERROR(__xludf.DUMMYFUNCTION("""COMPUTED_VALUE"""),23900.0)</f>
        <v>23900</v>
      </c>
      <c r="C2221" s="1">
        <f>IFERROR(__xludf.DUMMYFUNCTION("""COMPUTED_VALUE"""),24050.0)</f>
        <v>24050</v>
      </c>
      <c r="D2221" s="1">
        <f>IFERROR(__xludf.DUMMYFUNCTION("""COMPUTED_VALUE"""),23200.0)</f>
        <v>23200</v>
      </c>
      <c r="E2221" s="1">
        <f>IFERROR(__xludf.DUMMYFUNCTION("""COMPUTED_VALUE"""),23350.0)</f>
        <v>23350</v>
      </c>
      <c r="F2221" s="1">
        <f>IFERROR(__xludf.DUMMYFUNCTION("""COMPUTED_VALUE"""),103567.0)</f>
        <v>103567</v>
      </c>
    </row>
    <row r="2222">
      <c r="A2222" s="2">
        <f>IFERROR(__xludf.DUMMYFUNCTION("""COMPUTED_VALUE"""),44214.64583333333)</f>
        <v>44214.64583</v>
      </c>
      <c r="B2222" s="1">
        <f>IFERROR(__xludf.DUMMYFUNCTION("""COMPUTED_VALUE"""),23050.0)</f>
        <v>23050</v>
      </c>
      <c r="C2222" s="1">
        <f>IFERROR(__xludf.DUMMYFUNCTION("""COMPUTED_VALUE"""),23450.0)</f>
        <v>23450</v>
      </c>
      <c r="D2222" s="1">
        <f>IFERROR(__xludf.DUMMYFUNCTION("""COMPUTED_VALUE"""),22750.0)</f>
        <v>22750</v>
      </c>
      <c r="E2222" s="1">
        <f>IFERROR(__xludf.DUMMYFUNCTION("""COMPUTED_VALUE"""),23200.0)</f>
        <v>23200</v>
      </c>
      <c r="F2222" s="1">
        <f>IFERROR(__xludf.DUMMYFUNCTION("""COMPUTED_VALUE"""),84958.0)</f>
        <v>84958</v>
      </c>
    </row>
    <row r="2223">
      <c r="A2223" s="2">
        <f>IFERROR(__xludf.DUMMYFUNCTION("""COMPUTED_VALUE"""),44215.64583333333)</f>
        <v>44215.64583</v>
      </c>
      <c r="B2223" s="1">
        <f>IFERROR(__xludf.DUMMYFUNCTION("""COMPUTED_VALUE"""),23000.0)</f>
        <v>23000</v>
      </c>
      <c r="C2223" s="1">
        <f>IFERROR(__xludf.DUMMYFUNCTION("""COMPUTED_VALUE"""),23600.0)</f>
        <v>23600</v>
      </c>
      <c r="D2223" s="1">
        <f>IFERROR(__xludf.DUMMYFUNCTION("""COMPUTED_VALUE"""),23000.0)</f>
        <v>23000</v>
      </c>
      <c r="E2223" s="1">
        <f>IFERROR(__xludf.DUMMYFUNCTION("""COMPUTED_VALUE"""),23550.0)</f>
        <v>23550</v>
      </c>
      <c r="F2223" s="1">
        <f>IFERROR(__xludf.DUMMYFUNCTION("""COMPUTED_VALUE"""),47210.0)</f>
        <v>47210</v>
      </c>
    </row>
    <row r="2224">
      <c r="A2224" s="2">
        <f>IFERROR(__xludf.DUMMYFUNCTION("""COMPUTED_VALUE"""),44216.64583333333)</f>
        <v>44216.64583</v>
      </c>
      <c r="B2224" s="1">
        <f>IFERROR(__xludf.DUMMYFUNCTION("""COMPUTED_VALUE"""),23750.0)</f>
        <v>23750</v>
      </c>
      <c r="C2224" s="1">
        <f>IFERROR(__xludf.DUMMYFUNCTION("""COMPUTED_VALUE"""),24100.0)</f>
        <v>24100</v>
      </c>
      <c r="D2224" s="1">
        <f>IFERROR(__xludf.DUMMYFUNCTION("""COMPUTED_VALUE"""),23400.0)</f>
        <v>23400</v>
      </c>
      <c r="E2224" s="1">
        <f>IFERROR(__xludf.DUMMYFUNCTION("""COMPUTED_VALUE"""),23750.0)</f>
        <v>23750</v>
      </c>
      <c r="F2224" s="1">
        <f>IFERROR(__xludf.DUMMYFUNCTION("""COMPUTED_VALUE"""),81141.0)</f>
        <v>81141</v>
      </c>
    </row>
    <row r="2225">
      <c r="A2225" s="2">
        <f>IFERROR(__xludf.DUMMYFUNCTION("""COMPUTED_VALUE"""),44217.64583333333)</f>
        <v>44217.64583</v>
      </c>
      <c r="B2225" s="1">
        <f>IFERROR(__xludf.DUMMYFUNCTION("""COMPUTED_VALUE"""),23850.0)</f>
        <v>23850</v>
      </c>
      <c r="C2225" s="1">
        <f>IFERROR(__xludf.DUMMYFUNCTION("""COMPUTED_VALUE"""),25400.0)</f>
        <v>25400</v>
      </c>
      <c r="D2225" s="1">
        <f>IFERROR(__xludf.DUMMYFUNCTION("""COMPUTED_VALUE"""),23850.0)</f>
        <v>23850</v>
      </c>
      <c r="E2225" s="1">
        <f>IFERROR(__xludf.DUMMYFUNCTION("""COMPUTED_VALUE"""),25050.0)</f>
        <v>25050</v>
      </c>
      <c r="F2225" s="1">
        <f>IFERROR(__xludf.DUMMYFUNCTION("""COMPUTED_VALUE"""),362170.0)</f>
        <v>362170</v>
      </c>
    </row>
    <row r="2226">
      <c r="A2226" s="2">
        <f>IFERROR(__xludf.DUMMYFUNCTION("""COMPUTED_VALUE"""),44218.64583333333)</f>
        <v>44218.64583</v>
      </c>
      <c r="B2226" s="1">
        <f>IFERROR(__xludf.DUMMYFUNCTION("""COMPUTED_VALUE"""),25200.0)</f>
        <v>25200</v>
      </c>
      <c r="C2226" s="1">
        <f>IFERROR(__xludf.DUMMYFUNCTION("""COMPUTED_VALUE"""),26100.0)</f>
        <v>26100</v>
      </c>
      <c r="D2226" s="1">
        <f>IFERROR(__xludf.DUMMYFUNCTION("""COMPUTED_VALUE"""),24350.0)</f>
        <v>24350</v>
      </c>
      <c r="E2226" s="1">
        <f>IFERROR(__xludf.DUMMYFUNCTION("""COMPUTED_VALUE"""),24350.0)</f>
        <v>24350</v>
      </c>
      <c r="F2226" s="1">
        <f>IFERROR(__xludf.DUMMYFUNCTION("""COMPUTED_VALUE"""),683245.0)</f>
        <v>683245</v>
      </c>
    </row>
    <row r="2227">
      <c r="A2227" s="2">
        <f>IFERROR(__xludf.DUMMYFUNCTION("""COMPUTED_VALUE"""),44221.64583333333)</f>
        <v>44221.64583</v>
      </c>
      <c r="B2227" s="1">
        <f>IFERROR(__xludf.DUMMYFUNCTION("""COMPUTED_VALUE"""),25250.0)</f>
        <v>25250</v>
      </c>
      <c r="C2227" s="1">
        <f>IFERROR(__xludf.DUMMYFUNCTION("""COMPUTED_VALUE"""),25550.0)</f>
        <v>25550</v>
      </c>
      <c r="D2227" s="1">
        <f>IFERROR(__xludf.DUMMYFUNCTION("""COMPUTED_VALUE"""),24600.0)</f>
        <v>24600</v>
      </c>
      <c r="E2227" s="1">
        <f>IFERROR(__xludf.DUMMYFUNCTION("""COMPUTED_VALUE"""),24950.0)</f>
        <v>24950</v>
      </c>
      <c r="F2227" s="1">
        <f>IFERROR(__xludf.DUMMYFUNCTION("""COMPUTED_VALUE"""),254807.0)</f>
        <v>254807</v>
      </c>
    </row>
    <row r="2228">
      <c r="A2228" s="2">
        <f>IFERROR(__xludf.DUMMYFUNCTION("""COMPUTED_VALUE"""),44222.64583333333)</f>
        <v>44222.64583</v>
      </c>
      <c r="B2228" s="1">
        <f>IFERROR(__xludf.DUMMYFUNCTION("""COMPUTED_VALUE"""),25000.0)</f>
        <v>25000</v>
      </c>
      <c r="C2228" s="1">
        <f>IFERROR(__xludf.DUMMYFUNCTION("""COMPUTED_VALUE"""),25100.0)</f>
        <v>25100</v>
      </c>
      <c r="D2228" s="1">
        <f>IFERROR(__xludf.DUMMYFUNCTION("""COMPUTED_VALUE"""),24400.0)</f>
        <v>24400</v>
      </c>
      <c r="E2228" s="1">
        <f>IFERROR(__xludf.DUMMYFUNCTION("""COMPUTED_VALUE"""),24400.0)</f>
        <v>24400</v>
      </c>
      <c r="F2228" s="1">
        <f>IFERROR(__xludf.DUMMYFUNCTION("""COMPUTED_VALUE"""),102475.0)</f>
        <v>102475</v>
      </c>
    </row>
    <row r="2229">
      <c r="A2229" s="2">
        <f>IFERROR(__xludf.DUMMYFUNCTION("""COMPUTED_VALUE"""),44223.64583333333)</f>
        <v>44223.64583</v>
      </c>
      <c r="B2229" s="1">
        <f>IFERROR(__xludf.DUMMYFUNCTION("""COMPUTED_VALUE"""),24500.0)</f>
        <v>24500</v>
      </c>
      <c r="C2229" s="1">
        <f>IFERROR(__xludf.DUMMYFUNCTION("""COMPUTED_VALUE"""),25650.0)</f>
        <v>25650</v>
      </c>
      <c r="D2229" s="1">
        <f>IFERROR(__xludf.DUMMYFUNCTION("""COMPUTED_VALUE"""),24050.0)</f>
        <v>24050</v>
      </c>
      <c r="E2229" s="1">
        <f>IFERROR(__xludf.DUMMYFUNCTION("""COMPUTED_VALUE"""),24500.0)</f>
        <v>24500</v>
      </c>
      <c r="F2229" s="1">
        <f>IFERROR(__xludf.DUMMYFUNCTION("""COMPUTED_VALUE"""),302113.0)</f>
        <v>302113</v>
      </c>
    </row>
    <row r="2230">
      <c r="A2230" s="2">
        <f>IFERROR(__xludf.DUMMYFUNCTION("""COMPUTED_VALUE"""),44224.64583333333)</f>
        <v>44224.64583</v>
      </c>
      <c r="B2230" s="1">
        <f>IFERROR(__xludf.DUMMYFUNCTION("""COMPUTED_VALUE"""),23900.0)</f>
        <v>23900</v>
      </c>
      <c r="C2230" s="1">
        <f>IFERROR(__xludf.DUMMYFUNCTION("""COMPUTED_VALUE"""),24150.0)</f>
        <v>24150</v>
      </c>
      <c r="D2230" s="1">
        <f>IFERROR(__xludf.DUMMYFUNCTION("""COMPUTED_VALUE"""),23500.0)</f>
        <v>23500</v>
      </c>
      <c r="E2230" s="1">
        <f>IFERROR(__xludf.DUMMYFUNCTION("""COMPUTED_VALUE"""),23500.0)</f>
        <v>23500</v>
      </c>
      <c r="F2230" s="1">
        <f>IFERROR(__xludf.DUMMYFUNCTION("""COMPUTED_VALUE"""),106779.0)</f>
        <v>106779</v>
      </c>
    </row>
    <row r="2231">
      <c r="A2231" s="2">
        <f>IFERROR(__xludf.DUMMYFUNCTION("""COMPUTED_VALUE"""),44225.64583333333)</f>
        <v>44225.64583</v>
      </c>
      <c r="B2231" s="1">
        <f>IFERROR(__xludf.DUMMYFUNCTION("""COMPUTED_VALUE"""),23700.0)</f>
        <v>23700</v>
      </c>
      <c r="C2231" s="1">
        <f>IFERROR(__xludf.DUMMYFUNCTION("""COMPUTED_VALUE"""),23700.0)</f>
        <v>23700</v>
      </c>
      <c r="D2231" s="1">
        <f>IFERROR(__xludf.DUMMYFUNCTION("""COMPUTED_VALUE"""),22500.0)</f>
        <v>22500</v>
      </c>
      <c r="E2231" s="1">
        <f>IFERROR(__xludf.DUMMYFUNCTION("""COMPUTED_VALUE"""),22600.0)</f>
        <v>22600</v>
      </c>
      <c r="F2231" s="1">
        <f>IFERROR(__xludf.DUMMYFUNCTION("""COMPUTED_VALUE"""),85533.0)</f>
        <v>85533</v>
      </c>
    </row>
    <row r="2232">
      <c r="A2232" s="2">
        <f>IFERROR(__xludf.DUMMYFUNCTION("""COMPUTED_VALUE"""),44228.64583333333)</f>
        <v>44228.64583</v>
      </c>
      <c r="B2232" s="1">
        <f>IFERROR(__xludf.DUMMYFUNCTION("""COMPUTED_VALUE"""),22700.0)</f>
        <v>22700</v>
      </c>
      <c r="C2232" s="1">
        <f>IFERROR(__xludf.DUMMYFUNCTION("""COMPUTED_VALUE"""),23200.0)</f>
        <v>23200</v>
      </c>
      <c r="D2232" s="1">
        <f>IFERROR(__xludf.DUMMYFUNCTION("""COMPUTED_VALUE"""),22200.0)</f>
        <v>22200</v>
      </c>
      <c r="E2232" s="1">
        <f>IFERROR(__xludf.DUMMYFUNCTION("""COMPUTED_VALUE"""),23050.0)</f>
        <v>23050</v>
      </c>
      <c r="F2232" s="1">
        <f>IFERROR(__xludf.DUMMYFUNCTION("""COMPUTED_VALUE"""),63097.0)</f>
        <v>63097</v>
      </c>
    </row>
    <row r="2233">
      <c r="A2233" s="2">
        <f>IFERROR(__xludf.DUMMYFUNCTION("""COMPUTED_VALUE"""),44229.64583333333)</f>
        <v>44229.64583</v>
      </c>
      <c r="B2233" s="1">
        <f>IFERROR(__xludf.DUMMYFUNCTION("""COMPUTED_VALUE"""),22900.0)</f>
        <v>22900</v>
      </c>
      <c r="C2233" s="1">
        <f>IFERROR(__xludf.DUMMYFUNCTION("""COMPUTED_VALUE"""),24400.0)</f>
        <v>24400</v>
      </c>
      <c r="D2233" s="1">
        <f>IFERROR(__xludf.DUMMYFUNCTION("""COMPUTED_VALUE"""),22900.0)</f>
        <v>22900</v>
      </c>
      <c r="E2233" s="1">
        <f>IFERROR(__xludf.DUMMYFUNCTION("""COMPUTED_VALUE"""),23750.0)</f>
        <v>23750</v>
      </c>
      <c r="F2233" s="1">
        <f>IFERROR(__xludf.DUMMYFUNCTION("""COMPUTED_VALUE"""),143074.0)</f>
        <v>143074</v>
      </c>
    </row>
    <row r="2234">
      <c r="A2234" s="2">
        <f>IFERROR(__xludf.DUMMYFUNCTION("""COMPUTED_VALUE"""),44230.64583333333)</f>
        <v>44230.64583</v>
      </c>
      <c r="B2234" s="1">
        <f>IFERROR(__xludf.DUMMYFUNCTION("""COMPUTED_VALUE"""),24050.0)</f>
        <v>24050</v>
      </c>
      <c r="C2234" s="1">
        <f>IFERROR(__xludf.DUMMYFUNCTION("""COMPUTED_VALUE"""),24050.0)</f>
        <v>24050</v>
      </c>
      <c r="D2234" s="1">
        <f>IFERROR(__xludf.DUMMYFUNCTION("""COMPUTED_VALUE"""),23350.0)</f>
        <v>23350</v>
      </c>
      <c r="E2234" s="1">
        <f>IFERROR(__xludf.DUMMYFUNCTION("""COMPUTED_VALUE"""),23450.0)</f>
        <v>23450</v>
      </c>
      <c r="F2234" s="1">
        <f>IFERROR(__xludf.DUMMYFUNCTION("""COMPUTED_VALUE"""),66392.0)</f>
        <v>66392</v>
      </c>
    </row>
    <row r="2235">
      <c r="A2235" s="2">
        <f>IFERROR(__xludf.DUMMYFUNCTION("""COMPUTED_VALUE"""),44231.64583333333)</f>
        <v>44231.64583</v>
      </c>
      <c r="B2235" s="1">
        <f>IFERROR(__xludf.DUMMYFUNCTION("""COMPUTED_VALUE"""),23400.0)</f>
        <v>23400</v>
      </c>
      <c r="C2235" s="1">
        <f>IFERROR(__xludf.DUMMYFUNCTION("""COMPUTED_VALUE"""),23750.0)</f>
        <v>23750</v>
      </c>
      <c r="D2235" s="1">
        <f>IFERROR(__xludf.DUMMYFUNCTION("""COMPUTED_VALUE"""),23300.0)</f>
        <v>23300</v>
      </c>
      <c r="E2235" s="1">
        <f>IFERROR(__xludf.DUMMYFUNCTION("""COMPUTED_VALUE"""),23650.0)</f>
        <v>23650</v>
      </c>
      <c r="F2235" s="1">
        <f>IFERROR(__xludf.DUMMYFUNCTION("""COMPUTED_VALUE"""),41759.0)</f>
        <v>41759</v>
      </c>
    </row>
    <row r="2236">
      <c r="A2236" s="2">
        <f>IFERROR(__xludf.DUMMYFUNCTION("""COMPUTED_VALUE"""),44232.64583333333)</f>
        <v>44232.64583</v>
      </c>
      <c r="B2236" s="1">
        <f>IFERROR(__xludf.DUMMYFUNCTION("""COMPUTED_VALUE"""),23500.0)</f>
        <v>23500</v>
      </c>
      <c r="C2236" s="1">
        <f>IFERROR(__xludf.DUMMYFUNCTION("""COMPUTED_VALUE"""),24600.0)</f>
        <v>24600</v>
      </c>
      <c r="D2236" s="1">
        <f>IFERROR(__xludf.DUMMYFUNCTION("""COMPUTED_VALUE"""),23350.0)</f>
        <v>23350</v>
      </c>
      <c r="E2236" s="1">
        <f>IFERROR(__xludf.DUMMYFUNCTION("""COMPUTED_VALUE"""),24300.0)</f>
        <v>24300</v>
      </c>
      <c r="F2236" s="1">
        <f>IFERROR(__xludf.DUMMYFUNCTION("""COMPUTED_VALUE"""),197733.0)</f>
        <v>197733</v>
      </c>
    </row>
    <row r="2237">
      <c r="A2237" s="2">
        <f>IFERROR(__xludf.DUMMYFUNCTION("""COMPUTED_VALUE"""),44235.64583333333)</f>
        <v>44235.64583</v>
      </c>
      <c r="B2237" s="1">
        <f>IFERROR(__xludf.DUMMYFUNCTION("""COMPUTED_VALUE"""),24300.0)</f>
        <v>24300</v>
      </c>
      <c r="C2237" s="1">
        <f>IFERROR(__xludf.DUMMYFUNCTION("""COMPUTED_VALUE"""),24450.0)</f>
        <v>24450</v>
      </c>
      <c r="D2237" s="1">
        <f>IFERROR(__xludf.DUMMYFUNCTION("""COMPUTED_VALUE"""),23600.0)</f>
        <v>23600</v>
      </c>
      <c r="E2237" s="1">
        <f>IFERROR(__xludf.DUMMYFUNCTION("""COMPUTED_VALUE"""),23650.0)</f>
        <v>23650</v>
      </c>
      <c r="F2237" s="1">
        <f>IFERROR(__xludf.DUMMYFUNCTION("""COMPUTED_VALUE"""),62666.0)</f>
        <v>62666</v>
      </c>
    </row>
    <row r="2238">
      <c r="A2238" s="2">
        <f>IFERROR(__xludf.DUMMYFUNCTION("""COMPUTED_VALUE"""),44236.64583333333)</f>
        <v>44236.64583</v>
      </c>
      <c r="B2238" s="1">
        <f>IFERROR(__xludf.DUMMYFUNCTION("""COMPUTED_VALUE"""),23650.0)</f>
        <v>23650</v>
      </c>
      <c r="C2238" s="1">
        <f>IFERROR(__xludf.DUMMYFUNCTION("""COMPUTED_VALUE"""),23950.0)</f>
        <v>23950</v>
      </c>
      <c r="D2238" s="1">
        <f>IFERROR(__xludf.DUMMYFUNCTION("""COMPUTED_VALUE"""),23450.0)</f>
        <v>23450</v>
      </c>
      <c r="E2238" s="1">
        <f>IFERROR(__xludf.DUMMYFUNCTION("""COMPUTED_VALUE"""),23550.0)</f>
        <v>23550</v>
      </c>
      <c r="F2238" s="1">
        <f>IFERROR(__xludf.DUMMYFUNCTION("""COMPUTED_VALUE"""),40343.0)</f>
        <v>40343</v>
      </c>
    </row>
    <row r="2239">
      <c r="A2239" s="2">
        <f>IFERROR(__xludf.DUMMYFUNCTION("""COMPUTED_VALUE"""),44237.64583333333)</f>
        <v>44237.64583</v>
      </c>
      <c r="B2239" s="1">
        <f>IFERROR(__xludf.DUMMYFUNCTION("""COMPUTED_VALUE"""),23800.0)</f>
        <v>23800</v>
      </c>
      <c r="C2239" s="1">
        <f>IFERROR(__xludf.DUMMYFUNCTION("""COMPUTED_VALUE"""),23800.0)</f>
        <v>23800</v>
      </c>
      <c r="D2239" s="1">
        <f>IFERROR(__xludf.DUMMYFUNCTION("""COMPUTED_VALUE"""),23350.0)</f>
        <v>23350</v>
      </c>
      <c r="E2239" s="1">
        <f>IFERROR(__xludf.DUMMYFUNCTION("""COMPUTED_VALUE"""),23450.0)</f>
        <v>23450</v>
      </c>
      <c r="F2239" s="1">
        <f>IFERROR(__xludf.DUMMYFUNCTION("""COMPUTED_VALUE"""),32330.0)</f>
        <v>32330</v>
      </c>
    </row>
    <row r="2240">
      <c r="A2240" s="2">
        <f>IFERROR(__xludf.DUMMYFUNCTION("""COMPUTED_VALUE"""),44242.64583333333)</f>
        <v>44242.64583</v>
      </c>
      <c r="B2240" s="1">
        <f>IFERROR(__xludf.DUMMYFUNCTION("""COMPUTED_VALUE"""),23650.0)</f>
        <v>23650</v>
      </c>
      <c r="C2240" s="1">
        <f>IFERROR(__xludf.DUMMYFUNCTION("""COMPUTED_VALUE"""),24400.0)</f>
        <v>24400</v>
      </c>
      <c r="D2240" s="1">
        <f>IFERROR(__xludf.DUMMYFUNCTION("""COMPUTED_VALUE"""),23550.0)</f>
        <v>23550</v>
      </c>
      <c r="E2240" s="1">
        <f>IFERROR(__xludf.DUMMYFUNCTION("""COMPUTED_VALUE"""),24150.0)</f>
        <v>24150</v>
      </c>
      <c r="F2240" s="1">
        <f>IFERROR(__xludf.DUMMYFUNCTION("""COMPUTED_VALUE"""),80144.0)</f>
        <v>80144</v>
      </c>
    </row>
    <row r="2241">
      <c r="A2241" s="2">
        <f>IFERROR(__xludf.DUMMYFUNCTION("""COMPUTED_VALUE"""),44243.64583333333)</f>
        <v>44243.64583</v>
      </c>
      <c r="B2241" s="1">
        <f>IFERROR(__xludf.DUMMYFUNCTION("""COMPUTED_VALUE"""),24250.0)</f>
        <v>24250</v>
      </c>
      <c r="C2241" s="1">
        <f>IFERROR(__xludf.DUMMYFUNCTION("""COMPUTED_VALUE"""),24800.0)</f>
        <v>24800</v>
      </c>
      <c r="D2241" s="1">
        <f>IFERROR(__xludf.DUMMYFUNCTION("""COMPUTED_VALUE"""),24150.0)</f>
        <v>24150</v>
      </c>
      <c r="E2241" s="1">
        <f>IFERROR(__xludf.DUMMYFUNCTION("""COMPUTED_VALUE"""),24500.0)</f>
        <v>24500</v>
      </c>
      <c r="F2241" s="1">
        <f>IFERROR(__xludf.DUMMYFUNCTION("""COMPUTED_VALUE"""),120610.0)</f>
        <v>120610</v>
      </c>
    </row>
    <row r="2242">
      <c r="A2242" s="2">
        <f>IFERROR(__xludf.DUMMYFUNCTION("""COMPUTED_VALUE"""),44244.64583333333)</f>
        <v>44244.64583</v>
      </c>
      <c r="B2242" s="1">
        <f>IFERROR(__xludf.DUMMYFUNCTION("""COMPUTED_VALUE"""),24850.0)</f>
        <v>24850</v>
      </c>
      <c r="C2242" s="1">
        <f>IFERROR(__xludf.DUMMYFUNCTION("""COMPUTED_VALUE"""),31850.0)</f>
        <v>31850</v>
      </c>
      <c r="D2242" s="1">
        <f>IFERROR(__xludf.DUMMYFUNCTION("""COMPUTED_VALUE"""),24500.0)</f>
        <v>24500</v>
      </c>
      <c r="E2242" s="1">
        <f>IFERROR(__xludf.DUMMYFUNCTION("""COMPUTED_VALUE"""),31850.0)</f>
        <v>31850</v>
      </c>
      <c r="F2242" s="1">
        <f>IFERROR(__xludf.DUMMYFUNCTION("""COMPUTED_VALUE"""),1.103051E7)</f>
        <v>11030510</v>
      </c>
    </row>
    <row r="2243">
      <c r="A2243" s="2">
        <f>IFERROR(__xludf.DUMMYFUNCTION("""COMPUTED_VALUE"""),44245.64583333333)</f>
        <v>44245.64583</v>
      </c>
      <c r="B2243" s="1">
        <f>IFERROR(__xludf.DUMMYFUNCTION("""COMPUTED_VALUE"""),33300.0)</f>
        <v>33300</v>
      </c>
      <c r="C2243" s="1">
        <f>IFERROR(__xludf.DUMMYFUNCTION("""COMPUTED_VALUE"""),41400.0)</f>
        <v>41400</v>
      </c>
      <c r="D2243" s="1">
        <f>IFERROR(__xludf.DUMMYFUNCTION("""COMPUTED_VALUE"""),32650.0)</f>
        <v>32650</v>
      </c>
      <c r="E2243" s="1">
        <f>IFERROR(__xludf.DUMMYFUNCTION("""COMPUTED_VALUE"""),41400.0)</f>
        <v>41400</v>
      </c>
      <c r="F2243" s="1">
        <f>IFERROR(__xludf.DUMMYFUNCTION("""COMPUTED_VALUE"""),1.488837E7)</f>
        <v>14888370</v>
      </c>
    </row>
    <row r="2244">
      <c r="A2244" s="2">
        <f>IFERROR(__xludf.DUMMYFUNCTION("""COMPUTED_VALUE"""),44246.64583333333)</f>
        <v>44246.64583</v>
      </c>
      <c r="B2244" s="1">
        <f>IFERROR(__xludf.DUMMYFUNCTION("""COMPUTED_VALUE"""),39900.0)</f>
        <v>39900</v>
      </c>
      <c r="C2244" s="1">
        <f>IFERROR(__xludf.DUMMYFUNCTION("""COMPUTED_VALUE"""),40000.0)</f>
        <v>40000</v>
      </c>
      <c r="D2244" s="1">
        <f>IFERROR(__xludf.DUMMYFUNCTION("""COMPUTED_VALUE"""),31550.0)</f>
        <v>31550</v>
      </c>
      <c r="E2244" s="1">
        <f>IFERROR(__xludf.DUMMYFUNCTION("""COMPUTED_VALUE"""),32750.0)</f>
        <v>32750</v>
      </c>
      <c r="F2244" s="1">
        <f>IFERROR(__xludf.DUMMYFUNCTION("""COMPUTED_VALUE"""),5004050.0)</f>
        <v>5004050</v>
      </c>
    </row>
    <row r="2245">
      <c r="A2245" s="2">
        <f>IFERROR(__xludf.DUMMYFUNCTION("""COMPUTED_VALUE"""),44249.64583333333)</f>
        <v>44249.64583</v>
      </c>
      <c r="B2245" s="1">
        <f>IFERROR(__xludf.DUMMYFUNCTION("""COMPUTED_VALUE"""),32200.0)</f>
        <v>32200</v>
      </c>
      <c r="C2245" s="1">
        <f>IFERROR(__xludf.DUMMYFUNCTION("""COMPUTED_VALUE"""),35250.0)</f>
        <v>35250</v>
      </c>
      <c r="D2245" s="1">
        <f>IFERROR(__xludf.DUMMYFUNCTION("""COMPUTED_VALUE"""),31950.0)</f>
        <v>31950</v>
      </c>
      <c r="E2245" s="1">
        <f>IFERROR(__xludf.DUMMYFUNCTION("""COMPUTED_VALUE"""),33800.0)</f>
        <v>33800</v>
      </c>
      <c r="F2245" s="1">
        <f>IFERROR(__xludf.DUMMYFUNCTION("""COMPUTED_VALUE"""),4021512.0)</f>
        <v>4021512</v>
      </c>
    </row>
    <row r="2246">
      <c r="A2246" s="2">
        <f>IFERROR(__xludf.DUMMYFUNCTION("""COMPUTED_VALUE"""),44250.64583333333)</f>
        <v>44250.64583</v>
      </c>
      <c r="B2246" s="1">
        <f>IFERROR(__xludf.DUMMYFUNCTION("""COMPUTED_VALUE"""),33350.0)</f>
        <v>33350</v>
      </c>
      <c r="C2246" s="1">
        <f>IFERROR(__xludf.DUMMYFUNCTION("""COMPUTED_VALUE"""),37450.0)</f>
        <v>37450</v>
      </c>
      <c r="D2246" s="1">
        <f>IFERROR(__xludf.DUMMYFUNCTION("""COMPUTED_VALUE"""),30500.0)</f>
        <v>30500</v>
      </c>
      <c r="E2246" s="1">
        <f>IFERROR(__xludf.DUMMYFUNCTION("""COMPUTED_VALUE"""),30500.0)</f>
        <v>30500</v>
      </c>
      <c r="F2246" s="1">
        <f>IFERROR(__xludf.DUMMYFUNCTION("""COMPUTED_VALUE"""),4182194.0)</f>
        <v>4182194</v>
      </c>
    </row>
    <row r="2247">
      <c r="A2247" s="2">
        <f>IFERROR(__xludf.DUMMYFUNCTION("""COMPUTED_VALUE"""),44251.64583333333)</f>
        <v>44251.64583</v>
      </c>
      <c r="B2247" s="1">
        <f>IFERROR(__xludf.DUMMYFUNCTION("""COMPUTED_VALUE"""),31200.0)</f>
        <v>31200</v>
      </c>
      <c r="C2247" s="1">
        <f>IFERROR(__xludf.DUMMYFUNCTION("""COMPUTED_VALUE"""),32900.0)</f>
        <v>32900</v>
      </c>
      <c r="D2247" s="1">
        <f>IFERROR(__xludf.DUMMYFUNCTION("""COMPUTED_VALUE"""),30000.0)</f>
        <v>30000</v>
      </c>
      <c r="E2247" s="1">
        <f>IFERROR(__xludf.DUMMYFUNCTION("""COMPUTED_VALUE"""),32250.0)</f>
        <v>32250</v>
      </c>
      <c r="F2247" s="1">
        <f>IFERROR(__xludf.DUMMYFUNCTION("""COMPUTED_VALUE"""),1898951.0)</f>
        <v>1898951</v>
      </c>
    </row>
    <row r="2248">
      <c r="A2248" s="2">
        <f>IFERROR(__xludf.DUMMYFUNCTION("""COMPUTED_VALUE"""),44252.64583333333)</f>
        <v>44252.64583</v>
      </c>
      <c r="B2248" s="1">
        <f>IFERROR(__xludf.DUMMYFUNCTION("""COMPUTED_VALUE"""),32800.0)</f>
        <v>32800</v>
      </c>
      <c r="C2248" s="1">
        <f>IFERROR(__xludf.DUMMYFUNCTION("""COMPUTED_VALUE"""),33450.0)</f>
        <v>33450</v>
      </c>
      <c r="D2248" s="1">
        <f>IFERROR(__xludf.DUMMYFUNCTION("""COMPUTED_VALUE"""),31250.0)</f>
        <v>31250</v>
      </c>
      <c r="E2248" s="1">
        <f>IFERROR(__xludf.DUMMYFUNCTION("""COMPUTED_VALUE"""),31500.0)</f>
        <v>31500</v>
      </c>
      <c r="F2248" s="1">
        <f>IFERROR(__xludf.DUMMYFUNCTION("""COMPUTED_VALUE"""),1626612.0)</f>
        <v>1626612</v>
      </c>
    </row>
    <row r="2249">
      <c r="A2249" s="2">
        <f>IFERROR(__xludf.DUMMYFUNCTION("""COMPUTED_VALUE"""),44253.64583333333)</f>
        <v>44253.64583</v>
      </c>
      <c r="B2249" s="1">
        <f>IFERROR(__xludf.DUMMYFUNCTION("""COMPUTED_VALUE"""),30650.0)</f>
        <v>30650</v>
      </c>
      <c r="C2249" s="1">
        <f>IFERROR(__xludf.DUMMYFUNCTION("""COMPUTED_VALUE"""),35150.0)</f>
        <v>35150</v>
      </c>
      <c r="D2249" s="1">
        <f>IFERROR(__xludf.DUMMYFUNCTION("""COMPUTED_VALUE"""),30500.0)</f>
        <v>30500</v>
      </c>
      <c r="E2249" s="1">
        <f>IFERROR(__xludf.DUMMYFUNCTION("""COMPUTED_VALUE"""),33900.0)</f>
        <v>33900</v>
      </c>
      <c r="F2249" s="1">
        <f>IFERROR(__xludf.DUMMYFUNCTION("""COMPUTED_VALUE"""),5266494.0)</f>
        <v>5266494</v>
      </c>
    </row>
    <row r="2250">
      <c r="A2250" s="2">
        <f>IFERROR(__xludf.DUMMYFUNCTION("""COMPUTED_VALUE"""),44257.64583333333)</f>
        <v>44257.64583</v>
      </c>
      <c r="B2250" s="1">
        <f>IFERROR(__xludf.DUMMYFUNCTION("""COMPUTED_VALUE"""),33600.0)</f>
        <v>33600</v>
      </c>
      <c r="C2250" s="1">
        <f>IFERROR(__xludf.DUMMYFUNCTION("""COMPUTED_VALUE"""),36750.0)</f>
        <v>36750</v>
      </c>
      <c r="D2250" s="1">
        <f>IFERROR(__xludf.DUMMYFUNCTION("""COMPUTED_VALUE"""),33100.0)</f>
        <v>33100</v>
      </c>
      <c r="E2250" s="1">
        <f>IFERROR(__xludf.DUMMYFUNCTION("""COMPUTED_VALUE"""),33500.0)</f>
        <v>33500</v>
      </c>
      <c r="F2250" s="1">
        <f>IFERROR(__xludf.DUMMYFUNCTION("""COMPUTED_VALUE"""),3162598.0)</f>
        <v>3162598</v>
      </c>
    </row>
    <row r="2251">
      <c r="A2251" s="2">
        <f>IFERROR(__xludf.DUMMYFUNCTION("""COMPUTED_VALUE"""),44258.64583333333)</f>
        <v>44258.64583</v>
      </c>
      <c r="B2251" s="1">
        <f>IFERROR(__xludf.DUMMYFUNCTION("""COMPUTED_VALUE"""),34150.0)</f>
        <v>34150</v>
      </c>
      <c r="C2251" s="1">
        <f>IFERROR(__xludf.DUMMYFUNCTION("""COMPUTED_VALUE"""),36300.0)</f>
        <v>36300</v>
      </c>
      <c r="D2251" s="1">
        <f>IFERROR(__xludf.DUMMYFUNCTION("""COMPUTED_VALUE"""),33950.0)</f>
        <v>33950</v>
      </c>
      <c r="E2251" s="1">
        <f>IFERROR(__xludf.DUMMYFUNCTION("""COMPUTED_VALUE"""),35700.0)</f>
        <v>35700</v>
      </c>
      <c r="F2251" s="1">
        <f>IFERROR(__xludf.DUMMYFUNCTION("""COMPUTED_VALUE"""),2353431.0)</f>
        <v>2353431</v>
      </c>
    </row>
    <row r="2252">
      <c r="A2252" s="2">
        <f>IFERROR(__xludf.DUMMYFUNCTION("""COMPUTED_VALUE"""),44259.64583333333)</f>
        <v>44259.64583</v>
      </c>
      <c r="B2252" s="1">
        <f>IFERROR(__xludf.DUMMYFUNCTION("""COMPUTED_VALUE"""),34950.0)</f>
        <v>34950</v>
      </c>
      <c r="C2252" s="1">
        <f>IFERROR(__xludf.DUMMYFUNCTION("""COMPUTED_VALUE"""),35950.0)</f>
        <v>35950</v>
      </c>
      <c r="D2252" s="1">
        <f>IFERROR(__xludf.DUMMYFUNCTION("""COMPUTED_VALUE"""),33750.0)</f>
        <v>33750</v>
      </c>
      <c r="E2252" s="1">
        <f>IFERROR(__xludf.DUMMYFUNCTION("""COMPUTED_VALUE"""),34150.0)</f>
        <v>34150</v>
      </c>
      <c r="F2252" s="1">
        <f>IFERROR(__xludf.DUMMYFUNCTION("""COMPUTED_VALUE"""),897434.0)</f>
        <v>897434</v>
      </c>
    </row>
    <row r="2253">
      <c r="A2253" s="2">
        <f>IFERROR(__xludf.DUMMYFUNCTION("""COMPUTED_VALUE"""),44260.64583333333)</f>
        <v>44260.64583</v>
      </c>
      <c r="B2253" s="1">
        <f>IFERROR(__xludf.DUMMYFUNCTION("""COMPUTED_VALUE"""),33350.0)</f>
        <v>33350</v>
      </c>
      <c r="C2253" s="1">
        <f>IFERROR(__xludf.DUMMYFUNCTION("""COMPUTED_VALUE"""),44350.0)</f>
        <v>44350</v>
      </c>
      <c r="D2253" s="1">
        <f>IFERROR(__xludf.DUMMYFUNCTION("""COMPUTED_VALUE"""),32600.0)</f>
        <v>32600</v>
      </c>
      <c r="E2253" s="1">
        <f>IFERROR(__xludf.DUMMYFUNCTION("""COMPUTED_VALUE"""),41300.0)</f>
        <v>41300</v>
      </c>
      <c r="F2253" s="1">
        <f>IFERROR(__xludf.DUMMYFUNCTION("""COMPUTED_VALUE"""),1.2021099E7)</f>
        <v>12021099</v>
      </c>
    </row>
    <row r="2254">
      <c r="A2254" s="2">
        <f>IFERROR(__xludf.DUMMYFUNCTION("""COMPUTED_VALUE"""),44263.64583333333)</f>
        <v>44263.64583</v>
      </c>
      <c r="B2254" s="1">
        <f>IFERROR(__xludf.DUMMYFUNCTION("""COMPUTED_VALUE"""),40550.0)</f>
        <v>40550</v>
      </c>
      <c r="C2254" s="1">
        <f>IFERROR(__xludf.DUMMYFUNCTION("""COMPUTED_VALUE"""),45400.0)</f>
        <v>45400</v>
      </c>
      <c r="D2254" s="1">
        <f>IFERROR(__xludf.DUMMYFUNCTION("""COMPUTED_VALUE"""),37800.0)</f>
        <v>37800</v>
      </c>
      <c r="E2254" s="1">
        <f>IFERROR(__xludf.DUMMYFUNCTION("""COMPUTED_VALUE"""),38800.0)</f>
        <v>38800</v>
      </c>
      <c r="F2254" s="1">
        <f>IFERROR(__xludf.DUMMYFUNCTION("""COMPUTED_VALUE"""),6394020.0)</f>
        <v>6394020</v>
      </c>
    </row>
    <row r="2255">
      <c r="A2255" s="2">
        <f>IFERROR(__xludf.DUMMYFUNCTION("""COMPUTED_VALUE"""),44264.64583333333)</f>
        <v>44264.64583</v>
      </c>
      <c r="B2255" s="1">
        <f>IFERROR(__xludf.DUMMYFUNCTION("""COMPUTED_VALUE"""),38500.0)</f>
        <v>38500</v>
      </c>
      <c r="C2255" s="1">
        <f>IFERROR(__xludf.DUMMYFUNCTION("""COMPUTED_VALUE"""),42600.0)</f>
        <v>42600</v>
      </c>
      <c r="D2255" s="1">
        <f>IFERROR(__xludf.DUMMYFUNCTION("""COMPUTED_VALUE"""),37350.0)</f>
        <v>37350</v>
      </c>
      <c r="E2255" s="1">
        <f>IFERROR(__xludf.DUMMYFUNCTION("""COMPUTED_VALUE"""),37550.0)</f>
        <v>37550</v>
      </c>
      <c r="F2255" s="1">
        <f>IFERROR(__xludf.DUMMYFUNCTION("""COMPUTED_VALUE"""),4688778.0)</f>
        <v>4688778</v>
      </c>
    </row>
    <row r="2256">
      <c r="A2256" s="2">
        <f>IFERROR(__xludf.DUMMYFUNCTION("""COMPUTED_VALUE"""),44265.64583333333)</f>
        <v>44265.64583</v>
      </c>
      <c r="B2256" s="1">
        <f>IFERROR(__xludf.DUMMYFUNCTION("""COMPUTED_VALUE"""),37850.0)</f>
        <v>37850</v>
      </c>
      <c r="C2256" s="1">
        <f>IFERROR(__xludf.DUMMYFUNCTION("""COMPUTED_VALUE"""),39500.0)</f>
        <v>39500</v>
      </c>
      <c r="D2256" s="1">
        <f>IFERROR(__xludf.DUMMYFUNCTION("""COMPUTED_VALUE"""),35350.0)</f>
        <v>35350</v>
      </c>
      <c r="E2256" s="1">
        <f>IFERROR(__xludf.DUMMYFUNCTION("""COMPUTED_VALUE"""),35400.0)</f>
        <v>35400</v>
      </c>
      <c r="F2256" s="1">
        <f>IFERROR(__xludf.DUMMYFUNCTION("""COMPUTED_VALUE"""),1340183.0)</f>
        <v>1340183</v>
      </c>
    </row>
    <row r="2257">
      <c r="A2257" s="2">
        <f>IFERROR(__xludf.DUMMYFUNCTION("""COMPUTED_VALUE"""),44266.64583333333)</f>
        <v>44266.64583</v>
      </c>
      <c r="B2257" s="1">
        <f>IFERROR(__xludf.DUMMYFUNCTION("""COMPUTED_VALUE"""),35700.0)</f>
        <v>35700</v>
      </c>
      <c r="C2257" s="1">
        <f>IFERROR(__xludf.DUMMYFUNCTION("""COMPUTED_VALUE"""),37000.0)</f>
        <v>37000</v>
      </c>
      <c r="D2257" s="1">
        <f>IFERROR(__xludf.DUMMYFUNCTION("""COMPUTED_VALUE"""),34300.0)</f>
        <v>34300</v>
      </c>
      <c r="E2257" s="1">
        <f>IFERROR(__xludf.DUMMYFUNCTION("""COMPUTED_VALUE"""),35400.0)</f>
        <v>35400</v>
      </c>
      <c r="F2257" s="1">
        <f>IFERROR(__xludf.DUMMYFUNCTION("""COMPUTED_VALUE"""),1155840.0)</f>
        <v>1155840</v>
      </c>
    </row>
    <row r="2258">
      <c r="A2258" s="2">
        <f>IFERROR(__xludf.DUMMYFUNCTION("""COMPUTED_VALUE"""),44267.64583333333)</f>
        <v>44267.64583</v>
      </c>
      <c r="B2258" s="1">
        <f>IFERROR(__xludf.DUMMYFUNCTION("""COMPUTED_VALUE"""),35700.0)</f>
        <v>35700</v>
      </c>
      <c r="C2258" s="1">
        <f>IFERROR(__xludf.DUMMYFUNCTION("""COMPUTED_VALUE"""),46000.0)</f>
        <v>46000</v>
      </c>
      <c r="D2258" s="1">
        <f>IFERROR(__xludf.DUMMYFUNCTION("""COMPUTED_VALUE"""),35700.0)</f>
        <v>35700</v>
      </c>
      <c r="E2258" s="1">
        <f>IFERROR(__xludf.DUMMYFUNCTION("""COMPUTED_VALUE"""),46000.0)</f>
        <v>46000</v>
      </c>
      <c r="F2258" s="1">
        <f>IFERROR(__xludf.DUMMYFUNCTION("""COMPUTED_VALUE"""),1.4341006E7)</f>
        <v>14341006</v>
      </c>
    </row>
    <row r="2259">
      <c r="A2259" s="2">
        <f>IFERROR(__xludf.DUMMYFUNCTION("""COMPUTED_VALUE"""),44270.64583333333)</f>
        <v>44270.64583</v>
      </c>
      <c r="B2259" s="1">
        <f>IFERROR(__xludf.DUMMYFUNCTION("""COMPUTED_VALUE"""),44200.0)</f>
        <v>44200</v>
      </c>
      <c r="C2259" s="1">
        <f>IFERROR(__xludf.DUMMYFUNCTION("""COMPUTED_VALUE"""),52000.0)</f>
        <v>52000</v>
      </c>
      <c r="D2259" s="1">
        <f>IFERROR(__xludf.DUMMYFUNCTION("""COMPUTED_VALUE"""),43800.0)</f>
        <v>43800</v>
      </c>
      <c r="E2259" s="1">
        <f>IFERROR(__xludf.DUMMYFUNCTION("""COMPUTED_VALUE"""),45550.0)</f>
        <v>45550</v>
      </c>
      <c r="F2259" s="1">
        <f>IFERROR(__xludf.DUMMYFUNCTION("""COMPUTED_VALUE"""),1.1038489E7)</f>
        <v>11038489</v>
      </c>
    </row>
    <row r="2260">
      <c r="A2260" s="2">
        <f>IFERROR(__xludf.DUMMYFUNCTION("""COMPUTED_VALUE"""),44271.64583333333)</f>
        <v>44271.64583</v>
      </c>
      <c r="B2260" s="1">
        <f>IFERROR(__xludf.DUMMYFUNCTION("""COMPUTED_VALUE"""),45650.0)</f>
        <v>45650</v>
      </c>
      <c r="C2260" s="1">
        <f>IFERROR(__xludf.DUMMYFUNCTION("""COMPUTED_VALUE"""),46500.0)</f>
        <v>46500</v>
      </c>
      <c r="D2260" s="1">
        <f>IFERROR(__xludf.DUMMYFUNCTION("""COMPUTED_VALUE"""),42850.0)</f>
        <v>42850</v>
      </c>
      <c r="E2260" s="1">
        <f>IFERROR(__xludf.DUMMYFUNCTION("""COMPUTED_VALUE"""),42900.0)</f>
        <v>42900</v>
      </c>
      <c r="F2260" s="1">
        <f>IFERROR(__xludf.DUMMYFUNCTION("""COMPUTED_VALUE"""),1800711.0)</f>
        <v>1800711</v>
      </c>
    </row>
    <row r="2261">
      <c r="A2261" s="2">
        <f>IFERROR(__xludf.DUMMYFUNCTION("""COMPUTED_VALUE"""),44272.64583333333)</f>
        <v>44272.64583</v>
      </c>
      <c r="B2261" s="1">
        <f>IFERROR(__xludf.DUMMYFUNCTION("""COMPUTED_VALUE"""),43400.0)</f>
        <v>43400</v>
      </c>
      <c r="C2261" s="1">
        <f>IFERROR(__xludf.DUMMYFUNCTION("""COMPUTED_VALUE"""),53900.0)</f>
        <v>53900</v>
      </c>
      <c r="D2261" s="1">
        <f>IFERROR(__xludf.DUMMYFUNCTION("""COMPUTED_VALUE"""),42850.0)</f>
        <v>42850</v>
      </c>
      <c r="E2261" s="1">
        <f>IFERROR(__xludf.DUMMYFUNCTION("""COMPUTED_VALUE"""),48950.0)</f>
        <v>48950</v>
      </c>
      <c r="F2261" s="1">
        <f>IFERROR(__xludf.DUMMYFUNCTION("""COMPUTED_VALUE"""),1.4234589E7)</f>
        <v>14234589</v>
      </c>
    </row>
    <row r="2262">
      <c r="A2262" s="2">
        <f>IFERROR(__xludf.DUMMYFUNCTION("""COMPUTED_VALUE"""),44273.64583333333)</f>
        <v>44273.64583</v>
      </c>
      <c r="B2262" s="1">
        <f>IFERROR(__xludf.DUMMYFUNCTION("""COMPUTED_VALUE"""),48950.0)</f>
        <v>48950</v>
      </c>
      <c r="C2262" s="1">
        <f>IFERROR(__xludf.DUMMYFUNCTION("""COMPUTED_VALUE"""),50700.0)</f>
        <v>50700</v>
      </c>
      <c r="D2262" s="1">
        <f>IFERROR(__xludf.DUMMYFUNCTION("""COMPUTED_VALUE"""),47050.0)</f>
        <v>47050</v>
      </c>
      <c r="E2262" s="1">
        <f>IFERROR(__xludf.DUMMYFUNCTION("""COMPUTED_VALUE"""),48400.0)</f>
        <v>48400</v>
      </c>
      <c r="F2262" s="1">
        <f>IFERROR(__xludf.DUMMYFUNCTION("""COMPUTED_VALUE"""),2278000.0)</f>
        <v>2278000</v>
      </c>
    </row>
    <row r="2263">
      <c r="A2263" s="2">
        <f>IFERROR(__xludf.DUMMYFUNCTION("""COMPUTED_VALUE"""),44274.64583333333)</f>
        <v>44274.64583</v>
      </c>
      <c r="B2263" s="1">
        <f>IFERROR(__xludf.DUMMYFUNCTION("""COMPUTED_VALUE"""),47550.0)</f>
        <v>47550</v>
      </c>
      <c r="C2263" s="1">
        <f>IFERROR(__xludf.DUMMYFUNCTION("""COMPUTED_VALUE"""),52200.0)</f>
        <v>52200</v>
      </c>
      <c r="D2263" s="1">
        <f>IFERROR(__xludf.DUMMYFUNCTION("""COMPUTED_VALUE"""),46550.0)</f>
        <v>46550</v>
      </c>
      <c r="E2263" s="1">
        <f>IFERROR(__xludf.DUMMYFUNCTION("""COMPUTED_VALUE"""),47850.0)</f>
        <v>47850</v>
      </c>
      <c r="F2263" s="1">
        <f>IFERROR(__xludf.DUMMYFUNCTION("""COMPUTED_VALUE"""),4065657.0)</f>
        <v>4065657</v>
      </c>
    </row>
    <row r="2264">
      <c r="A2264" s="2">
        <f>IFERROR(__xludf.DUMMYFUNCTION("""COMPUTED_VALUE"""),44277.64583333333)</f>
        <v>44277.64583</v>
      </c>
      <c r="B2264" s="1">
        <f>IFERROR(__xludf.DUMMYFUNCTION("""COMPUTED_VALUE"""),51000.0)</f>
        <v>51000</v>
      </c>
      <c r="C2264" s="1">
        <f>IFERROR(__xludf.DUMMYFUNCTION("""COMPUTED_VALUE"""),51600.0)</f>
        <v>51600</v>
      </c>
      <c r="D2264" s="1">
        <f>IFERROR(__xludf.DUMMYFUNCTION("""COMPUTED_VALUE"""),48150.0)</f>
        <v>48150</v>
      </c>
      <c r="E2264" s="1">
        <f>IFERROR(__xludf.DUMMYFUNCTION("""COMPUTED_VALUE"""),48950.0)</f>
        <v>48950</v>
      </c>
      <c r="F2264" s="1">
        <f>IFERROR(__xludf.DUMMYFUNCTION("""COMPUTED_VALUE"""),1967992.0)</f>
        <v>1967992</v>
      </c>
    </row>
    <row r="2265">
      <c r="A2265" s="2">
        <f>IFERROR(__xludf.DUMMYFUNCTION("""COMPUTED_VALUE"""),44278.64583333333)</f>
        <v>44278.64583</v>
      </c>
      <c r="B2265" s="1">
        <f>IFERROR(__xludf.DUMMYFUNCTION("""COMPUTED_VALUE"""),49600.0)</f>
        <v>49600</v>
      </c>
      <c r="C2265" s="1">
        <f>IFERROR(__xludf.DUMMYFUNCTION("""COMPUTED_VALUE"""),50500.0)</f>
        <v>50500</v>
      </c>
      <c r="D2265" s="1">
        <f>IFERROR(__xludf.DUMMYFUNCTION("""COMPUTED_VALUE"""),47300.0)</f>
        <v>47300</v>
      </c>
      <c r="E2265" s="1">
        <f>IFERROR(__xludf.DUMMYFUNCTION("""COMPUTED_VALUE"""),47750.0)</f>
        <v>47750</v>
      </c>
      <c r="F2265" s="1">
        <f>IFERROR(__xludf.DUMMYFUNCTION("""COMPUTED_VALUE"""),1051213.0)</f>
        <v>1051213</v>
      </c>
    </row>
    <row r="2266">
      <c r="A2266" s="2">
        <f>IFERROR(__xludf.DUMMYFUNCTION("""COMPUTED_VALUE"""),44279.64583333333)</f>
        <v>44279.64583</v>
      </c>
      <c r="B2266" s="1">
        <f>IFERROR(__xludf.DUMMYFUNCTION("""COMPUTED_VALUE"""),47800.0)</f>
        <v>47800</v>
      </c>
      <c r="C2266" s="1">
        <f>IFERROR(__xludf.DUMMYFUNCTION("""COMPUTED_VALUE"""),49000.0)</f>
        <v>49000</v>
      </c>
      <c r="D2266" s="1">
        <f>IFERROR(__xludf.DUMMYFUNCTION("""COMPUTED_VALUE"""),46100.0)</f>
        <v>46100</v>
      </c>
      <c r="E2266" s="1">
        <f>IFERROR(__xludf.DUMMYFUNCTION("""COMPUTED_VALUE"""),46400.0)</f>
        <v>46400</v>
      </c>
      <c r="F2266" s="1">
        <f>IFERROR(__xludf.DUMMYFUNCTION("""COMPUTED_VALUE"""),744395.0)</f>
        <v>744395</v>
      </c>
    </row>
    <row r="2267">
      <c r="A2267" s="2">
        <f>IFERROR(__xludf.DUMMYFUNCTION("""COMPUTED_VALUE"""),44280.64583333333)</f>
        <v>44280.64583</v>
      </c>
      <c r="B2267" s="1">
        <f>IFERROR(__xludf.DUMMYFUNCTION("""COMPUTED_VALUE"""),46400.0)</f>
        <v>46400</v>
      </c>
      <c r="C2267" s="1">
        <f>IFERROR(__xludf.DUMMYFUNCTION("""COMPUTED_VALUE"""),50500.0)</f>
        <v>50500</v>
      </c>
      <c r="D2267" s="1">
        <f>IFERROR(__xludf.DUMMYFUNCTION("""COMPUTED_VALUE"""),46400.0)</f>
        <v>46400</v>
      </c>
      <c r="E2267" s="1">
        <f>IFERROR(__xludf.DUMMYFUNCTION("""COMPUTED_VALUE"""),47250.0)</f>
        <v>47250</v>
      </c>
      <c r="F2267" s="1">
        <f>IFERROR(__xludf.DUMMYFUNCTION("""COMPUTED_VALUE"""),2695179.0)</f>
        <v>2695179</v>
      </c>
    </row>
    <row r="2268">
      <c r="A2268" s="2">
        <f>IFERROR(__xludf.DUMMYFUNCTION("""COMPUTED_VALUE"""),44281.64583333333)</f>
        <v>44281.64583</v>
      </c>
      <c r="B2268" s="1">
        <f>IFERROR(__xludf.DUMMYFUNCTION("""COMPUTED_VALUE"""),47500.0)</f>
        <v>47500</v>
      </c>
      <c r="C2268" s="1">
        <f>IFERROR(__xludf.DUMMYFUNCTION("""COMPUTED_VALUE"""),49150.0)</f>
        <v>49150</v>
      </c>
      <c r="D2268" s="1">
        <f>IFERROR(__xludf.DUMMYFUNCTION("""COMPUTED_VALUE"""),46500.0)</f>
        <v>46500</v>
      </c>
      <c r="E2268" s="1">
        <f>IFERROR(__xludf.DUMMYFUNCTION("""COMPUTED_VALUE"""),47600.0)</f>
        <v>47600</v>
      </c>
      <c r="F2268" s="1">
        <f>IFERROR(__xludf.DUMMYFUNCTION("""COMPUTED_VALUE"""),1161354.0)</f>
        <v>1161354</v>
      </c>
    </row>
    <row r="2269">
      <c r="A2269" s="2">
        <f>IFERROR(__xludf.DUMMYFUNCTION("""COMPUTED_VALUE"""),44284.64583333333)</f>
        <v>44284.64583</v>
      </c>
      <c r="B2269" s="1">
        <f>IFERROR(__xludf.DUMMYFUNCTION("""COMPUTED_VALUE"""),48500.0)</f>
        <v>48500</v>
      </c>
      <c r="C2269" s="1">
        <f>IFERROR(__xludf.DUMMYFUNCTION("""COMPUTED_VALUE"""),48800.0)</f>
        <v>48800</v>
      </c>
      <c r="D2269" s="1">
        <f>IFERROR(__xludf.DUMMYFUNCTION("""COMPUTED_VALUE"""),46000.0)</f>
        <v>46000</v>
      </c>
      <c r="E2269" s="1">
        <f>IFERROR(__xludf.DUMMYFUNCTION("""COMPUTED_VALUE"""),46000.0)</f>
        <v>46000</v>
      </c>
      <c r="F2269" s="1">
        <f>IFERROR(__xludf.DUMMYFUNCTION("""COMPUTED_VALUE"""),810140.0)</f>
        <v>810140</v>
      </c>
    </row>
    <row r="2270">
      <c r="A2270" s="2">
        <f>IFERROR(__xludf.DUMMYFUNCTION("""COMPUTED_VALUE"""),44285.64583333333)</f>
        <v>44285.64583</v>
      </c>
      <c r="B2270" s="1">
        <f>IFERROR(__xludf.DUMMYFUNCTION("""COMPUTED_VALUE"""),45850.0)</f>
        <v>45850</v>
      </c>
      <c r="C2270" s="1">
        <f>IFERROR(__xludf.DUMMYFUNCTION("""COMPUTED_VALUE"""),47500.0)</f>
        <v>47500</v>
      </c>
      <c r="D2270" s="1">
        <f>IFERROR(__xludf.DUMMYFUNCTION("""COMPUTED_VALUE"""),44650.0)</f>
        <v>44650</v>
      </c>
      <c r="E2270" s="1">
        <f>IFERROR(__xludf.DUMMYFUNCTION("""COMPUTED_VALUE"""),46400.0)</f>
        <v>46400</v>
      </c>
      <c r="F2270" s="1">
        <f>IFERROR(__xludf.DUMMYFUNCTION("""COMPUTED_VALUE"""),841618.0)</f>
        <v>841618</v>
      </c>
    </row>
    <row r="2271">
      <c r="A2271" s="2">
        <f>IFERROR(__xludf.DUMMYFUNCTION("""COMPUTED_VALUE"""),44286.64583333333)</f>
        <v>44286.64583</v>
      </c>
      <c r="B2271" s="1">
        <f>IFERROR(__xludf.DUMMYFUNCTION("""COMPUTED_VALUE"""),46800.0)</f>
        <v>46800</v>
      </c>
      <c r="C2271" s="1">
        <f>IFERROR(__xludf.DUMMYFUNCTION("""COMPUTED_VALUE"""),47700.0)</f>
        <v>47700</v>
      </c>
      <c r="D2271" s="1">
        <f>IFERROR(__xludf.DUMMYFUNCTION("""COMPUTED_VALUE"""),45900.0)</f>
        <v>45900</v>
      </c>
      <c r="E2271" s="1">
        <f>IFERROR(__xludf.DUMMYFUNCTION("""COMPUTED_VALUE"""),46000.0)</f>
        <v>46000</v>
      </c>
      <c r="F2271" s="1">
        <f>IFERROR(__xludf.DUMMYFUNCTION("""COMPUTED_VALUE"""),570703.0)</f>
        <v>570703</v>
      </c>
    </row>
    <row r="2272">
      <c r="A2272" s="2">
        <f>IFERROR(__xludf.DUMMYFUNCTION("""COMPUTED_VALUE"""),44287.64583333333)</f>
        <v>44287.64583</v>
      </c>
      <c r="B2272" s="1">
        <f>IFERROR(__xludf.DUMMYFUNCTION("""COMPUTED_VALUE"""),46000.0)</f>
        <v>46000</v>
      </c>
      <c r="C2272" s="1">
        <f>IFERROR(__xludf.DUMMYFUNCTION("""COMPUTED_VALUE"""),46850.0)</f>
        <v>46850</v>
      </c>
      <c r="D2272" s="1">
        <f>IFERROR(__xludf.DUMMYFUNCTION("""COMPUTED_VALUE"""),45200.0)</f>
        <v>45200</v>
      </c>
      <c r="E2272" s="1">
        <f>IFERROR(__xludf.DUMMYFUNCTION("""COMPUTED_VALUE"""),46400.0)</f>
        <v>46400</v>
      </c>
      <c r="F2272" s="1">
        <f>IFERROR(__xludf.DUMMYFUNCTION("""COMPUTED_VALUE"""),426145.0)</f>
        <v>426145</v>
      </c>
    </row>
    <row r="2273">
      <c r="A2273" s="2">
        <f>IFERROR(__xludf.DUMMYFUNCTION("""COMPUTED_VALUE"""),44288.64583333333)</f>
        <v>44288.64583</v>
      </c>
      <c r="B2273" s="1">
        <f>IFERROR(__xludf.DUMMYFUNCTION("""COMPUTED_VALUE"""),46500.0)</f>
        <v>46500</v>
      </c>
      <c r="C2273" s="1">
        <f>IFERROR(__xludf.DUMMYFUNCTION("""COMPUTED_VALUE"""),49100.0)</f>
        <v>49100</v>
      </c>
      <c r="D2273" s="1">
        <f>IFERROR(__xludf.DUMMYFUNCTION("""COMPUTED_VALUE"""),45750.0)</f>
        <v>45750</v>
      </c>
      <c r="E2273" s="1">
        <f>IFERROR(__xludf.DUMMYFUNCTION("""COMPUTED_VALUE"""),46950.0)</f>
        <v>46950</v>
      </c>
      <c r="F2273" s="1">
        <f>IFERROR(__xludf.DUMMYFUNCTION("""COMPUTED_VALUE"""),1085527.0)</f>
        <v>1085527</v>
      </c>
    </row>
    <row r="2274">
      <c r="A2274" s="2">
        <f>IFERROR(__xludf.DUMMYFUNCTION("""COMPUTED_VALUE"""),44291.64583333333)</f>
        <v>44291.64583</v>
      </c>
      <c r="B2274" s="1">
        <f>IFERROR(__xludf.DUMMYFUNCTION("""COMPUTED_VALUE"""),46950.0)</f>
        <v>46950</v>
      </c>
      <c r="C2274" s="1">
        <f>IFERROR(__xludf.DUMMYFUNCTION("""COMPUTED_VALUE"""),47900.0)</f>
        <v>47900</v>
      </c>
      <c r="D2274" s="1">
        <f>IFERROR(__xludf.DUMMYFUNCTION("""COMPUTED_VALUE"""),46400.0)</f>
        <v>46400</v>
      </c>
      <c r="E2274" s="1">
        <f>IFERROR(__xludf.DUMMYFUNCTION("""COMPUTED_VALUE"""),46450.0)</f>
        <v>46450</v>
      </c>
      <c r="F2274" s="1">
        <f>IFERROR(__xludf.DUMMYFUNCTION("""COMPUTED_VALUE"""),508242.0)</f>
        <v>508242</v>
      </c>
    </row>
    <row r="2275">
      <c r="A2275" s="2">
        <f>IFERROR(__xludf.DUMMYFUNCTION("""COMPUTED_VALUE"""),44292.64583333333)</f>
        <v>44292.64583</v>
      </c>
      <c r="B2275" s="1">
        <f>IFERROR(__xludf.DUMMYFUNCTION("""COMPUTED_VALUE"""),46600.0)</f>
        <v>46600</v>
      </c>
      <c r="C2275" s="1">
        <f>IFERROR(__xludf.DUMMYFUNCTION("""COMPUTED_VALUE"""),51100.0)</f>
        <v>51100</v>
      </c>
      <c r="D2275" s="1">
        <f>IFERROR(__xludf.DUMMYFUNCTION("""COMPUTED_VALUE"""),45800.0)</f>
        <v>45800</v>
      </c>
      <c r="E2275" s="1">
        <f>IFERROR(__xludf.DUMMYFUNCTION("""COMPUTED_VALUE"""),51100.0)</f>
        <v>51100</v>
      </c>
      <c r="F2275" s="1">
        <f>IFERROR(__xludf.DUMMYFUNCTION("""COMPUTED_VALUE"""),1415792.0)</f>
        <v>1415792</v>
      </c>
    </row>
    <row r="2276">
      <c r="A2276" s="2">
        <f>IFERROR(__xludf.DUMMYFUNCTION("""COMPUTED_VALUE"""),44293.64583333333)</f>
        <v>44293.64583</v>
      </c>
      <c r="B2276" s="1">
        <f>IFERROR(__xludf.DUMMYFUNCTION("""COMPUTED_VALUE"""),49550.0)</f>
        <v>49550</v>
      </c>
      <c r="C2276" s="1">
        <f>IFERROR(__xludf.DUMMYFUNCTION("""COMPUTED_VALUE"""),50500.0)</f>
        <v>50500</v>
      </c>
      <c r="D2276" s="1">
        <f>IFERROR(__xludf.DUMMYFUNCTION("""COMPUTED_VALUE"""),48100.0)</f>
        <v>48100</v>
      </c>
      <c r="E2276" s="1">
        <f>IFERROR(__xludf.DUMMYFUNCTION("""COMPUTED_VALUE"""),48100.0)</f>
        <v>48100</v>
      </c>
      <c r="F2276" s="1">
        <f>IFERROR(__xludf.DUMMYFUNCTION("""COMPUTED_VALUE"""),1295301.0)</f>
        <v>1295301</v>
      </c>
    </row>
    <row r="2277">
      <c r="A2277" s="2">
        <f>IFERROR(__xludf.DUMMYFUNCTION("""COMPUTED_VALUE"""),44294.64583333333)</f>
        <v>44294.64583</v>
      </c>
      <c r="B2277" s="1">
        <f>IFERROR(__xludf.DUMMYFUNCTION("""COMPUTED_VALUE"""),48600.0)</f>
        <v>48600</v>
      </c>
      <c r="C2277" s="1">
        <f>IFERROR(__xludf.DUMMYFUNCTION("""COMPUTED_VALUE"""),59000.0)</f>
        <v>59000</v>
      </c>
      <c r="D2277" s="1">
        <f>IFERROR(__xludf.DUMMYFUNCTION("""COMPUTED_VALUE"""),48500.0)</f>
        <v>48500</v>
      </c>
      <c r="E2277" s="1">
        <f>IFERROR(__xludf.DUMMYFUNCTION("""COMPUTED_VALUE"""),52600.0)</f>
        <v>52600</v>
      </c>
      <c r="F2277" s="1">
        <f>IFERROR(__xludf.DUMMYFUNCTION("""COMPUTED_VALUE"""),7324819.0)</f>
        <v>7324819</v>
      </c>
    </row>
    <row r="2278">
      <c r="A2278" s="2">
        <f>IFERROR(__xludf.DUMMYFUNCTION("""COMPUTED_VALUE"""),44295.64583333333)</f>
        <v>44295.64583</v>
      </c>
      <c r="B2278" s="1">
        <f>IFERROR(__xludf.DUMMYFUNCTION("""COMPUTED_VALUE"""),52800.0)</f>
        <v>52800</v>
      </c>
      <c r="C2278" s="1">
        <f>IFERROR(__xludf.DUMMYFUNCTION("""COMPUTED_VALUE"""),54600.0)</f>
        <v>54600</v>
      </c>
      <c r="D2278" s="1">
        <f>IFERROR(__xludf.DUMMYFUNCTION("""COMPUTED_VALUE"""),52000.0)</f>
        <v>52000</v>
      </c>
      <c r="E2278" s="1">
        <f>IFERROR(__xludf.DUMMYFUNCTION("""COMPUTED_VALUE"""),53000.0)</f>
        <v>53000</v>
      </c>
      <c r="F2278" s="1">
        <f>IFERROR(__xludf.DUMMYFUNCTION("""COMPUTED_VALUE"""),1599499.0)</f>
        <v>1599499</v>
      </c>
    </row>
    <row r="2279">
      <c r="A2279" s="2">
        <f>IFERROR(__xludf.DUMMYFUNCTION("""COMPUTED_VALUE"""),44298.64583333333)</f>
        <v>44298.64583</v>
      </c>
      <c r="B2279" s="1">
        <f>IFERROR(__xludf.DUMMYFUNCTION("""COMPUTED_VALUE"""),53000.0)</f>
        <v>53000</v>
      </c>
      <c r="C2279" s="1">
        <f>IFERROR(__xludf.DUMMYFUNCTION("""COMPUTED_VALUE"""),53700.0)</f>
        <v>53700</v>
      </c>
      <c r="D2279" s="1">
        <f>IFERROR(__xludf.DUMMYFUNCTION("""COMPUTED_VALUE"""),50700.0)</f>
        <v>50700</v>
      </c>
      <c r="E2279" s="1">
        <f>IFERROR(__xludf.DUMMYFUNCTION("""COMPUTED_VALUE"""),50700.0)</f>
        <v>50700</v>
      </c>
      <c r="F2279" s="1">
        <f>IFERROR(__xludf.DUMMYFUNCTION("""COMPUTED_VALUE"""),642801.0)</f>
        <v>642801</v>
      </c>
    </row>
    <row r="2280">
      <c r="A2280" s="2">
        <f>IFERROR(__xludf.DUMMYFUNCTION("""COMPUTED_VALUE"""),44299.64583333333)</f>
        <v>44299.64583</v>
      </c>
      <c r="B2280" s="1">
        <f>IFERROR(__xludf.DUMMYFUNCTION("""COMPUTED_VALUE"""),50000.0)</f>
        <v>50000</v>
      </c>
      <c r="C2280" s="1">
        <f>IFERROR(__xludf.DUMMYFUNCTION("""COMPUTED_VALUE"""),52300.0)</f>
        <v>52300</v>
      </c>
      <c r="D2280" s="1">
        <f>IFERROR(__xludf.DUMMYFUNCTION("""COMPUTED_VALUE"""),48800.0)</f>
        <v>48800</v>
      </c>
      <c r="E2280" s="1">
        <f>IFERROR(__xludf.DUMMYFUNCTION("""COMPUTED_VALUE"""),48800.0)</f>
        <v>48800</v>
      </c>
      <c r="F2280" s="1">
        <f>IFERROR(__xludf.DUMMYFUNCTION("""COMPUTED_VALUE"""),912143.0)</f>
        <v>912143</v>
      </c>
    </row>
    <row r="2281">
      <c r="A2281" s="2">
        <f>IFERROR(__xludf.DUMMYFUNCTION("""COMPUTED_VALUE"""),44300.64583333333)</f>
        <v>44300.64583</v>
      </c>
      <c r="B2281" s="1">
        <f>IFERROR(__xludf.DUMMYFUNCTION("""COMPUTED_VALUE"""),49200.0)</f>
        <v>49200</v>
      </c>
      <c r="C2281" s="1">
        <f>IFERROR(__xludf.DUMMYFUNCTION("""COMPUTED_VALUE"""),55500.0)</f>
        <v>55500</v>
      </c>
      <c r="D2281" s="1">
        <f>IFERROR(__xludf.DUMMYFUNCTION("""COMPUTED_VALUE"""),48800.0)</f>
        <v>48800</v>
      </c>
      <c r="E2281" s="1">
        <f>IFERROR(__xludf.DUMMYFUNCTION("""COMPUTED_VALUE"""),51000.0)</f>
        <v>51000</v>
      </c>
      <c r="F2281" s="1">
        <f>IFERROR(__xludf.DUMMYFUNCTION("""COMPUTED_VALUE"""),4054845.0)</f>
        <v>4054845</v>
      </c>
    </row>
    <row r="2282">
      <c r="A2282" s="2">
        <f>IFERROR(__xludf.DUMMYFUNCTION("""COMPUTED_VALUE"""),44301.64583333333)</f>
        <v>44301.64583</v>
      </c>
      <c r="B2282" s="1">
        <f>IFERROR(__xludf.DUMMYFUNCTION("""COMPUTED_VALUE"""),50700.0)</f>
        <v>50700</v>
      </c>
      <c r="C2282" s="1">
        <f>IFERROR(__xludf.DUMMYFUNCTION("""COMPUTED_VALUE"""),51400.0)</f>
        <v>51400</v>
      </c>
      <c r="D2282" s="1">
        <f>IFERROR(__xludf.DUMMYFUNCTION("""COMPUTED_VALUE"""),49400.0)</f>
        <v>49400</v>
      </c>
      <c r="E2282" s="1">
        <f>IFERROR(__xludf.DUMMYFUNCTION("""COMPUTED_VALUE"""),49650.0)</f>
        <v>49650</v>
      </c>
      <c r="F2282" s="1">
        <f>IFERROR(__xludf.DUMMYFUNCTION("""COMPUTED_VALUE"""),707987.0)</f>
        <v>707987</v>
      </c>
    </row>
    <row r="2283">
      <c r="A2283" s="2">
        <f>IFERROR(__xludf.DUMMYFUNCTION("""COMPUTED_VALUE"""),44302.64583333333)</f>
        <v>44302.64583</v>
      </c>
      <c r="B2283" s="1">
        <f>IFERROR(__xludf.DUMMYFUNCTION("""COMPUTED_VALUE"""),49900.0)</f>
        <v>49900</v>
      </c>
      <c r="C2283" s="1">
        <f>IFERROR(__xludf.DUMMYFUNCTION("""COMPUTED_VALUE"""),51400.0)</f>
        <v>51400</v>
      </c>
      <c r="D2283" s="1">
        <f>IFERROR(__xludf.DUMMYFUNCTION("""COMPUTED_VALUE"""),49500.0)</f>
        <v>49500</v>
      </c>
      <c r="E2283" s="1">
        <f>IFERROR(__xludf.DUMMYFUNCTION("""COMPUTED_VALUE"""),49500.0)</f>
        <v>49500</v>
      </c>
      <c r="F2283" s="1">
        <f>IFERROR(__xludf.DUMMYFUNCTION("""COMPUTED_VALUE"""),800155.0)</f>
        <v>800155</v>
      </c>
    </row>
    <row r="2284">
      <c r="A2284" s="2">
        <f>IFERROR(__xludf.DUMMYFUNCTION("""COMPUTED_VALUE"""),44305.64583333333)</f>
        <v>44305.64583</v>
      </c>
      <c r="B2284" s="1">
        <f>IFERROR(__xludf.DUMMYFUNCTION("""COMPUTED_VALUE"""),49550.0)</f>
        <v>49550</v>
      </c>
      <c r="C2284" s="1">
        <f>IFERROR(__xludf.DUMMYFUNCTION("""COMPUTED_VALUE"""),50100.0)</f>
        <v>50100</v>
      </c>
      <c r="D2284" s="1">
        <f>IFERROR(__xludf.DUMMYFUNCTION("""COMPUTED_VALUE"""),48600.0)</f>
        <v>48600</v>
      </c>
      <c r="E2284" s="1">
        <f>IFERROR(__xludf.DUMMYFUNCTION("""COMPUTED_VALUE"""),48700.0)</f>
        <v>48700</v>
      </c>
      <c r="F2284" s="1">
        <f>IFERROR(__xludf.DUMMYFUNCTION("""COMPUTED_VALUE"""),307950.0)</f>
        <v>307950</v>
      </c>
    </row>
    <row r="2285">
      <c r="A2285" s="2">
        <f>IFERROR(__xludf.DUMMYFUNCTION("""COMPUTED_VALUE"""),44306.64583333333)</f>
        <v>44306.64583</v>
      </c>
      <c r="B2285" s="1">
        <f>IFERROR(__xludf.DUMMYFUNCTION("""COMPUTED_VALUE"""),49150.0)</f>
        <v>49150</v>
      </c>
      <c r="C2285" s="1">
        <f>IFERROR(__xludf.DUMMYFUNCTION("""COMPUTED_VALUE"""),49750.0)</f>
        <v>49750</v>
      </c>
      <c r="D2285" s="1">
        <f>IFERROR(__xludf.DUMMYFUNCTION("""COMPUTED_VALUE"""),48700.0)</f>
        <v>48700</v>
      </c>
      <c r="E2285" s="1">
        <f>IFERROR(__xludf.DUMMYFUNCTION("""COMPUTED_VALUE"""),48700.0)</f>
        <v>48700</v>
      </c>
      <c r="F2285" s="1">
        <f>IFERROR(__xludf.DUMMYFUNCTION("""COMPUTED_VALUE"""),267857.0)</f>
        <v>267857</v>
      </c>
    </row>
    <row r="2286">
      <c r="A2286" s="2">
        <f>IFERROR(__xludf.DUMMYFUNCTION("""COMPUTED_VALUE"""),44307.64583333333)</f>
        <v>44307.64583</v>
      </c>
      <c r="B2286" s="1">
        <f>IFERROR(__xludf.DUMMYFUNCTION("""COMPUTED_VALUE"""),48850.0)</f>
        <v>48850</v>
      </c>
      <c r="C2286" s="1">
        <f>IFERROR(__xludf.DUMMYFUNCTION("""COMPUTED_VALUE"""),49100.0)</f>
        <v>49100</v>
      </c>
      <c r="D2286" s="1">
        <f>IFERROR(__xludf.DUMMYFUNCTION("""COMPUTED_VALUE"""),47250.0)</f>
        <v>47250</v>
      </c>
      <c r="E2286" s="1">
        <f>IFERROR(__xludf.DUMMYFUNCTION("""COMPUTED_VALUE"""),47600.0)</f>
        <v>47600</v>
      </c>
      <c r="F2286" s="1">
        <f>IFERROR(__xludf.DUMMYFUNCTION("""COMPUTED_VALUE"""),254770.0)</f>
        <v>254770</v>
      </c>
    </row>
    <row r="2287">
      <c r="A2287" s="2">
        <f>IFERROR(__xludf.DUMMYFUNCTION("""COMPUTED_VALUE"""),44308.64583333333)</f>
        <v>44308.64583</v>
      </c>
      <c r="B2287" s="1">
        <f>IFERROR(__xludf.DUMMYFUNCTION("""COMPUTED_VALUE"""),47600.0)</f>
        <v>47600</v>
      </c>
      <c r="C2287" s="1">
        <f>IFERROR(__xludf.DUMMYFUNCTION("""COMPUTED_VALUE"""),48950.0)</f>
        <v>48950</v>
      </c>
      <c r="D2287" s="1">
        <f>IFERROR(__xludf.DUMMYFUNCTION("""COMPUTED_VALUE"""),46800.0)</f>
        <v>46800</v>
      </c>
      <c r="E2287" s="1">
        <f>IFERROR(__xludf.DUMMYFUNCTION("""COMPUTED_VALUE"""),47300.0)</f>
        <v>47300</v>
      </c>
      <c r="F2287" s="1">
        <f>IFERROR(__xludf.DUMMYFUNCTION("""COMPUTED_VALUE"""),231529.0)</f>
        <v>231529</v>
      </c>
    </row>
    <row r="2288">
      <c r="A2288" s="2">
        <f>IFERROR(__xludf.DUMMYFUNCTION("""COMPUTED_VALUE"""),44309.64583333333)</f>
        <v>44309.64583</v>
      </c>
      <c r="B2288" s="1">
        <f>IFERROR(__xludf.DUMMYFUNCTION("""COMPUTED_VALUE"""),47300.0)</f>
        <v>47300</v>
      </c>
      <c r="C2288" s="1">
        <f>IFERROR(__xludf.DUMMYFUNCTION("""COMPUTED_VALUE"""),47600.0)</f>
        <v>47600</v>
      </c>
      <c r="D2288" s="1">
        <f>IFERROR(__xludf.DUMMYFUNCTION("""COMPUTED_VALUE"""),46150.0)</f>
        <v>46150</v>
      </c>
      <c r="E2288" s="1">
        <f>IFERROR(__xludf.DUMMYFUNCTION("""COMPUTED_VALUE"""),46350.0)</f>
        <v>46350</v>
      </c>
      <c r="F2288" s="1">
        <f>IFERROR(__xludf.DUMMYFUNCTION("""COMPUTED_VALUE"""),191165.0)</f>
        <v>191165</v>
      </c>
    </row>
    <row r="2289">
      <c r="A2289" s="2">
        <f>IFERROR(__xludf.DUMMYFUNCTION("""COMPUTED_VALUE"""),44312.64583333333)</f>
        <v>44312.64583</v>
      </c>
      <c r="B2289" s="1">
        <f>IFERROR(__xludf.DUMMYFUNCTION("""COMPUTED_VALUE"""),47000.0)</f>
        <v>47000</v>
      </c>
      <c r="C2289" s="1">
        <f>IFERROR(__xludf.DUMMYFUNCTION("""COMPUTED_VALUE"""),48600.0)</f>
        <v>48600</v>
      </c>
      <c r="D2289" s="1">
        <f>IFERROR(__xludf.DUMMYFUNCTION("""COMPUTED_VALUE"""),46700.0)</f>
        <v>46700</v>
      </c>
      <c r="E2289" s="1">
        <f>IFERROR(__xludf.DUMMYFUNCTION("""COMPUTED_VALUE"""),47150.0)</f>
        <v>47150</v>
      </c>
      <c r="F2289" s="1">
        <f>IFERROR(__xludf.DUMMYFUNCTION("""COMPUTED_VALUE"""),374871.0)</f>
        <v>374871</v>
      </c>
    </row>
    <row r="2290">
      <c r="A2290" s="2">
        <f>IFERROR(__xludf.DUMMYFUNCTION("""COMPUTED_VALUE"""),44313.64583333333)</f>
        <v>44313.64583</v>
      </c>
      <c r="B2290" s="1">
        <f>IFERROR(__xludf.DUMMYFUNCTION("""COMPUTED_VALUE"""),47250.0)</f>
        <v>47250</v>
      </c>
      <c r="C2290" s="1">
        <f>IFERROR(__xludf.DUMMYFUNCTION("""COMPUTED_VALUE"""),47400.0)</f>
        <v>47400</v>
      </c>
      <c r="D2290" s="1">
        <f>IFERROR(__xludf.DUMMYFUNCTION("""COMPUTED_VALUE"""),45650.0)</f>
        <v>45650</v>
      </c>
      <c r="E2290" s="1">
        <f>IFERROR(__xludf.DUMMYFUNCTION("""COMPUTED_VALUE"""),45800.0)</f>
        <v>45800</v>
      </c>
      <c r="F2290" s="1">
        <f>IFERROR(__xludf.DUMMYFUNCTION("""COMPUTED_VALUE"""),220530.0)</f>
        <v>220530</v>
      </c>
    </row>
    <row r="2291">
      <c r="A2291" s="2">
        <f>IFERROR(__xludf.DUMMYFUNCTION("""COMPUTED_VALUE"""),44314.64583333333)</f>
        <v>44314.64583</v>
      </c>
      <c r="B2291" s="1">
        <f>IFERROR(__xludf.DUMMYFUNCTION("""COMPUTED_VALUE"""),45800.0)</f>
        <v>45800</v>
      </c>
      <c r="C2291" s="1">
        <f>IFERROR(__xludf.DUMMYFUNCTION("""COMPUTED_VALUE"""),47950.0)</f>
        <v>47950</v>
      </c>
      <c r="D2291" s="1">
        <f>IFERROR(__xludf.DUMMYFUNCTION("""COMPUTED_VALUE"""),45800.0)</f>
        <v>45800</v>
      </c>
      <c r="E2291" s="1">
        <f>IFERROR(__xludf.DUMMYFUNCTION("""COMPUTED_VALUE"""),45850.0)</f>
        <v>45850</v>
      </c>
      <c r="F2291" s="1">
        <f>IFERROR(__xludf.DUMMYFUNCTION("""COMPUTED_VALUE"""),320262.0)</f>
        <v>320262</v>
      </c>
    </row>
    <row r="2292">
      <c r="A2292" s="2">
        <f>IFERROR(__xludf.DUMMYFUNCTION("""COMPUTED_VALUE"""),44315.64583333333)</f>
        <v>44315.64583</v>
      </c>
      <c r="B2292" s="1">
        <f>IFERROR(__xludf.DUMMYFUNCTION("""COMPUTED_VALUE"""),46600.0)</f>
        <v>46600</v>
      </c>
      <c r="C2292" s="1">
        <f>IFERROR(__xludf.DUMMYFUNCTION("""COMPUTED_VALUE"""),46650.0)</f>
        <v>46650</v>
      </c>
      <c r="D2292" s="1">
        <f>IFERROR(__xludf.DUMMYFUNCTION("""COMPUTED_VALUE"""),43850.0)</f>
        <v>43850</v>
      </c>
      <c r="E2292" s="1">
        <f>IFERROR(__xludf.DUMMYFUNCTION("""COMPUTED_VALUE"""),44350.0)</f>
        <v>44350</v>
      </c>
      <c r="F2292" s="1">
        <f>IFERROR(__xludf.DUMMYFUNCTION("""COMPUTED_VALUE"""),233558.0)</f>
        <v>233558</v>
      </c>
    </row>
    <row r="2293">
      <c r="A2293" s="2">
        <f>IFERROR(__xludf.DUMMYFUNCTION("""COMPUTED_VALUE"""),44316.64583333333)</f>
        <v>44316.64583</v>
      </c>
      <c r="B2293" s="1">
        <f>IFERROR(__xludf.DUMMYFUNCTION("""COMPUTED_VALUE"""),44500.0)</f>
        <v>44500</v>
      </c>
      <c r="C2293" s="1">
        <f>IFERROR(__xludf.DUMMYFUNCTION("""COMPUTED_VALUE"""),44700.0)</f>
        <v>44700</v>
      </c>
      <c r="D2293" s="1">
        <f>IFERROR(__xludf.DUMMYFUNCTION("""COMPUTED_VALUE"""),42400.0)</f>
        <v>42400</v>
      </c>
      <c r="E2293" s="1">
        <f>IFERROR(__xludf.DUMMYFUNCTION("""COMPUTED_VALUE"""),43050.0)</f>
        <v>43050</v>
      </c>
      <c r="F2293" s="1">
        <f>IFERROR(__xludf.DUMMYFUNCTION("""COMPUTED_VALUE"""),243946.0)</f>
        <v>243946</v>
      </c>
    </row>
    <row r="2294">
      <c r="A2294" s="2">
        <f>IFERROR(__xludf.DUMMYFUNCTION("""COMPUTED_VALUE"""),44319.64583333333)</f>
        <v>44319.64583</v>
      </c>
      <c r="B2294" s="1">
        <f>IFERROR(__xludf.DUMMYFUNCTION("""COMPUTED_VALUE"""),42400.0)</f>
        <v>42400</v>
      </c>
      <c r="C2294" s="1">
        <f>IFERROR(__xludf.DUMMYFUNCTION("""COMPUTED_VALUE"""),43550.0)</f>
        <v>43550</v>
      </c>
      <c r="D2294" s="1">
        <f>IFERROR(__xludf.DUMMYFUNCTION("""COMPUTED_VALUE"""),41700.0)</f>
        <v>41700</v>
      </c>
      <c r="E2294" s="1">
        <f>IFERROR(__xludf.DUMMYFUNCTION("""COMPUTED_VALUE"""),41800.0)</f>
        <v>41800</v>
      </c>
      <c r="F2294" s="1">
        <f>IFERROR(__xludf.DUMMYFUNCTION("""COMPUTED_VALUE"""),155254.0)</f>
        <v>155254</v>
      </c>
    </row>
    <row r="2295">
      <c r="A2295" s="2">
        <f>IFERROR(__xludf.DUMMYFUNCTION("""COMPUTED_VALUE"""),44320.64583333333)</f>
        <v>44320.64583</v>
      </c>
      <c r="B2295" s="1">
        <f>IFERROR(__xludf.DUMMYFUNCTION("""COMPUTED_VALUE"""),42400.0)</f>
        <v>42400</v>
      </c>
      <c r="C2295" s="1">
        <f>IFERROR(__xludf.DUMMYFUNCTION("""COMPUTED_VALUE"""),45800.0)</f>
        <v>45800</v>
      </c>
      <c r="D2295" s="1">
        <f>IFERROR(__xludf.DUMMYFUNCTION("""COMPUTED_VALUE"""),40400.0)</f>
        <v>40400</v>
      </c>
      <c r="E2295" s="1">
        <f>IFERROR(__xludf.DUMMYFUNCTION("""COMPUTED_VALUE"""),43300.0)</f>
        <v>43300</v>
      </c>
      <c r="F2295" s="1">
        <f>IFERROR(__xludf.DUMMYFUNCTION("""COMPUTED_VALUE"""),618664.0)</f>
        <v>618664</v>
      </c>
    </row>
    <row r="2296">
      <c r="A2296" s="2">
        <f>IFERROR(__xludf.DUMMYFUNCTION("""COMPUTED_VALUE"""),44322.64583333333)</f>
        <v>44322.64583</v>
      </c>
      <c r="B2296" s="1">
        <f>IFERROR(__xludf.DUMMYFUNCTION("""COMPUTED_VALUE"""),41950.0)</f>
        <v>41950</v>
      </c>
      <c r="C2296" s="1">
        <f>IFERROR(__xludf.DUMMYFUNCTION("""COMPUTED_VALUE"""),42750.0)</f>
        <v>42750</v>
      </c>
      <c r="D2296" s="1">
        <f>IFERROR(__xludf.DUMMYFUNCTION("""COMPUTED_VALUE"""),41600.0)</f>
        <v>41600</v>
      </c>
      <c r="E2296" s="1">
        <f>IFERROR(__xludf.DUMMYFUNCTION("""COMPUTED_VALUE"""),42150.0)</f>
        <v>42150</v>
      </c>
      <c r="F2296" s="1">
        <f>IFERROR(__xludf.DUMMYFUNCTION("""COMPUTED_VALUE"""),159307.0)</f>
        <v>159307</v>
      </c>
    </row>
    <row r="2297">
      <c r="A2297" s="2">
        <f>IFERROR(__xludf.DUMMYFUNCTION("""COMPUTED_VALUE"""),44323.64583333333)</f>
        <v>44323.64583</v>
      </c>
      <c r="B2297" s="1">
        <f>IFERROR(__xludf.DUMMYFUNCTION("""COMPUTED_VALUE"""),42150.0)</f>
        <v>42150</v>
      </c>
      <c r="C2297" s="1">
        <f>IFERROR(__xludf.DUMMYFUNCTION("""COMPUTED_VALUE"""),50300.0)</f>
        <v>50300</v>
      </c>
      <c r="D2297" s="1">
        <f>IFERROR(__xludf.DUMMYFUNCTION("""COMPUTED_VALUE"""),41600.0)</f>
        <v>41600</v>
      </c>
      <c r="E2297" s="1">
        <f>IFERROR(__xludf.DUMMYFUNCTION("""COMPUTED_VALUE"""),44900.0)</f>
        <v>44900</v>
      </c>
      <c r="F2297" s="1">
        <f>IFERROR(__xludf.DUMMYFUNCTION("""COMPUTED_VALUE"""),4653682.0)</f>
        <v>4653682</v>
      </c>
    </row>
    <row r="2298">
      <c r="A2298" s="2">
        <f>IFERROR(__xludf.DUMMYFUNCTION("""COMPUTED_VALUE"""),44326.64583333333)</f>
        <v>44326.64583</v>
      </c>
      <c r="B2298" s="1">
        <f>IFERROR(__xludf.DUMMYFUNCTION("""COMPUTED_VALUE"""),44550.0)</f>
        <v>44550</v>
      </c>
      <c r="C2298" s="1">
        <f>IFERROR(__xludf.DUMMYFUNCTION("""COMPUTED_VALUE"""),47650.0)</f>
        <v>47650</v>
      </c>
      <c r="D2298" s="1">
        <f>IFERROR(__xludf.DUMMYFUNCTION("""COMPUTED_VALUE"""),44050.0)</f>
        <v>44050</v>
      </c>
      <c r="E2298" s="1">
        <f>IFERROR(__xludf.DUMMYFUNCTION("""COMPUTED_VALUE"""),45050.0)</f>
        <v>45050</v>
      </c>
      <c r="F2298" s="1">
        <f>IFERROR(__xludf.DUMMYFUNCTION("""COMPUTED_VALUE"""),1165340.0)</f>
        <v>1165340</v>
      </c>
    </row>
    <row r="2299">
      <c r="A2299" s="2">
        <f>IFERROR(__xludf.DUMMYFUNCTION("""COMPUTED_VALUE"""),44327.64583333333)</f>
        <v>44327.64583</v>
      </c>
      <c r="B2299" s="1">
        <f>IFERROR(__xludf.DUMMYFUNCTION("""COMPUTED_VALUE"""),45250.0)</f>
        <v>45250</v>
      </c>
      <c r="C2299" s="1">
        <f>IFERROR(__xludf.DUMMYFUNCTION("""COMPUTED_VALUE"""),45650.0)</f>
        <v>45650</v>
      </c>
      <c r="D2299" s="1">
        <f>IFERROR(__xludf.DUMMYFUNCTION("""COMPUTED_VALUE"""),43450.0)</f>
        <v>43450</v>
      </c>
      <c r="E2299" s="1">
        <f>IFERROR(__xludf.DUMMYFUNCTION("""COMPUTED_VALUE"""),43450.0)</f>
        <v>43450</v>
      </c>
      <c r="F2299" s="1">
        <f>IFERROR(__xludf.DUMMYFUNCTION("""COMPUTED_VALUE"""),344918.0)</f>
        <v>344918</v>
      </c>
    </row>
    <row r="2300">
      <c r="A2300" s="2">
        <f>IFERROR(__xludf.DUMMYFUNCTION("""COMPUTED_VALUE"""),44328.64583333333)</f>
        <v>44328.64583</v>
      </c>
      <c r="B2300" s="1">
        <f>IFERROR(__xludf.DUMMYFUNCTION("""COMPUTED_VALUE"""),43000.0)</f>
        <v>43000</v>
      </c>
      <c r="C2300" s="1">
        <f>IFERROR(__xludf.DUMMYFUNCTION("""COMPUTED_VALUE"""),43700.0)</f>
        <v>43700</v>
      </c>
      <c r="D2300" s="1">
        <f>IFERROR(__xludf.DUMMYFUNCTION("""COMPUTED_VALUE"""),41800.0)</f>
        <v>41800</v>
      </c>
      <c r="E2300" s="1">
        <f>IFERROR(__xludf.DUMMYFUNCTION("""COMPUTED_VALUE"""),42050.0)</f>
        <v>42050</v>
      </c>
      <c r="F2300" s="1">
        <f>IFERROR(__xludf.DUMMYFUNCTION("""COMPUTED_VALUE"""),230396.0)</f>
        <v>230396</v>
      </c>
    </row>
    <row r="2301">
      <c r="A2301" s="2">
        <f>IFERROR(__xludf.DUMMYFUNCTION("""COMPUTED_VALUE"""),44329.64583333333)</f>
        <v>44329.64583</v>
      </c>
      <c r="B2301" s="1">
        <f>IFERROR(__xludf.DUMMYFUNCTION("""COMPUTED_VALUE"""),41450.0)</f>
        <v>41450</v>
      </c>
      <c r="C2301" s="1">
        <f>IFERROR(__xludf.DUMMYFUNCTION("""COMPUTED_VALUE"""),42950.0)</f>
        <v>42950</v>
      </c>
      <c r="D2301" s="1">
        <f>IFERROR(__xludf.DUMMYFUNCTION("""COMPUTED_VALUE"""),41050.0)</f>
        <v>41050</v>
      </c>
      <c r="E2301" s="1">
        <f>IFERROR(__xludf.DUMMYFUNCTION("""COMPUTED_VALUE"""),41050.0)</f>
        <v>41050</v>
      </c>
      <c r="F2301" s="1">
        <f>IFERROR(__xludf.DUMMYFUNCTION("""COMPUTED_VALUE"""),193666.0)</f>
        <v>193666</v>
      </c>
    </row>
    <row r="2302">
      <c r="A2302" s="2">
        <f>IFERROR(__xludf.DUMMYFUNCTION("""COMPUTED_VALUE"""),44330.64583333333)</f>
        <v>44330.64583</v>
      </c>
      <c r="B2302" s="1">
        <f>IFERROR(__xludf.DUMMYFUNCTION("""COMPUTED_VALUE"""),41400.0)</f>
        <v>41400</v>
      </c>
      <c r="C2302" s="1">
        <f>IFERROR(__xludf.DUMMYFUNCTION("""COMPUTED_VALUE"""),42950.0)</f>
        <v>42950</v>
      </c>
      <c r="D2302" s="1">
        <f>IFERROR(__xludf.DUMMYFUNCTION("""COMPUTED_VALUE"""),41300.0)</f>
        <v>41300</v>
      </c>
      <c r="E2302" s="1">
        <f>IFERROR(__xludf.DUMMYFUNCTION("""COMPUTED_VALUE"""),41350.0)</f>
        <v>41350</v>
      </c>
      <c r="F2302" s="1">
        <f>IFERROR(__xludf.DUMMYFUNCTION("""COMPUTED_VALUE"""),215245.0)</f>
        <v>215245</v>
      </c>
    </row>
    <row r="2303">
      <c r="A2303" s="2">
        <f>IFERROR(__xludf.DUMMYFUNCTION("""COMPUTED_VALUE"""),44333.64583333333)</f>
        <v>44333.64583</v>
      </c>
      <c r="B2303" s="1">
        <f>IFERROR(__xludf.DUMMYFUNCTION("""COMPUTED_VALUE"""),42900.0)</f>
        <v>42900</v>
      </c>
      <c r="C2303" s="1">
        <f>IFERROR(__xludf.DUMMYFUNCTION("""COMPUTED_VALUE"""),48600.0)</f>
        <v>48600</v>
      </c>
      <c r="D2303" s="1">
        <f>IFERROR(__xludf.DUMMYFUNCTION("""COMPUTED_VALUE"""),41950.0)</f>
        <v>41950</v>
      </c>
      <c r="E2303" s="1">
        <f>IFERROR(__xludf.DUMMYFUNCTION("""COMPUTED_VALUE"""),43700.0)</f>
        <v>43700</v>
      </c>
      <c r="F2303" s="1">
        <f>IFERROR(__xludf.DUMMYFUNCTION("""COMPUTED_VALUE"""),3474595.0)</f>
        <v>3474595</v>
      </c>
    </row>
    <row r="2304">
      <c r="A2304" s="2">
        <f>IFERROR(__xludf.DUMMYFUNCTION("""COMPUTED_VALUE"""),44334.64583333333)</f>
        <v>44334.64583</v>
      </c>
      <c r="B2304" s="1">
        <f>IFERROR(__xludf.DUMMYFUNCTION("""COMPUTED_VALUE"""),43450.0)</f>
        <v>43450</v>
      </c>
      <c r="C2304" s="1">
        <f>IFERROR(__xludf.DUMMYFUNCTION("""COMPUTED_VALUE"""),45800.0)</f>
        <v>45800</v>
      </c>
      <c r="D2304" s="1">
        <f>IFERROR(__xludf.DUMMYFUNCTION("""COMPUTED_VALUE"""),43250.0)</f>
        <v>43250</v>
      </c>
      <c r="E2304" s="1">
        <f>IFERROR(__xludf.DUMMYFUNCTION("""COMPUTED_VALUE"""),43400.0)</f>
        <v>43400</v>
      </c>
      <c r="F2304" s="1">
        <f>IFERROR(__xludf.DUMMYFUNCTION("""COMPUTED_VALUE"""),674574.0)</f>
        <v>674574</v>
      </c>
    </row>
    <row r="2305">
      <c r="A2305" s="2">
        <f>IFERROR(__xludf.DUMMYFUNCTION("""COMPUTED_VALUE"""),44336.64583333333)</f>
        <v>44336.64583</v>
      </c>
      <c r="B2305" s="1">
        <f>IFERROR(__xludf.DUMMYFUNCTION("""COMPUTED_VALUE"""),43400.0)</f>
        <v>43400</v>
      </c>
      <c r="C2305" s="1">
        <f>IFERROR(__xludf.DUMMYFUNCTION("""COMPUTED_VALUE"""),45150.0)</f>
        <v>45150</v>
      </c>
      <c r="D2305" s="1">
        <f>IFERROR(__xludf.DUMMYFUNCTION("""COMPUTED_VALUE"""),43300.0)</f>
        <v>43300</v>
      </c>
      <c r="E2305" s="1">
        <f>IFERROR(__xludf.DUMMYFUNCTION("""COMPUTED_VALUE"""),43350.0)</f>
        <v>43350</v>
      </c>
      <c r="F2305" s="1">
        <f>IFERROR(__xludf.DUMMYFUNCTION("""COMPUTED_VALUE"""),390673.0)</f>
        <v>390673</v>
      </c>
    </row>
    <row r="2306">
      <c r="A2306" s="2">
        <f>IFERROR(__xludf.DUMMYFUNCTION("""COMPUTED_VALUE"""),44337.64583333333)</f>
        <v>44337.64583</v>
      </c>
      <c r="B2306" s="1">
        <f>IFERROR(__xludf.DUMMYFUNCTION("""COMPUTED_VALUE"""),43650.0)</f>
        <v>43650</v>
      </c>
      <c r="C2306" s="1">
        <f>IFERROR(__xludf.DUMMYFUNCTION("""COMPUTED_VALUE"""),43900.0)</f>
        <v>43900</v>
      </c>
      <c r="D2306" s="1">
        <f>IFERROR(__xludf.DUMMYFUNCTION("""COMPUTED_VALUE"""),43000.0)</f>
        <v>43000</v>
      </c>
      <c r="E2306" s="1">
        <f>IFERROR(__xludf.DUMMYFUNCTION("""COMPUTED_VALUE"""),43100.0)</f>
        <v>43100</v>
      </c>
      <c r="F2306" s="1">
        <f>IFERROR(__xludf.DUMMYFUNCTION("""COMPUTED_VALUE"""),154980.0)</f>
        <v>154980</v>
      </c>
    </row>
    <row r="2307">
      <c r="A2307" s="2">
        <f>IFERROR(__xludf.DUMMYFUNCTION("""COMPUTED_VALUE"""),44340.64583333333)</f>
        <v>44340.64583</v>
      </c>
      <c r="B2307" s="1">
        <f>IFERROR(__xludf.DUMMYFUNCTION("""COMPUTED_VALUE"""),43450.0)</f>
        <v>43450</v>
      </c>
      <c r="C2307" s="1">
        <f>IFERROR(__xludf.DUMMYFUNCTION("""COMPUTED_VALUE"""),43900.0)</f>
        <v>43900</v>
      </c>
      <c r="D2307" s="1">
        <f>IFERROR(__xludf.DUMMYFUNCTION("""COMPUTED_VALUE"""),42000.0)</f>
        <v>42000</v>
      </c>
      <c r="E2307" s="1">
        <f>IFERROR(__xludf.DUMMYFUNCTION("""COMPUTED_VALUE"""),42000.0)</f>
        <v>42000</v>
      </c>
      <c r="F2307" s="1">
        <f>IFERROR(__xludf.DUMMYFUNCTION("""COMPUTED_VALUE"""),172760.0)</f>
        <v>172760</v>
      </c>
    </row>
    <row r="2308">
      <c r="A2308" s="2">
        <f>IFERROR(__xludf.DUMMYFUNCTION("""COMPUTED_VALUE"""),44341.64583333333)</f>
        <v>44341.64583</v>
      </c>
      <c r="B2308" s="1">
        <f>IFERROR(__xludf.DUMMYFUNCTION("""COMPUTED_VALUE"""),42000.0)</f>
        <v>42000</v>
      </c>
      <c r="C2308" s="1">
        <f>IFERROR(__xludf.DUMMYFUNCTION("""COMPUTED_VALUE"""),44000.0)</f>
        <v>44000</v>
      </c>
      <c r="D2308" s="1">
        <f>IFERROR(__xludf.DUMMYFUNCTION("""COMPUTED_VALUE"""),42000.0)</f>
        <v>42000</v>
      </c>
      <c r="E2308" s="1">
        <f>IFERROR(__xludf.DUMMYFUNCTION("""COMPUTED_VALUE"""),42400.0)</f>
        <v>42400</v>
      </c>
      <c r="F2308" s="1">
        <f>IFERROR(__xludf.DUMMYFUNCTION("""COMPUTED_VALUE"""),160570.0)</f>
        <v>160570</v>
      </c>
    </row>
    <row r="2309">
      <c r="A2309" s="2">
        <f>IFERROR(__xludf.DUMMYFUNCTION("""COMPUTED_VALUE"""),44342.64583333333)</f>
        <v>44342.64583</v>
      </c>
      <c r="B2309" s="1">
        <f>IFERROR(__xludf.DUMMYFUNCTION("""COMPUTED_VALUE"""),42400.0)</f>
        <v>42400</v>
      </c>
      <c r="C2309" s="1">
        <f>IFERROR(__xludf.DUMMYFUNCTION("""COMPUTED_VALUE"""),43500.0)</f>
        <v>43500</v>
      </c>
      <c r="D2309" s="1">
        <f>IFERROR(__xludf.DUMMYFUNCTION("""COMPUTED_VALUE"""),42400.0)</f>
        <v>42400</v>
      </c>
      <c r="E2309" s="1">
        <f>IFERROR(__xludf.DUMMYFUNCTION("""COMPUTED_VALUE"""),43350.0)</f>
        <v>43350</v>
      </c>
      <c r="F2309" s="1">
        <f>IFERROR(__xludf.DUMMYFUNCTION("""COMPUTED_VALUE"""),175566.0)</f>
        <v>175566</v>
      </c>
    </row>
    <row r="2310">
      <c r="A2310" s="2">
        <f>IFERROR(__xludf.DUMMYFUNCTION("""COMPUTED_VALUE"""),44343.64583333333)</f>
        <v>44343.64583</v>
      </c>
      <c r="B2310" s="1">
        <f>IFERROR(__xludf.DUMMYFUNCTION("""COMPUTED_VALUE"""),43800.0)</f>
        <v>43800</v>
      </c>
      <c r="C2310" s="1">
        <f>IFERROR(__xludf.DUMMYFUNCTION("""COMPUTED_VALUE"""),44650.0)</f>
        <v>44650</v>
      </c>
      <c r="D2310" s="1">
        <f>IFERROR(__xludf.DUMMYFUNCTION("""COMPUTED_VALUE"""),43300.0)</f>
        <v>43300</v>
      </c>
      <c r="E2310" s="1">
        <f>IFERROR(__xludf.DUMMYFUNCTION("""COMPUTED_VALUE"""),43500.0)</f>
        <v>43500</v>
      </c>
      <c r="F2310" s="1">
        <f>IFERROR(__xludf.DUMMYFUNCTION("""COMPUTED_VALUE"""),373947.0)</f>
        <v>373947</v>
      </c>
    </row>
    <row r="2311">
      <c r="A2311" s="2">
        <f>IFERROR(__xludf.DUMMYFUNCTION("""COMPUTED_VALUE"""),44344.64583333333)</f>
        <v>44344.64583</v>
      </c>
      <c r="B2311" s="1">
        <f>IFERROR(__xludf.DUMMYFUNCTION("""COMPUTED_VALUE"""),43600.0)</f>
        <v>43600</v>
      </c>
      <c r="C2311" s="1">
        <f>IFERROR(__xludf.DUMMYFUNCTION("""COMPUTED_VALUE"""),44400.0)</f>
        <v>44400</v>
      </c>
      <c r="D2311" s="1">
        <f>IFERROR(__xludf.DUMMYFUNCTION("""COMPUTED_VALUE"""),43300.0)</f>
        <v>43300</v>
      </c>
      <c r="E2311" s="1">
        <f>IFERROR(__xludf.DUMMYFUNCTION("""COMPUTED_VALUE"""),44000.0)</f>
        <v>44000</v>
      </c>
      <c r="F2311" s="1">
        <f>IFERROR(__xludf.DUMMYFUNCTION("""COMPUTED_VALUE"""),168490.0)</f>
        <v>168490</v>
      </c>
    </row>
    <row r="2312">
      <c r="A2312" s="2">
        <f>IFERROR(__xludf.DUMMYFUNCTION("""COMPUTED_VALUE"""),44347.64583333333)</f>
        <v>44347.64583</v>
      </c>
      <c r="B2312" s="1">
        <f>IFERROR(__xludf.DUMMYFUNCTION("""COMPUTED_VALUE"""),43800.0)</f>
        <v>43800</v>
      </c>
      <c r="C2312" s="1">
        <f>IFERROR(__xludf.DUMMYFUNCTION("""COMPUTED_VALUE"""),47000.0)</f>
        <v>47000</v>
      </c>
      <c r="D2312" s="1">
        <f>IFERROR(__xludf.DUMMYFUNCTION("""COMPUTED_VALUE"""),43800.0)</f>
        <v>43800</v>
      </c>
      <c r="E2312" s="1">
        <f>IFERROR(__xludf.DUMMYFUNCTION("""COMPUTED_VALUE"""),44000.0)</f>
        <v>44000</v>
      </c>
      <c r="F2312" s="1">
        <f>IFERROR(__xludf.DUMMYFUNCTION("""COMPUTED_VALUE"""),929653.0)</f>
        <v>929653</v>
      </c>
    </row>
    <row r="2313">
      <c r="A2313" s="2">
        <f>IFERROR(__xludf.DUMMYFUNCTION("""COMPUTED_VALUE"""),44348.64583333333)</f>
        <v>44348.64583</v>
      </c>
      <c r="B2313" s="1">
        <f>IFERROR(__xludf.DUMMYFUNCTION("""COMPUTED_VALUE"""),46550.0)</f>
        <v>46550</v>
      </c>
      <c r="C2313" s="1">
        <f>IFERROR(__xludf.DUMMYFUNCTION("""COMPUTED_VALUE"""),46750.0)</f>
        <v>46750</v>
      </c>
      <c r="D2313" s="1">
        <f>IFERROR(__xludf.DUMMYFUNCTION("""COMPUTED_VALUE"""),44400.0)</f>
        <v>44400</v>
      </c>
      <c r="E2313" s="1">
        <f>IFERROR(__xludf.DUMMYFUNCTION("""COMPUTED_VALUE"""),44500.0)</f>
        <v>44500</v>
      </c>
      <c r="F2313" s="1">
        <f>IFERROR(__xludf.DUMMYFUNCTION("""COMPUTED_VALUE"""),750863.0)</f>
        <v>750863</v>
      </c>
    </row>
    <row r="2314">
      <c r="A2314" s="2">
        <f>IFERROR(__xludf.DUMMYFUNCTION("""COMPUTED_VALUE"""),44349.64583333333)</f>
        <v>44349.64583</v>
      </c>
      <c r="B2314" s="1">
        <f>IFERROR(__xludf.DUMMYFUNCTION("""COMPUTED_VALUE"""),44500.0)</f>
        <v>44500</v>
      </c>
      <c r="C2314" s="1">
        <f>IFERROR(__xludf.DUMMYFUNCTION("""COMPUTED_VALUE"""),49000.0)</f>
        <v>49000</v>
      </c>
      <c r="D2314" s="1">
        <f>IFERROR(__xludf.DUMMYFUNCTION("""COMPUTED_VALUE"""),44450.0)</f>
        <v>44450</v>
      </c>
      <c r="E2314" s="1">
        <f>IFERROR(__xludf.DUMMYFUNCTION("""COMPUTED_VALUE"""),47300.0)</f>
        <v>47300</v>
      </c>
      <c r="F2314" s="1">
        <f>IFERROR(__xludf.DUMMYFUNCTION("""COMPUTED_VALUE"""),3396917.0)</f>
        <v>3396917</v>
      </c>
    </row>
    <row r="2315">
      <c r="A2315" s="2">
        <f>IFERROR(__xludf.DUMMYFUNCTION("""COMPUTED_VALUE"""),44350.64583333333)</f>
        <v>44350.64583</v>
      </c>
      <c r="B2315" s="1">
        <f>IFERROR(__xludf.DUMMYFUNCTION("""COMPUTED_VALUE"""),47300.0)</f>
        <v>47300</v>
      </c>
      <c r="C2315" s="1">
        <f>IFERROR(__xludf.DUMMYFUNCTION("""COMPUTED_VALUE"""),47450.0)</f>
        <v>47450</v>
      </c>
      <c r="D2315" s="1">
        <f>IFERROR(__xludf.DUMMYFUNCTION("""COMPUTED_VALUE"""),45700.0)</f>
        <v>45700</v>
      </c>
      <c r="E2315" s="1">
        <f>IFERROR(__xludf.DUMMYFUNCTION("""COMPUTED_VALUE"""),46500.0)</f>
        <v>46500</v>
      </c>
      <c r="F2315" s="1">
        <f>IFERROR(__xludf.DUMMYFUNCTION("""COMPUTED_VALUE"""),481565.0)</f>
        <v>481565</v>
      </c>
    </row>
    <row r="2316">
      <c r="A2316" s="2">
        <f>IFERROR(__xludf.DUMMYFUNCTION("""COMPUTED_VALUE"""),44351.64583333333)</f>
        <v>44351.64583</v>
      </c>
      <c r="B2316" s="1">
        <f>IFERROR(__xludf.DUMMYFUNCTION("""COMPUTED_VALUE"""),46250.0)</f>
        <v>46250</v>
      </c>
      <c r="C2316" s="1">
        <f>IFERROR(__xludf.DUMMYFUNCTION("""COMPUTED_VALUE"""),46300.0)</f>
        <v>46300</v>
      </c>
      <c r="D2316" s="1">
        <f>IFERROR(__xludf.DUMMYFUNCTION("""COMPUTED_VALUE"""),44800.0)</f>
        <v>44800</v>
      </c>
      <c r="E2316" s="1">
        <f>IFERROR(__xludf.DUMMYFUNCTION("""COMPUTED_VALUE"""),44800.0)</f>
        <v>44800</v>
      </c>
      <c r="F2316" s="1">
        <f>IFERROR(__xludf.DUMMYFUNCTION("""COMPUTED_VALUE"""),286375.0)</f>
        <v>286375</v>
      </c>
    </row>
    <row r="2317">
      <c r="A2317" s="2">
        <f>IFERROR(__xludf.DUMMYFUNCTION("""COMPUTED_VALUE"""),44354.64583333333)</f>
        <v>44354.64583</v>
      </c>
      <c r="B2317" s="1">
        <f>IFERROR(__xludf.DUMMYFUNCTION("""COMPUTED_VALUE"""),44550.0)</f>
        <v>44550</v>
      </c>
      <c r="C2317" s="1">
        <f>IFERROR(__xludf.DUMMYFUNCTION("""COMPUTED_VALUE"""),44550.0)</f>
        <v>44550</v>
      </c>
      <c r="D2317" s="1">
        <f>IFERROR(__xludf.DUMMYFUNCTION("""COMPUTED_VALUE"""),43850.0)</f>
        <v>43850</v>
      </c>
      <c r="E2317" s="1">
        <f>IFERROR(__xludf.DUMMYFUNCTION("""COMPUTED_VALUE"""),43900.0)</f>
        <v>43900</v>
      </c>
      <c r="F2317" s="1">
        <f>IFERROR(__xludf.DUMMYFUNCTION("""COMPUTED_VALUE"""),208535.0)</f>
        <v>208535</v>
      </c>
    </row>
    <row r="2318">
      <c r="A2318" s="2">
        <f>IFERROR(__xludf.DUMMYFUNCTION("""COMPUTED_VALUE"""),44355.64583333333)</f>
        <v>44355.64583</v>
      </c>
      <c r="B2318" s="1">
        <f>IFERROR(__xludf.DUMMYFUNCTION("""COMPUTED_VALUE"""),43700.0)</f>
        <v>43700</v>
      </c>
      <c r="C2318" s="1">
        <f>IFERROR(__xludf.DUMMYFUNCTION("""COMPUTED_VALUE"""),44600.0)</f>
        <v>44600</v>
      </c>
      <c r="D2318" s="1">
        <f>IFERROR(__xludf.DUMMYFUNCTION("""COMPUTED_VALUE"""),43600.0)</f>
        <v>43600</v>
      </c>
      <c r="E2318" s="1">
        <f>IFERROR(__xludf.DUMMYFUNCTION("""COMPUTED_VALUE"""),43750.0)</f>
        <v>43750</v>
      </c>
      <c r="F2318" s="1">
        <f>IFERROR(__xludf.DUMMYFUNCTION("""COMPUTED_VALUE"""),145709.0)</f>
        <v>145709</v>
      </c>
    </row>
    <row r="2319">
      <c r="A2319" s="2">
        <f>IFERROR(__xludf.DUMMYFUNCTION("""COMPUTED_VALUE"""),44356.64583333333)</f>
        <v>44356.64583</v>
      </c>
      <c r="B2319" s="1">
        <f>IFERROR(__xludf.DUMMYFUNCTION("""COMPUTED_VALUE"""),43650.0)</f>
        <v>43650</v>
      </c>
      <c r="C2319" s="1">
        <f>IFERROR(__xludf.DUMMYFUNCTION("""COMPUTED_VALUE"""),44250.0)</f>
        <v>44250</v>
      </c>
      <c r="D2319" s="1">
        <f>IFERROR(__xludf.DUMMYFUNCTION("""COMPUTED_VALUE"""),43500.0)</f>
        <v>43500</v>
      </c>
      <c r="E2319" s="1">
        <f>IFERROR(__xludf.DUMMYFUNCTION("""COMPUTED_VALUE"""),43500.0)</f>
        <v>43500</v>
      </c>
      <c r="F2319" s="1">
        <f>IFERROR(__xludf.DUMMYFUNCTION("""COMPUTED_VALUE"""),105984.0)</f>
        <v>105984</v>
      </c>
    </row>
    <row r="2320">
      <c r="A2320" s="2">
        <f>IFERROR(__xludf.DUMMYFUNCTION("""COMPUTED_VALUE"""),44357.64583333333)</f>
        <v>44357.64583</v>
      </c>
      <c r="B2320" s="1">
        <f>IFERROR(__xludf.DUMMYFUNCTION("""COMPUTED_VALUE"""),43700.0)</f>
        <v>43700</v>
      </c>
      <c r="C2320" s="1">
        <f>IFERROR(__xludf.DUMMYFUNCTION("""COMPUTED_VALUE"""),45800.0)</f>
        <v>45800</v>
      </c>
      <c r="D2320" s="1">
        <f>IFERROR(__xludf.DUMMYFUNCTION("""COMPUTED_VALUE"""),43700.0)</f>
        <v>43700</v>
      </c>
      <c r="E2320" s="1">
        <f>IFERROR(__xludf.DUMMYFUNCTION("""COMPUTED_VALUE"""),43800.0)</f>
        <v>43800</v>
      </c>
      <c r="F2320" s="1">
        <f>IFERROR(__xludf.DUMMYFUNCTION("""COMPUTED_VALUE"""),255822.0)</f>
        <v>255822</v>
      </c>
    </row>
    <row r="2321">
      <c r="A2321" s="2">
        <f>IFERROR(__xludf.DUMMYFUNCTION("""COMPUTED_VALUE"""),44358.64583333333)</f>
        <v>44358.64583</v>
      </c>
      <c r="B2321" s="1">
        <f>IFERROR(__xludf.DUMMYFUNCTION("""COMPUTED_VALUE"""),43800.0)</f>
        <v>43800</v>
      </c>
      <c r="C2321" s="1">
        <f>IFERROR(__xludf.DUMMYFUNCTION("""COMPUTED_VALUE"""),44850.0)</f>
        <v>44850</v>
      </c>
      <c r="D2321" s="1">
        <f>IFERROR(__xludf.DUMMYFUNCTION("""COMPUTED_VALUE"""),43800.0)</f>
        <v>43800</v>
      </c>
      <c r="E2321" s="1">
        <f>IFERROR(__xludf.DUMMYFUNCTION("""COMPUTED_VALUE"""),43950.0)</f>
        <v>43950</v>
      </c>
      <c r="F2321" s="1">
        <f>IFERROR(__xludf.DUMMYFUNCTION("""COMPUTED_VALUE"""),131223.0)</f>
        <v>131223</v>
      </c>
    </row>
    <row r="2322">
      <c r="A2322" s="2">
        <f>IFERROR(__xludf.DUMMYFUNCTION("""COMPUTED_VALUE"""),44361.64583333333)</f>
        <v>44361.64583</v>
      </c>
      <c r="B2322" s="1">
        <f>IFERROR(__xludf.DUMMYFUNCTION("""COMPUTED_VALUE"""),44050.0)</f>
        <v>44050</v>
      </c>
      <c r="C2322" s="1">
        <f>IFERROR(__xludf.DUMMYFUNCTION("""COMPUTED_VALUE"""),44650.0)</f>
        <v>44650</v>
      </c>
      <c r="D2322" s="1">
        <f>IFERROR(__xludf.DUMMYFUNCTION("""COMPUTED_VALUE"""),43550.0)</f>
        <v>43550</v>
      </c>
      <c r="E2322" s="1">
        <f>IFERROR(__xludf.DUMMYFUNCTION("""COMPUTED_VALUE"""),43600.0)</f>
        <v>43600</v>
      </c>
      <c r="F2322" s="1">
        <f>IFERROR(__xludf.DUMMYFUNCTION("""COMPUTED_VALUE"""),91947.0)</f>
        <v>91947</v>
      </c>
    </row>
    <row r="2323">
      <c r="A2323" s="2">
        <f>IFERROR(__xludf.DUMMYFUNCTION("""COMPUTED_VALUE"""),44362.64583333333)</f>
        <v>44362.64583</v>
      </c>
      <c r="B2323" s="1">
        <f>IFERROR(__xludf.DUMMYFUNCTION("""COMPUTED_VALUE"""),43700.0)</f>
        <v>43700</v>
      </c>
      <c r="C2323" s="1">
        <f>IFERROR(__xludf.DUMMYFUNCTION("""COMPUTED_VALUE"""),44000.0)</f>
        <v>44000</v>
      </c>
      <c r="D2323" s="1">
        <f>IFERROR(__xludf.DUMMYFUNCTION("""COMPUTED_VALUE"""),43550.0)</f>
        <v>43550</v>
      </c>
      <c r="E2323" s="1">
        <f>IFERROR(__xludf.DUMMYFUNCTION("""COMPUTED_VALUE"""),43550.0)</f>
        <v>43550</v>
      </c>
      <c r="F2323" s="1">
        <f>IFERROR(__xludf.DUMMYFUNCTION("""COMPUTED_VALUE"""),54797.0)</f>
        <v>54797</v>
      </c>
    </row>
    <row r="2324">
      <c r="A2324" s="2">
        <f>IFERROR(__xludf.DUMMYFUNCTION("""COMPUTED_VALUE"""),44363.64583333333)</f>
        <v>44363.64583</v>
      </c>
      <c r="B2324" s="1">
        <f>IFERROR(__xludf.DUMMYFUNCTION("""COMPUTED_VALUE"""),43550.0)</f>
        <v>43550</v>
      </c>
      <c r="C2324" s="1">
        <f>IFERROR(__xludf.DUMMYFUNCTION("""COMPUTED_VALUE"""),43950.0)</f>
        <v>43950</v>
      </c>
      <c r="D2324" s="1">
        <f>IFERROR(__xludf.DUMMYFUNCTION("""COMPUTED_VALUE"""),43550.0)</f>
        <v>43550</v>
      </c>
      <c r="E2324" s="1">
        <f>IFERROR(__xludf.DUMMYFUNCTION("""COMPUTED_VALUE"""),43600.0)</f>
        <v>43600</v>
      </c>
      <c r="F2324" s="1">
        <f>IFERROR(__xludf.DUMMYFUNCTION("""COMPUTED_VALUE"""),73664.0)</f>
        <v>73664</v>
      </c>
    </row>
    <row r="2325">
      <c r="A2325" s="2">
        <f>IFERROR(__xludf.DUMMYFUNCTION("""COMPUTED_VALUE"""),44364.64583333333)</f>
        <v>44364.64583</v>
      </c>
      <c r="B2325" s="1">
        <f>IFERROR(__xludf.DUMMYFUNCTION("""COMPUTED_VALUE"""),43100.0)</f>
        <v>43100</v>
      </c>
      <c r="C2325" s="1">
        <f>IFERROR(__xludf.DUMMYFUNCTION("""COMPUTED_VALUE"""),43700.0)</f>
        <v>43700</v>
      </c>
      <c r="D2325" s="1">
        <f>IFERROR(__xludf.DUMMYFUNCTION("""COMPUTED_VALUE"""),42650.0)</f>
        <v>42650</v>
      </c>
      <c r="E2325" s="1">
        <f>IFERROR(__xludf.DUMMYFUNCTION("""COMPUTED_VALUE"""),43300.0)</f>
        <v>43300</v>
      </c>
      <c r="F2325" s="1">
        <f>IFERROR(__xludf.DUMMYFUNCTION("""COMPUTED_VALUE"""),115348.0)</f>
        <v>115348</v>
      </c>
    </row>
    <row r="2326">
      <c r="A2326" s="2">
        <f>IFERROR(__xludf.DUMMYFUNCTION("""COMPUTED_VALUE"""),44365.64583333333)</f>
        <v>44365.64583</v>
      </c>
      <c r="B2326" s="1">
        <f>IFERROR(__xludf.DUMMYFUNCTION("""COMPUTED_VALUE"""),43300.0)</f>
        <v>43300</v>
      </c>
      <c r="C2326" s="1">
        <f>IFERROR(__xludf.DUMMYFUNCTION("""COMPUTED_VALUE"""),45650.0)</f>
        <v>45650</v>
      </c>
      <c r="D2326" s="1">
        <f>IFERROR(__xludf.DUMMYFUNCTION("""COMPUTED_VALUE"""),43000.0)</f>
        <v>43000</v>
      </c>
      <c r="E2326" s="1">
        <f>IFERROR(__xludf.DUMMYFUNCTION("""COMPUTED_VALUE"""),43700.0)</f>
        <v>43700</v>
      </c>
      <c r="F2326" s="1">
        <f>IFERROR(__xludf.DUMMYFUNCTION("""COMPUTED_VALUE"""),425045.0)</f>
        <v>425045</v>
      </c>
    </row>
    <row r="2327">
      <c r="A2327" s="2">
        <f>IFERROR(__xludf.DUMMYFUNCTION("""COMPUTED_VALUE"""),44368.64583333333)</f>
        <v>44368.64583</v>
      </c>
      <c r="B2327" s="1">
        <f>IFERROR(__xludf.DUMMYFUNCTION("""COMPUTED_VALUE"""),43500.0)</f>
        <v>43500</v>
      </c>
      <c r="C2327" s="1">
        <f>IFERROR(__xludf.DUMMYFUNCTION("""COMPUTED_VALUE"""),44000.0)</f>
        <v>44000</v>
      </c>
      <c r="D2327" s="1">
        <f>IFERROR(__xludf.DUMMYFUNCTION("""COMPUTED_VALUE"""),43150.0)</f>
        <v>43150</v>
      </c>
      <c r="E2327" s="1">
        <f>IFERROR(__xludf.DUMMYFUNCTION("""COMPUTED_VALUE"""),43250.0)</f>
        <v>43250</v>
      </c>
      <c r="F2327" s="1">
        <f>IFERROR(__xludf.DUMMYFUNCTION("""COMPUTED_VALUE"""),95883.0)</f>
        <v>95883</v>
      </c>
    </row>
    <row r="2328">
      <c r="A2328" s="2">
        <f>IFERROR(__xludf.DUMMYFUNCTION("""COMPUTED_VALUE"""),44369.64583333333)</f>
        <v>44369.64583</v>
      </c>
      <c r="B2328" s="1">
        <f>IFERROR(__xludf.DUMMYFUNCTION("""COMPUTED_VALUE"""),43400.0)</f>
        <v>43400</v>
      </c>
      <c r="C2328" s="1">
        <f>IFERROR(__xludf.DUMMYFUNCTION("""COMPUTED_VALUE"""),47700.0)</f>
        <v>47700</v>
      </c>
      <c r="D2328" s="1">
        <f>IFERROR(__xludf.DUMMYFUNCTION("""COMPUTED_VALUE"""),43400.0)</f>
        <v>43400</v>
      </c>
      <c r="E2328" s="1">
        <f>IFERROR(__xludf.DUMMYFUNCTION("""COMPUTED_VALUE"""),43800.0)</f>
        <v>43800</v>
      </c>
      <c r="F2328" s="1">
        <f>IFERROR(__xludf.DUMMYFUNCTION("""COMPUTED_VALUE"""),757643.0)</f>
        <v>757643</v>
      </c>
    </row>
    <row r="2329">
      <c r="A2329" s="2">
        <f>IFERROR(__xludf.DUMMYFUNCTION("""COMPUTED_VALUE"""),44370.64583333333)</f>
        <v>44370.64583</v>
      </c>
      <c r="B2329" s="1">
        <f>IFERROR(__xludf.DUMMYFUNCTION("""COMPUTED_VALUE"""),44200.0)</f>
        <v>44200</v>
      </c>
      <c r="C2329" s="1">
        <f>IFERROR(__xludf.DUMMYFUNCTION("""COMPUTED_VALUE"""),45350.0)</f>
        <v>45350</v>
      </c>
      <c r="D2329" s="1">
        <f>IFERROR(__xludf.DUMMYFUNCTION("""COMPUTED_VALUE"""),43750.0)</f>
        <v>43750</v>
      </c>
      <c r="E2329" s="1">
        <f>IFERROR(__xludf.DUMMYFUNCTION("""COMPUTED_VALUE"""),44750.0)</f>
        <v>44750</v>
      </c>
      <c r="F2329" s="1">
        <f>IFERROR(__xludf.DUMMYFUNCTION("""COMPUTED_VALUE"""),416765.0)</f>
        <v>416765</v>
      </c>
    </row>
    <row r="2330">
      <c r="A2330" s="2">
        <f>IFERROR(__xludf.DUMMYFUNCTION("""COMPUTED_VALUE"""),44371.64583333333)</f>
        <v>44371.64583</v>
      </c>
      <c r="B2330" s="1">
        <f>IFERROR(__xludf.DUMMYFUNCTION("""COMPUTED_VALUE"""),44850.0)</f>
        <v>44850</v>
      </c>
      <c r="C2330" s="1">
        <f>IFERROR(__xludf.DUMMYFUNCTION("""COMPUTED_VALUE"""),45300.0)</f>
        <v>45300</v>
      </c>
      <c r="D2330" s="1">
        <f>IFERROR(__xludf.DUMMYFUNCTION("""COMPUTED_VALUE"""),44350.0)</f>
        <v>44350</v>
      </c>
      <c r="E2330" s="1">
        <f>IFERROR(__xludf.DUMMYFUNCTION("""COMPUTED_VALUE"""),44550.0)</f>
        <v>44550</v>
      </c>
      <c r="F2330" s="1">
        <f>IFERROR(__xludf.DUMMYFUNCTION("""COMPUTED_VALUE"""),154865.0)</f>
        <v>154865</v>
      </c>
    </row>
    <row r="2331">
      <c r="A2331" s="2">
        <f>IFERROR(__xludf.DUMMYFUNCTION("""COMPUTED_VALUE"""),44372.64583333333)</f>
        <v>44372.64583</v>
      </c>
      <c r="B2331" s="1">
        <f>IFERROR(__xludf.DUMMYFUNCTION("""COMPUTED_VALUE"""),44550.0)</f>
        <v>44550</v>
      </c>
      <c r="C2331" s="1">
        <f>IFERROR(__xludf.DUMMYFUNCTION("""COMPUTED_VALUE"""),44850.0)</f>
        <v>44850</v>
      </c>
      <c r="D2331" s="1">
        <f>IFERROR(__xludf.DUMMYFUNCTION("""COMPUTED_VALUE"""),44250.0)</f>
        <v>44250</v>
      </c>
      <c r="E2331" s="1">
        <f>IFERROR(__xludf.DUMMYFUNCTION("""COMPUTED_VALUE"""),44500.0)</f>
        <v>44500</v>
      </c>
      <c r="F2331" s="1">
        <f>IFERROR(__xludf.DUMMYFUNCTION("""COMPUTED_VALUE"""),100790.0)</f>
        <v>100790</v>
      </c>
    </row>
    <row r="2332">
      <c r="A2332" s="2">
        <f>IFERROR(__xludf.DUMMYFUNCTION("""COMPUTED_VALUE"""),44375.64583333333)</f>
        <v>44375.64583</v>
      </c>
      <c r="B2332" s="1">
        <f>IFERROR(__xludf.DUMMYFUNCTION("""COMPUTED_VALUE"""),44600.0)</f>
        <v>44600</v>
      </c>
      <c r="C2332" s="1">
        <f>IFERROR(__xludf.DUMMYFUNCTION("""COMPUTED_VALUE"""),45050.0)</f>
        <v>45050</v>
      </c>
      <c r="D2332" s="1">
        <f>IFERROR(__xludf.DUMMYFUNCTION("""COMPUTED_VALUE"""),44050.0)</f>
        <v>44050</v>
      </c>
      <c r="E2332" s="1">
        <f>IFERROR(__xludf.DUMMYFUNCTION("""COMPUTED_VALUE"""),44550.0)</f>
        <v>44550</v>
      </c>
      <c r="F2332" s="1">
        <f>IFERROR(__xludf.DUMMYFUNCTION("""COMPUTED_VALUE"""),89504.0)</f>
        <v>89504</v>
      </c>
    </row>
    <row r="2333">
      <c r="A2333" s="2">
        <f>IFERROR(__xludf.DUMMYFUNCTION("""COMPUTED_VALUE"""),44376.64583333333)</f>
        <v>44376.64583</v>
      </c>
      <c r="B2333" s="1">
        <f>IFERROR(__xludf.DUMMYFUNCTION("""COMPUTED_VALUE"""),44550.0)</f>
        <v>44550</v>
      </c>
      <c r="C2333" s="1">
        <f>IFERROR(__xludf.DUMMYFUNCTION("""COMPUTED_VALUE"""),46000.0)</f>
        <v>46000</v>
      </c>
      <c r="D2333" s="1">
        <f>IFERROR(__xludf.DUMMYFUNCTION("""COMPUTED_VALUE"""),44500.0)</f>
        <v>44500</v>
      </c>
      <c r="E2333" s="1">
        <f>IFERROR(__xludf.DUMMYFUNCTION("""COMPUTED_VALUE"""),45600.0)</f>
        <v>45600</v>
      </c>
      <c r="F2333" s="1">
        <f>IFERROR(__xludf.DUMMYFUNCTION("""COMPUTED_VALUE"""),379903.0)</f>
        <v>379903</v>
      </c>
    </row>
    <row r="2334">
      <c r="A2334" s="2">
        <f>IFERROR(__xludf.DUMMYFUNCTION("""COMPUTED_VALUE"""),44377.64583333333)</f>
        <v>44377.64583</v>
      </c>
      <c r="B2334" s="1">
        <f>IFERROR(__xludf.DUMMYFUNCTION("""COMPUTED_VALUE"""),46250.0)</f>
        <v>46250</v>
      </c>
      <c r="C2334" s="1">
        <f>IFERROR(__xludf.DUMMYFUNCTION("""COMPUTED_VALUE"""),46300.0)</f>
        <v>46300</v>
      </c>
      <c r="D2334" s="1">
        <f>IFERROR(__xludf.DUMMYFUNCTION("""COMPUTED_VALUE"""),45200.0)</f>
        <v>45200</v>
      </c>
      <c r="E2334" s="1">
        <f>IFERROR(__xludf.DUMMYFUNCTION("""COMPUTED_VALUE"""),45600.0)</f>
        <v>45600</v>
      </c>
      <c r="F2334" s="1">
        <f>IFERROR(__xludf.DUMMYFUNCTION("""COMPUTED_VALUE"""),265351.0)</f>
        <v>265351</v>
      </c>
    </row>
    <row r="2335">
      <c r="A2335" s="2">
        <f>IFERROR(__xludf.DUMMYFUNCTION("""COMPUTED_VALUE"""),44378.64583333333)</f>
        <v>44378.64583</v>
      </c>
      <c r="B2335" s="1">
        <f>IFERROR(__xludf.DUMMYFUNCTION("""COMPUTED_VALUE"""),45600.0)</f>
        <v>45600</v>
      </c>
      <c r="C2335" s="1">
        <f>IFERROR(__xludf.DUMMYFUNCTION("""COMPUTED_VALUE"""),45850.0)</f>
        <v>45850</v>
      </c>
      <c r="D2335" s="1">
        <f>IFERROR(__xludf.DUMMYFUNCTION("""COMPUTED_VALUE"""),44800.0)</f>
        <v>44800</v>
      </c>
      <c r="E2335" s="1">
        <f>IFERROR(__xludf.DUMMYFUNCTION("""COMPUTED_VALUE"""),45600.0)</f>
        <v>45600</v>
      </c>
      <c r="F2335" s="1">
        <f>IFERROR(__xludf.DUMMYFUNCTION("""COMPUTED_VALUE"""),188177.0)</f>
        <v>188177</v>
      </c>
    </row>
    <row r="2336">
      <c r="A2336" s="2">
        <f>IFERROR(__xludf.DUMMYFUNCTION("""COMPUTED_VALUE"""),44379.64583333333)</f>
        <v>44379.64583</v>
      </c>
      <c r="B2336" s="1">
        <f>IFERROR(__xludf.DUMMYFUNCTION("""COMPUTED_VALUE"""),45650.0)</f>
        <v>45650</v>
      </c>
      <c r="C2336" s="1">
        <f>IFERROR(__xludf.DUMMYFUNCTION("""COMPUTED_VALUE"""),45900.0)</f>
        <v>45900</v>
      </c>
      <c r="D2336" s="1">
        <f>IFERROR(__xludf.DUMMYFUNCTION("""COMPUTED_VALUE"""),44850.0)</f>
        <v>44850</v>
      </c>
      <c r="E2336" s="1">
        <f>IFERROR(__xludf.DUMMYFUNCTION("""COMPUTED_VALUE"""),44850.0)</f>
        <v>44850</v>
      </c>
      <c r="F2336" s="1">
        <f>IFERROR(__xludf.DUMMYFUNCTION("""COMPUTED_VALUE"""),142381.0)</f>
        <v>142381</v>
      </c>
    </row>
    <row r="2337">
      <c r="A2337" s="2">
        <f>IFERROR(__xludf.DUMMYFUNCTION("""COMPUTED_VALUE"""),44382.64583333333)</f>
        <v>44382.64583</v>
      </c>
      <c r="B2337" s="1">
        <f>IFERROR(__xludf.DUMMYFUNCTION("""COMPUTED_VALUE"""),45200.0)</f>
        <v>45200</v>
      </c>
      <c r="C2337" s="1">
        <f>IFERROR(__xludf.DUMMYFUNCTION("""COMPUTED_VALUE"""),45200.0)</f>
        <v>45200</v>
      </c>
      <c r="D2337" s="1">
        <f>IFERROR(__xludf.DUMMYFUNCTION("""COMPUTED_VALUE"""),44450.0)</f>
        <v>44450</v>
      </c>
      <c r="E2337" s="1">
        <f>IFERROR(__xludf.DUMMYFUNCTION("""COMPUTED_VALUE"""),44450.0)</f>
        <v>44450</v>
      </c>
      <c r="F2337" s="1">
        <f>IFERROR(__xludf.DUMMYFUNCTION("""COMPUTED_VALUE"""),107224.0)</f>
        <v>107224</v>
      </c>
    </row>
    <row r="2338">
      <c r="A2338" s="2">
        <f>IFERROR(__xludf.DUMMYFUNCTION("""COMPUTED_VALUE"""),44383.64583333333)</f>
        <v>44383.64583</v>
      </c>
      <c r="B2338" s="1">
        <f>IFERROR(__xludf.DUMMYFUNCTION("""COMPUTED_VALUE"""),44450.0)</f>
        <v>44450</v>
      </c>
      <c r="C2338" s="1">
        <f>IFERROR(__xludf.DUMMYFUNCTION("""COMPUTED_VALUE"""),44850.0)</f>
        <v>44850</v>
      </c>
      <c r="D2338" s="1">
        <f>IFERROR(__xludf.DUMMYFUNCTION("""COMPUTED_VALUE"""),44400.0)</f>
        <v>44400</v>
      </c>
      <c r="E2338" s="1">
        <f>IFERROR(__xludf.DUMMYFUNCTION("""COMPUTED_VALUE"""),44450.0)</f>
        <v>44450</v>
      </c>
      <c r="F2338" s="1">
        <f>IFERROR(__xludf.DUMMYFUNCTION("""COMPUTED_VALUE"""),69843.0)</f>
        <v>69843</v>
      </c>
    </row>
    <row r="2339">
      <c r="A2339" s="2">
        <f>IFERROR(__xludf.DUMMYFUNCTION("""COMPUTED_VALUE"""),44384.64583333333)</f>
        <v>44384.64583</v>
      </c>
      <c r="B2339" s="1">
        <f>IFERROR(__xludf.DUMMYFUNCTION("""COMPUTED_VALUE"""),44350.0)</f>
        <v>44350</v>
      </c>
      <c r="C2339" s="1">
        <f>IFERROR(__xludf.DUMMYFUNCTION("""COMPUTED_VALUE"""),44600.0)</f>
        <v>44600</v>
      </c>
      <c r="D2339" s="1">
        <f>IFERROR(__xludf.DUMMYFUNCTION("""COMPUTED_VALUE"""),43550.0)</f>
        <v>43550</v>
      </c>
      <c r="E2339" s="1">
        <f>IFERROR(__xludf.DUMMYFUNCTION("""COMPUTED_VALUE"""),43700.0)</f>
        <v>43700</v>
      </c>
      <c r="F2339" s="1">
        <f>IFERROR(__xludf.DUMMYFUNCTION("""COMPUTED_VALUE"""),103776.0)</f>
        <v>103776</v>
      </c>
    </row>
    <row r="2340">
      <c r="A2340" s="2">
        <f>IFERROR(__xludf.DUMMYFUNCTION("""COMPUTED_VALUE"""),44385.64583333333)</f>
        <v>44385.64583</v>
      </c>
      <c r="B2340" s="1">
        <f>IFERROR(__xludf.DUMMYFUNCTION("""COMPUTED_VALUE"""),44100.0)</f>
        <v>44100</v>
      </c>
      <c r="C2340" s="1">
        <f>IFERROR(__xludf.DUMMYFUNCTION("""COMPUTED_VALUE"""),44100.0)</f>
        <v>44100</v>
      </c>
      <c r="D2340" s="1">
        <f>IFERROR(__xludf.DUMMYFUNCTION("""COMPUTED_VALUE"""),42500.0)</f>
        <v>42500</v>
      </c>
      <c r="E2340" s="1">
        <f>IFERROR(__xludf.DUMMYFUNCTION("""COMPUTED_VALUE"""),42500.0)</f>
        <v>42500</v>
      </c>
      <c r="F2340" s="1">
        <f>IFERROR(__xludf.DUMMYFUNCTION("""COMPUTED_VALUE"""),140653.0)</f>
        <v>140653</v>
      </c>
    </row>
    <row r="2341">
      <c r="A2341" s="2">
        <f>IFERROR(__xludf.DUMMYFUNCTION("""COMPUTED_VALUE"""),44386.64583333333)</f>
        <v>44386.64583</v>
      </c>
      <c r="B2341" s="1">
        <f>IFERROR(__xludf.DUMMYFUNCTION("""COMPUTED_VALUE"""),42100.0)</f>
        <v>42100</v>
      </c>
      <c r="C2341" s="1">
        <f>IFERROR(__xludf.DUMMYFUNCTION("""COMPUTED_VALUE"""),42250.0)</f>
        <v>42250</v>
      </c>
      <c r="D2341" s="1">
        <f>IFERROR(__xludf.DUMMYFUNCTION("""COMPUTED_VALUE"""),41100.0)</f>
        <v>41100</v>
      </c>
      <c r="E2341" s="1">
        <f>IFERROR(__xludf.DUMMYFUNCTION("""COMPUTED_VALUE"""),41800.0)</f>
        <v>41800</v>
      </c>
      <c r="F2341" s="1">
        <f>IFERROR(__xludf.DUMMYFUNCTION("""COMPUTED_VALUE"""),118695.0)</f>
        <v>118695</v>
      </c>
    </row>
    <row r="2342">
      <c r="A2342" s="2">
        <f>IFERROR(__xludf.DUMMYFUNCTION("""COMPUTED_VALUE"""),44389.64583333333)</f>
        <v>44389.64583</v>
      </c>
      <c r="B2342" s="1">
        <f>IFERROR(__xludf.DUMMYFUNCTION("""COMPUTED_VALUE"""),41800.0)</f>
        <v>41800</v>
      </c>
      <c r="C2342" s="1">
        <f>IFERROR(__xludf.DUMMYFUNCTION("""COMPUTED_VALUE"""),42950.0)</f>
        <v>42950</v>
      </c>
      <c r="D2342" s="1">
        <f>IFERROR(__xludf.DUMMYFUNCTION("""COMPUTED_VALUE"""),41750.0)</f>
        <v>41750</v>
      </c>
      <c r="E2342" s="1">
        <f>IFERROR(__xludf.DUMMYFUNCTION("""COMPUTED_VALUE"""),42150.0)</f>
        <v>42150</v>
      </c>
      <c r="F2342" s="1">
        <f>IFERROR(__xludf.DUMMYFUNCTION("""COMPUTED_VALUE"""),54133.0)</f>
        <v>54133</v>
      </c>
    </row>
    <row r="2343">
      <c r="A2343" s="2">
        <f>IFERROR(__xludf.DUMMYFUNCTION("""COMPUTED_VALUE"""),44390.64583333333)</f>
        <v>44390.64583</v>
      </c>
      <c r="B2343" s="1">
        <f>IFERROR(__xludf.DUMMYFUNCTION("""COMPUTED_VALUE"""),42250.0)</f>
        <v>42250</v>
      </c>
      <c r="C2343" s="1">
        <f>IFERROR(__xludf.DUMMYFUNCTION("""COMPUTED_VALUE"""),42700.0)</f>
        <v>42700</v>
      </c>
      <c r="D2343" s="1">
        <f>IFERROR(__xludf.DUMMYFUNCTION("""COMPUTED_VALUE"""),42250.0)</f>
        <v>42250</v>
      </c>
      <c r="E2343" s="1">
        <f>IFERROR(__xludf.DUMMYFUNCTION("""COMPUTED_VALUE"""),42550.0)</f>
        <v>42550</v>
      </c>
      <c r="F2343" s="1">
        <f>IFERROR(__xludf.DUMMYFUNCTION("""COMPUTED_VALUE"""),28967.0)</f>
        <v>28967</v>
      </c>
    </row>
    <row r="2344">
      <c r="A2344" s="2">
        <f>IFERROR(__xludf.DUMMYFUNCTION("""COMPUTED_VALUE"""),44391.64583333333)</f>
        <v>44391.64583</v>
      </c>
      <c r="B2344" s="1">
        <f>IFERROR(__xludf.DUMMYFUNCTION("""COMPUTED_VALUE"""),42700.0)</f>
        <v>42700</v>
      </c>
      <c r="C2344" s="1">
        <f>IFERROR(__xludf.DUMMYFUNCTION("""COMPUTED_VALUE"""),43100.0)</f>
        <v>43100</v>
      </c>
      <c r="D2344" s="1">
        <f>IFERROR(__xludf.DUMMYFUNCTION("""COMPUTED_VALUE"""),42100.0)</f>
        <v>42100</v>
      </c>
      <c r="E2344" s="1">
        <f>IFERROR(__xludf.DUMMYFUNCTION("""COMPUTED_VALUE"""),42500.0)</f>
        <v>42500</v>
      </c>
      <c r="F2344" s="1">
        <f>IFERROR(__xludf.DUMMYFUNCTION("""COMPUTED_VALUE"""),52249.0)</f>
        <v>52249</v>
      </c>
    </row>
    <row r="2345">
      <c r="A2345" s="2">
        <f>IFERROR(__xludf.DUMMYFUNCTION("""COMPUTED_VALUE"""),44392.64583333333)</f>
        <v>44392.64583</v>
      </c>
      <c r="B2345" s="1">
        <f>IFERROR(__xludf.DUMMYFUNCTION("""COMPUTED_VALUE"""),42600.0)</f>
        <v>42600</v>
      </c>
      <c r="C2345" s="1">
        <f>IFERROR(__xludf.DUMMYFUNCTION("""COMPUTED_VALUE"""),42750.0)</f>
        <v>42750</v>
      </c>
      <c r="D2345" s="1">
        <f>IFERROR(__xludf.DUMMYFUNCTION("""COMPUTED_VALUE"""),42200.0)</f>
        <v>42200</v>
      </c>
      <c r="E2345" s="1">
        <f>IFERROR(__xludf.DUMMYFUNCTION("""COMPUTED_VALUE"""),42400.0)</f>
        <v>42400</v>
      </c>
      <c r="F2345" s="1">
        <f>IFERROR(__xludf.DUMMYFUNCTION("""COMPUTED_VALUE"""),41757.0)</f>
        <v>41757</v>
      </c>
    </row>
    <row r="2346">
      <c r="A2346" s="2">
        <f>IFERROR(__xludf.DUMMYFUNCTION("""COMPUTED_VALUE"""),44393.64583333333)</f>
        <v>44393.64583</v>
      </c>
      <c r="B2346" s="1">
        <f>IFERROR(__xludf.DUMMYFUNCTION("""COMPUTED_VALUE"""),42300.0)</f>
        <v>42300</v>
      </c>
      <c r="C2346" s="1">
        <f>IFERROR(__xludf.DUMMYFUNCTION("""COMPUTED_VALUE"""),42400.0)</f>
        <v>42400</v>
      </c>
      <c r="D2346" s="1">
        <f>IFERROR(__xludf.DUMMYFUNCTION("""COMPUTED_VALUE"""),41750.0)</f>
        <v>41750</v>
      </c>
      <c r="E2346" s="1">
        <f>IFERROR(__xludf.DUMMYFUNCTION("""COMPUTED_VALUE"""),41950.0)</f>
        <v>41950</v>
      </c>
      <c r="F2346" s="1">
        <f>IFERROR(__xludf.DUMMYFUNCTION("""COMPUTED_VALUE"""),44109.0)</f>
        <v>44109</v>
      </c>
    </row>
    <row r="2347">
      <c r="A2347" s="2">
        <f>IFERROR(__xludf.DUMMYFUNCTION("""COMPUTED_VALUE"""),44396.64583333333)</f>
        <v>44396.64583</v>
      </c>
      <c r="B2347" s="1">
        <f>IFERROR(__xludf.DUMMYFUNCTION("""COMPUTED_VALUE"""),41950.0)</f>
        <v>41950</v>
      </c>
      <c r="C2347" s="1">
        <f>IFERROR(__xludf.DUMMYFUNCTION("""COMPUTED_VALUE"""),42050.0)</f>
        <v>42050</v>
      </c>
      <c r="D2347" s="1">
        <f>IFERROR(__xludf.DUMMYFUNCTION("""COMPUTED_VALUE"""),41500.0)</f>
        <v>41500</v>
      </c>
      <c r="E2347" s="1">
        <f>IFERROR(__xludf.DUMMYFUNCTION("""COMPUTED_VALUE"""),41500.0)</f>
        <v>41500</v>
      </c>
      <c r="F2347" s="1">
        <f>IFERROR(__xludf.DUMMYFUNCTION("""COMPUTED_VALUE"""),35105.0)</f>
        <v>35105</v>
      </c>
    </row>
    <row r="2348">
      <c r="A2348" s="2">
        <f>IFERROR(__xludf.DUMMYFUNCTION("""COMPUTED_VALUE"""),44397.64583333333)</f>
        <v>44397.64583</v>
      </c>
      <c r="B2348" s="1">
        <f>IFERROR(__xludf.DUMMYFUNCTION("""COMPUTED_VALUE"""),40600.0)</f>
        <v>40600</v>
      </c>
      <c r="C2348" s="1">
        <f>IFERROR(__xludf.DUMMYFUNCTION("""COMPUTED_VALUE"""),43000.0)</f>
        <v>43000</v>
      </c>
      <c r="D2348" s="1">
        <f>IFERROR(__xludf.DUMMYFUNCTION("""COMPUTED_VALUE"""),40600.0)</f>
        <v>40600</v>
      </c>
      <c r="E2348" s="1">
        <f>IFERROR(__xludf.DUMMYFUNCTION("""COMPUTED_VALUE"""),41750.0)</f>
        <v>41750</v>
      </c>
      <c r="F2348" s="1">
        <f>IFERROR(__xludf.DUMMYFUNCTION("""COMPUTED_VALUE"""),84460.0)</f>
        <v>84460</v>
      </c>
    </row>
    <row r="2349">
      <c r="A2349" s="2">
        <f>IFERROR(__xludf.DUMMYFUNCTION("""COMPUTED_VALUE"""),44398.64583333333)</f>
        <v>44398.64583</v>
      </c>
      <c r="B2349" s="1">
        <f>IFERROR(__xludf.DUMMYFUNCTION("""COMPUTED_VALUE"""),41650.0)</f>
        <v>41650</v>
      </c>
      <c r="C2349" s="1">
        <f>IFERROR(__xludf.DUMMYFUNCTION("""COMPUTED_VALUE"""),41900.0)</f>
        <v>41900</v>
      </c>
      <c r="D2349" s="1">
        <f>IFERROR(__xludf.DUMMYFUNCTION("""COMPUTED_VALUE"""),41000.0)</f>
        <v>41000</v>
      </c>
      <c r="E2349" s="1">
        <f>IFERROR(__xludf.DUMMYFUNCTION("""COMPUTED_VALUE"""),41000.0)</f>
        <v>41000</v>
      </c>
      <c r="F2349" s="1">
        <f>IFERROR(__xludf.DUMMYFUNCTION("""COMPUTED_VALUE"""),54690.0)</f>
        <v>54690</v>
      </c>
    </row>
    <row r="2350">
      <c r="A2350" s="2">
        <f>IFERROR(__xludf.DUMMYFUNCTION("""COMPUTED_VALUE"""),44399.64583333333)</f>
        <v>44399.64583</v>
      </c>
      <c r="B2350" s="1">
        <f>IFERROR(__xludf.DUMMYFUNCTION("""COMPUTED_VALUE"""),40750.0)</f>
        <v>40750</v>
      </c>
      <c r="C2350" s="1">
        <f>IFERROR(__xludf.DUMMYFUNCTION("""COMPUTED_VALUE"""),42800.0)</f>
        <v>42800</v>
      </c>
      <c r="D2350" s="1">
        <f>IFERROR(__xludf.DUMMYFUNCTION("""COMPUTED_VALUE"""),40700.0)</f>
        <v>40700</v>
      </c>
      <c r="E2350" s="1">
        <f>IFERROR(__xludf.DUMMYFUNCTION("""COMPUTED_VALUE"""),41450.0)</f>
        <v>41450</v>
      </c>
      <c r="F2350" s="1">
        <f>IFERROR(__xludf.DUMMYFUNCTION("""COMPUTED_VALUE"""),140554.0)</f>
        <v>140554</v>
      </c>
    </row>
    <row r="2351">
      <c r="A2351" s="2">
        <f>IFERROR(__xludf.DUMMYFUNCTION("""COMPUTED_VALUE"""),44400.64583333333)</f>
        <v>44400.64583</v>
      </c>
      <c r="B2351" s="1">
        <f>IFERROR(__xludf.DUMMYFUNCTION("""COMPUTED_VALUE"""),41200.0)</f>
        <v>41200</v>
      </c>
      <c r="C2351" s="1">
        <f>IFERROR(__xludf.DUMMYFUNCTION("""COMPUTED_VALUE"""),48650.0)</f>
        <v>48650</v>
      </c>
      <c r="D2351" s="1">
        <f>IFERROR(__xludf.DUMMYFUNCTION("""COMPUTED_VALUE"""),41150.0)</f>
        <v>41150</v>
      </c>
      <c r="E2351" s="1">
        <f>IFERROR(__xludf.DUMMYFUNCTION("""COMPUTED_VALUE"""),42950.0)</f>
        <v>42950</v>
      </c>
      <c r="F2351" s="1">
        <f>IFERROR(__xludf.DUMMYFUNCTION("""COMPUTED_VALUE"""),4269820.0)</f>
        <v>4269820</v>
      </c>
    </row>
    <row r="2352">
      <c r="A2352" s="2">
        <f>IFERROR(__xludf.DUMMYFUNCTION("""COMPUTED_VALUE"""),44403.64583333333)</f>
        <v>44403.64583</v>
      </c>
      <c r="B2352" s="1">
        <f>IFERROR(__xludf.DUMMYFUNCTION("""COMPUTED_VALUE"""),42850.0)</f>
        <v>42850</v>
      </c>
      <c r="C2352" s="1">
        <f>IFERROR(__xludf.DUMMYFUNCTION("""COMPUTED_VALUE"""),43400.0)</f>
        <v>43400</v>
      </c>
      <c r="D2352" s="1">
        <f>IFERROR(__xludf.DUMMYFUNCTION("""COMPUTED_VALUE"""),41850.0)</f>
        <v>41850</v>
      </c>
      <c r="E2352" s="1">
        <f>IFERROR(__xludf.DUMMYFUNCTION("""COMPUTED_VALUE"""),41850.0)</f>
        <v>41850</v>
      </c>
      <c r="F2352" s="1">
        <f>IFERROR(__xludf.DUMMYFUNCTION("""COMPUTED_VALUE"""),274741.0)</f>
        <v>274741</v>
      </c>
    </row>
    <row r="2353">
      <c r="A2353" s="2">
        <f>IFERROR(__xludf.DUMMYFUNCTION("""COMPUTED_VALUE"""),44404.64583333333)</f>
        <v>44404.64583</v>
      </c>
      <c r="B2353" s="1">
        <f>IFERROR(__xludf.DUMMYFUNCTION("""COMPUTED_VALUE"""),41850.0)</f>
        <v>41850</v>
      </c>
      <c r="C2353" s="1">
        <f>IFERROR(__xludf.DUMMYFUNCTION("""COMPUTED_VALUE"""),42900.0)</f>
        <v>42900</v>
      </c>
      <c r="D2353" s="1">
        <f>IFERROR(__xludf.DUMMYFUNCTION("""COMPUTED_VALUE"""),40850.0)</f>
        <v>40850</v>
      </c>
      <c r="E2353" s="1">
        <f>IFERROR(__xludf.DUMMYFUNCTION("""COMPUTED_VALUE"""),40900.0)</f>
        <v>40900</v>
      </c>
      <c r="F2353" s="1">
        <f>IFERROR(__xludf.DUMMYFUNCTION("""COMPUTED_VALUE"""),279024.0)</f>
        <v>279024</v>
      </c>
    </row>
    <row r="2354">
      <c r="A2354" s="2">
        <f>IFERROR(__xludf.DUMMYFUNCTION("""COMPUTED_VALUE"""),44405.64583333333)</f>
        <v>44405.64583</v>
      </c>
      <c r="B2354" s="1">
        <f>IFERROR(__xludf.DUMMYFUNCTION("""COMPUTED_VALUE"""),40550.0)</f>
        <v>40550</v>
      </c>
      <c r="C2354" s="1">
        <f>IFERROR(__xludf.DUMMYFUNCTION("""COMPUTED_VALUE"""),42250.0)</f>
        <v>42250</v>
      </c>
      <c r="D2354" s="1">
        <f>IFERROR(__xludf.DUMMYFUNCTION("""COMPUTED_VALUE"""),40550.0)</f>
        <v>40550</v>
      </c>
      <c r="E2354" s="1">
        <f>IFERROR(__xludf.DUMMYFUNCTION("""COMPUTED_VALUE"""),40900.0)</f>
        <v>40900</v>
      </c>
      <c r="F2354" s="1">
        <f>IFERROR(__xludf.DUMMYFUNCTION("""COMPUTED_VALUE"""),142085.0)</f>
        <v>142085</v>
      </c>
    </row>
    <row r="2355">
      <c r="A2355" s="2">
        <f>IFERROR(__xludf.DUMMYFUNCTION("""COMPUTED_VALUE"""),44406.64583333333)</f>
        <v>44406.64583</v>
      </c>
      <c r="B2355" s="1">
        <f>IFERROR(__xludf.DUMMYFUNCTION("""COMPUTED_VALUE"""),40750.0)</f>
        <v>40750</v>
      </c>
      <c r="C2355" s="1">
        <f>IFERROR(__xludf.DUMMYFUNCTION("""COMPUTED_VALUE"""),44800.0)</f>
        <v>44800</v>
      </c>
      <c r="D2355" s="1">
        <f>IFERROR(__xludf.DUMMYFUNCTION("""COMPUTED_VALUE"""),40750.0)</f>
        <v>40750</v>
      </c>
      <c r="E2355" s="1">
        <f>IFERROR(__xludf.DUMMYFUNCTION("""COMPUTED_VALUE"""),41450.0)</f>
        <v>41450</v>
      </c>
      <c r="F2355" s="1">
        <f>IFERROR(__xludf.DUMMYFUNCTION("""COMPUTED_VALUE"""),1594945.0)</f>
        <v>1594945</v>
      </c>
    </row>
    <row r="2356">
      <c r="A2356" s="2">
        <f>IFERROR(__xludf.DUMMYFUNCTION("""COMPUTED_VALUE"""),44407.64583333333)</f>
        <v>44407.64583</v>
      </c>
      <c r="B2356" s="1">
        <f>IFERROR(__xludf.DUMMYFUNCTION("""COMPUTED_VALUE"""),41600.0)</f>
        <v>41600</v>
      </c>
      <c r="C2356" s="1">
        <f>IFERROR(__xludf.DUMMYFUNCTION("""COMPUTED_VALUE"""),42800.0)</f>
        <v>42800</v>
      </c>
      <c r="D2356" s="1">
        <f>IFERROR(__xludf.DUMMYFUNCTION("""COMPUTED_VALUE"""),41350.0)</f>
        <v>41350</v>
      </c>
      <c r="E2356" s="1">
        <f>IFERROR(__xludf.DUMMYFUNCTION("""COMPUTED_VALUE"""),41650.0)</f>
        <v>41650</v>
      </c>
      <c r="F2356" s="1">
        <f>IFERROR(__xludf.DUMMYFUNCTION("""COMPUTED_VALUE"""),221569.0)</f>
        <v>221569</v>
      </c>
    </row>
    <row r="2357">
      <c r="A2357" s="2">
        <f>IFERROR(__xludf.DUMMYFUNCTION("""COMPUTED_VALUE"""),44410.64583333333)</f>
        <v>44410.64583</v>
      </c>
      <c r="B2357" s="1">
        <f>IFERROR(__xludf.DUMMYFUNCTION("""COMPUTED_VALUE"""),41600.0)</f>
        <v>41600</v>
      </c>
      <c r="C2357" s="1">
        <f>IFERROR(__xludf.DUMMYFUNCTION("""COMPUTED_VALUE"""),42050.0)</f>
        <v>42050</v>
      </c>
      <c r="D2357" s="1">
        <f>IFERROR(__xludf.DUMMYFUNCTION("""COMPUTED_VALUE"""),41050.0)</f>
        <v>41050</v>
      </c>
      <c r="E2357" s="1">
        <f>IFERROR(__xludf.DUMMYFUNCTION("""COMPUTED_VALUE"""),41050.0)</f>
        <v>41050</v>
      </c>
      <c r="F2357" s="1">
        <f>IFERROR(__xludf.DUMMYFUNCTION("""COMPUTED_VALUE"""),128362.0)</f>
        <v>128362</v>
      </c>
    </row>
    <row r="2358">
      <c r="A2358" s="2">
        <f>IFERROR(__xludf.DUMMYFUNCTION("""COMPUTED_VALUE"""),44411.64583333333)</f>
        <v>44411.64583</v>
      </c>
      <c r="B2358" s="1">
        <f>IFERROR(__xludf.DUMMYFUNCTION("""COMPUTED_VALUE"""),41150.0)</f>
        <v>41150</v>
      </c>
      <c r="C2358" s="1">
        <f>IFERROR(__xludf.DUMMYFUNCTION("""COMPUTED_VALUE"""),42250.0)</f>
        <v>42250</v>
      </c>
      <c r="D2358" s="1">
        <f>IFERROR(__xludf.DUMMYFUNCTION("""COMPUTED_VALUE"""),41150.0)</f>
        <v>41150</v>
      </c>
      <c r="E2358" s="1">
        <f>IFERROR(__xludf.DUMMYFUNCTION("""COMPUTED_VALUE"""),41300.0)</f>
        <v>41300</v>
      </c>
      <c r="F2358" s="1">
        <f>IFERROR(__xludf.DUMMYFUNCTION("""COMPUTED_VALUE"""),162247.0)</f>
        <v>162247</v>
      </c>
    </row>
    <row r="2359">
      <c r="A2359" s="2">
        <f>IFERROR(__xludf.DUMMYFUNCTION("""COMPUTED_VALUE"""),44412.64583333333)</f>
        <v>44412.64583</v>
      </c>
      <c r="B2359" s="1">
        <f>IFERROR(__xludf.DUMMYFUNCTION("""COMPUTED_VALUE"""),41450.0)</f>
        <v>41450</v>
      </c>
      <c r="C2359" s="1">
        <f>IFERROR(__xludf.DUMMYFUNCTION("""COMPUTED_VALUE"""),42700.0)</f>
        <v>42700</v>
      </c>
      <c r="D2359" s="1">
        <f>IFERROR(__xludf.DUMMYFUNCTION("""COMPUTED_VALUE"""),41450.0)</f>
        <v>41450</v>
      </c>
      <c r="E2359" s="1">
        <f>IFERROR(__xludf.DUMMYFUNCTION("""COMPUTED_VALUE"""),42000.0)</f>
        <v>42000</v>
      </c>
      <c r="F2359" s="1">
        <f>IFERROR(__xludf.DUMMYFUNCTION("""COMPUTED_VALUE"""),149008.0)</f>
        <v>149008</v>
      </c>
    </row>
    <row r="2360">
      <c r="A2360" s="2">
        <f>IFERROR(__xludf.DUMMYFUNCTION("""COMPUTED_VALUE"""),44413.64583333333)</f>
        <v>44413.64583</v>
      </c>
      <c r="B2360" s="1">
        <f>IFERROR(__xludf.DUMMYFUNCTION("""COMPUTED_VALUE"""),42100.0)</f>
        <v>42100</v>
      </c>
      <c r="C2360" s="1">
        <f>IFERROR(__xludf.DUMMYFUNCTION("""COMPUTED_VALUE"""),43150.0)</f>
        <v>43150</v>
      </c>
      <c r="D2360" s="1">
        <f>IFERROR(__xludf.DUMMYFUNCTION("""COMPUTED_VALUE"""),42050.0)</f>
        <v>42050</v>
      </c>
      <c r="E2360" s="1">
        <f>IFERROR(__xludf.DUMMYFUNCTION("""COMPUTED_VALUE"""),43000.0)</f>
        <v>43000</v>
      </c>
      <c r="F2360" s="1">
        <f>IFERROR(__xludf.DUMMYFUNCTION("""COMPUTED_VALUE"""),192532.0)</f>
        <v>192532</v>
      </c>
    </row>
    <row r="2361">
      <c r="A2361" s="2">
        <f>IFERROR(__xludf.DUMMYFUNCTION("""COMPUTED_VALUE"""),44414.64583333333)</f>
        <v>44414.64583</v>
      </c>
      <c r="B2361" s="1">
        <f>IFERROR(__xludf.DUMMYFUNCTION("""COMPUTED_VALUE"""),43400.0)</f>
        <v>43400</v>
      </c>
      <c r="C2361" s="1">
        <f>IFERROR(__xludf.DUMMYFUNCTION("""COMPUTED_VALUE"""),43450.0)</f>
        <v>43450</v>
      </c>
      <c r="D2361" s="1">
        <f>IFERROR(__xludf.DUMMYFUNCTION("""COMPUTED_VALUE"""),42100.0)</f>
        <v>42100</v>
      </c>
      <c r="E2361" s="1">
        <f>IFERROR(__xludf.DUMMYFUNCTION("""COMPUTED_VALUE"""),42200.0)</f>
        <v>42200</v>
      </c>
      <c r="F2361" s="1">
        <f>IFERROR(__xludf.DUMMYFUNCTION("""COMPUTED_VALUE"""),120061.0)</f>
        <v>120061</v>
      </c>
    </row>
    <row r="2362">
      <c r="A2362" s="2">
        <f>IFERROR(__xludf.DUMMYFUNCTION("""COMPUTED_VALUE"""),44417.64583333333)</f>
        <v>44417.64583</v>
      </c>
      <c r="B2362" s="1">
        <f>IFERROR(__xludf.DUMMYFUNCTION("""COMPUTED_VALUE"""),42500.0)</f>
        <v>42500</v>
      </c>
      <c r="C2362" s="1">
        <f>IFERROR(__xludf.DUMMYFUNCTION("""COMPUTED_VALUE"""),42500.0)</f>
        <v>42500</v>
      </c>
      <c r="D2362" s="1">
        <f>IFERROR(__xludf.DUMMYFUNCTION("""COMPUTED_VALUE"""),41500.0)</f>
        <v>41500</v>
      </c>
      <c r="E2362" s="1">
        <f>IFERROR(__xludf.DUMMYFUNCTION("""COMPUTED_VALUE"""),41600.0)</f>
        <v>41600</v>
      </c>
      <c r="F2362" s="1">
        <f>IFERROR(__xludf.DUMMYFUNCTION("""COMPUTED_VALUE"""),92453.0)</f>
        <v>92453</v>
      </c>
    </row>
    <row r="2363">
      <c r="A2363" s="2">
        <f>IFERROR(__xludf.DUMMYFUNCTION("""COMPUTED_VALUE"""),44418.64583333333)</f>
        <v>44418.64583</v>
      </c>
      <c r="B2363" s="1">
        <f>IFERROR(__xludf.DUMMYFUNCTION("""COMPUTED_VALUE"""),41950.0)</f>
        <v>41950</v>
      </c>
      <c r="C2363" s="1">
        <f>IFERROR(__xludf.DUMMYFUNCTION("""COMPUTED_VALUE"""),42450.0)</f>
        <v>42450</v>
      </c>
      <c r="D2363" s="1">
        <f>IFERROR(__xludf.DUMMYFUNCTION("""COMPUTED_VALUE"""),41250.0)</f>
        <v>41250</v>
      </c>
      <c r="E2363" s="1">
        <f>IFERROR(__xludf.DUMMYFUNCTION("""COMPUTED_VALUE"""),41250.0)</f>
        <v>41250</v>
      </c>
      <c r="F2363" s="1">
        <f>IFERROR(__xludf.DUMMYFUNCTION("""COMPUTED_VALUE"""),95503.0)</f>
        <v>95503</v>
      </c>
    </row>
    <row r="2364">
      <c r="A2364" s="2">
        <f>IFERROR(__xludf.DUMMYFUNCTION("""COMPUTED_VALUE"""),44419.64583333333)</f>
        <v>44419.64583</v>
      </c>
      <c r="B2364" s="1">
        <f>IFERROR(__xludf.DUMMYFUNCTION("""COMPUTED_VALUE"""),41200.0)</f>
        <v>41200</v>
      </c>
      <c r="C2364" s="1">
        <f>IFERROR(__xludf.DUMMYFUNCTION("""COMPUTED_VALUE"""),42150.0)</f>
        <v>42150</v>
      </c>
      <c r="D2364" s="1">
        <f>IFERROR(__xludf.DUMMYFUNCTION("""COMPUTED_VALUE"""),41150.0)</f>
        <v>41150</v>
      </c>
      <c r="E2364" s="1">
        <f>IFERROR(__xludf.DUMMYFUNCTION("""COMPUTED_VALUE"""),42100.0)</f>
        <v>42100</v>
      </c>
      <c r="F2364" s="1">
        <f>IFERROR(__xludf.DUMMYFUNCTION("""COMPUTED_VALUE"""),101688.0)</f>
        <v>101688</v>
      </c>
    </row>
    <row r="2365">
      <c r="A2365" s="2">
        <f>IFERROR(__xludf.DUMMYFUNCTION("""COMPUTED_VALUE"""),44420.64583333333)</f>
        <v>44420.64583</v>
      </c>
      <c r="B2365" s="1">
        <f>IFERROR(__xludf.DUMMYFUNCTION("""COMPUTED_VALUE"""),42200.0)</f>
        <v>42200</v>
      </c>
      <c r="C2365" s="1">
        <f>IFERROR(__xludf.DUMMYFUNCTION("""COMPUTED_VALUE"""),42200.0)</f>
        <v>42200</v>
      </c>
      <c r="D2365" s="1">
        <f>IFERROR(__xludf.DUMMYFUNCTION("""COMPUTED_VALUE"""),41300.0)</f>
        <v>41300</v>
      </c>
      <c r="E2365" s="1">
        <f>IFERROR(__xludf.DUMMYFUNCTION("""COMPUTED_VALUE"""),41550.0)</f>
        <v>41550</v>
      </c>
      <c r="F2365" s="1">
        <f>IFERROR(__xludf.DUMMYFUNCTION("""COMPUTED_VALUE"""),74583.0)</f>
        <v>74583</v>
      </c>
    </row>
    <row r="2366">
      <c r="A2366" s="2">
        <f>IFERROR(__xludf.DUMMYFUNCTION("""COMPUTED_VALUE"""),44421.64583333333)</f>
        <v>44421.64583</v>
      </c>
      <c r="B2366" s="1">
        <f>IFERROR(__xludf.DUMMYFUNCTION("""COMPUTED_VALUE"""),42200.0)</f>
        <v>42200</v>
      </c>
      <c r="C2366" s="1">
        <f>IFERROR(__xludf.DUMMYFUNCTION("""COMPUTED_VALUE"""),53000.0)</f>
        <v>53000</v>
      </c>
      <c r="D2366" s="1">
        <f>IFERROR(__xludf.DUMMYFUNCTION("""COMPUTED_VALUE"""),41950.0)</f>
        <v>41950</v>
      </c>
      <c r="E2366" s="1">
        <f>IFERROR(__xludf.DUMMYFUNCTION("""COMPUTED_VALUE"""),49350.0)</f>
        <v>49350</v>
      </c>
      <c r="F2366" s="1">
        <f>IFERROR(__xludf.DUMMYFUNCTION("""COMPUTED_VALUE"""),1.2062448E7)</f>
        <v>12062448</v>
      </c>
    </row>
    <row r="2367">
      <c r="A2367" s="2">
        <f>IFERROR(__xludf.DUMMYFUNCTION("""COMPUTED_VALUE"""),44425.64583333333)</f>
        <v>44425.64583</v>
      </c>
      <c r="B2367" s="1">
        <f>IFERROR(__xludf.DUMMYFUNCTION("""COMPUTED_VALUE"""),48850.0)</f>
        <v>48850</v>
      </c>
      <c r="C2367" s="1">
        <f>IFERROR(__xludf.DUMMYFUNCTION("""COMPUTED_VALUE"""),50600.0)</f>
        <v>50600</v>
      </c>
      <c r="D2367" s="1">
        <f>IFERROR(__xludf.DUMMYFUNCTION("""COMPUTED_VALUE"""),47600.0)</f>
        <v>47600</v>
      </c>
      <c r="E2367" s="1">
        <f>IFERROR(__xludf.DUMMYFUNCTION("""COMPUTED_VALUE"""),50500.0)</f>
        <v>50500</v>
      </c>
      <c r="F2367" s="1">
        <f>IFERROR(__xludf.DUMMYFUNCTION("""COMPUTED_VALUE"""),3286881.0)</f>
        <v>3286881</v>
      </c>
    </row>
    <row r="2368">
      <c r="A2368" s="2">
        <f>IFERROR(__xludf.DUMMYFUNCTION("""COMPUTED_VALUE"""),44426.64583333333)</f>
        <v>44426.64583</v>
      </c>
      <c r="B2368" s="1">
        <f>IFERROR(__xludf.DUMMYFUNCTION("""COMPUTED_VALUE"""),49400.0)</f>
        <v>49400</v>
      </c>
      <c r="C2368" s="1">
        <f>IFERROR(__xludf.DUMMYFUNCTION("""COMPUTED_VALUE"""),49800.0)</f>
        <v>49800</v>
      </c>
      <c r="D2368" s="1">
        <f>IFERROR(__xludf.DUMMYFUNCTION("""COMPUTED_VALUE"""),44800.0)</f>
        <v>44800</v>
      </c>
      <c r="E2368" s="1">
        <f>IFERROR(__xludf.DUMMYFUNCTION("""COMPUTED_VALUE"""),45200.0)</f>
        <v>45200</v>
      </c>
      <c r="F2368" s="1">
        <f>IFERROR(__xludf.DUMMYFUNCTION("""COMPUTED_VALUE"""),1659045.0)</f>
        <v>1659045</v>
      </c>
    </row>
    <row r="2369">
      <c r="A2369" s="2">
        <f>IFERROR(__xludf.DUMMYFUNCTION("""COMPUTED_VALUE"""),44427.64583333333)</f>
        <v>44427.64583</v>
      </c>
      <c r="B2369" s="1">
        <f>IFERROR(__xludf.DUMMYFUNCTION("""COMPUTED_VALUE"""),44450.0)</f>
        <v>44450</v>
      </c>
      <c r="C2369" s="1">
        <f>IFERROR(__xludf.DUMMYFUNCTION("""COMPUTED_VALUE"""),45450.0)</f>
        <v>45450</v>
      </c>
      <c r="D2369" s="1">
        <f>IFERROR(__xludf.DUMMYFUNCTION("""COMPUTED_VALUE"""),42600.0)</f>
        <v>42600</v>
      </c>
      <c r="E2369" s="1">
        <f>IFERROR(__xludf.DUMMYFUNCTION("""COMPUTED_VALUE"""),42600.0)</f>
        <v>42600</v>
      </c>
      <c r="F2369" s="1">
        <f>IFERROR(__xludf.DUMMYFUNCTION("""COMPUTED_VALUE"""),644540.0)</f>
        <v>644540</v>
      </c>
    </row>
    <row r="2370">
      <c r="A2370" s="2">
        <f>IFERROR(__xludf.DUMMYFUNCTION("""COMPUTED_VALUE"""),44428.64583333333)</f>
        <v>44428.64583</v>
      </c>
      <c r="B2370" s="1">
        <f>IFERROR(__xludf.DUMMYFUNCTION("""COMPUTED_VALUE"""),42750.0)</f>
        <v>42750</v>
      </c>
      <c r="C2370" s="1">
        <f>IFERROR(__xludf.DUMMYFUNCTION("""COMPUTED_VALUE"""),43650.0)</f>
        <v>43650</v>
      </c>
      <c r="D2370" s="1">
        <f>IFERROR(__xludf.DUMMYFUNCTION("""COMPUTED_VALUE"""),40600.0)</f>
        <v>40600</v>
      </c>
      <c r="E2370" s="1">
        <f>IFERROR(__xludf.DUMMYFUNCTION("""COMPUTED_VALUE"""),40900.0)</f>
        <v>40900</v>
      </c>
      <c r="F2370" s="1">
        <f>IFERROR(__xludf.DUMMYFUNCTION("""COMPUTED_VALUE"""),612576.0)</f>
        <v>612576</v>
      </c>
    </row>
    <row r="2371">
      <c r="A2371" s="2">
        <f>IFERROR(__xludf.DUMMYFUNCTION("""COMPUTED_VALUE"""),44431.64583333333)</f>
        <v>44431.64583</v>
      </c>
      <c r="B2371" s="1">
        <f>IFERROR(__xludf.DUMMYFUNCTION("""COMPUTED_VALUE"""),41900.0)</f>
        <v>41900</v>
      </c>
      <c r="C2371" s="1">
        <f>IFERROR(__xludf.DUMMYFUNCTION("""COMPUTED_VALUE"""),42700.0)</f>
        <v>42700</v>
      </c>
      <c r="D2371" s="1">
        <f>IFERROR(__xludf.DUMMYFUNCTION("""COMPUTED_VALUE"""),41050.0)</f>
        <v>41050</v>
      </c>
      <c r="E2371" s="1">
        <f>IFERROR(__xludf.DUMMYFUNCTION("""COMPUTED_VALUE"""),41600.0)</f>
        <v>41600</v>
      </c>
      <c r="F2371" s="1">
        <f>IFERROR(__xludf.DUMMYFUNCTION("""COMPUTED_VALUE"""),398613.0)</f>
        <v>398613</v>
      </c>
    </row>
    <row r="2372">
      <c r="A2372" s="2">
        <f>IFERROR(__xludf.DUMMYFUNCTION("""COMPUTED_VALUE"""),44432.64583333333)</f>
        <v>44432.64583</v>
      </c>
      <c r="B2372" s="1">
        <f>IFERROR(__xludf.DUMMYFUNCTION("""COMPUTED_VALUE"""),42050.0)</f>
        <v>42050</v>
      </c>
      <c r="C2372" s="1">
        <f>IFERROR(__xludf.DUMMYFUNCTION("""COMPUTED_VALUE"""),42700.0)</f>
        <v>42700</v>
      </c>
      <c r="D2372" s="1">
        <f>IFERROR(__xludf.DUMMYFUNCTION("""COMPUTED_VALUE"""),41600.0)</f>
        <v>41600</v>
      </c>
      <c r="E2372" s="1">
        <f>IFERROR(__xludf.DUMMYFUNCTION("""COMPUTED_VALUE"""),42000.0)</f>
        <v>42000</v>
      </c>
      <c r="F2372" s="1">
        <f>IFERROR(__xludf.DUMMYFUNCTION("""COMPUTED_VALUE"""),277982.0)</f>
        <v>277982</v>
      </c>
    </row>
    <row r="2373">
      <c r="A2373" s="2">
        <f>IFERROR(__xludf.DUMMYFUNCTION("""COMPUTED_VALUE"""),44433.64583333333)</f>
        <v>44433.64583</v>
      </c>
      <c r="B2373" s="1">
        <f>IFERROR(__xludf.DUMMYFUNCTION("""COMPUTED_VALUE"""),42100.0)</f>
        <v>42100</v>
      </c>
      <c r="C2373" s="1">
        <f>IFERROR(__xludf.DUMMYFUNCTION("""COMPUTED_VALUE"""),43000.0)</f>
        <v>43000</v>
      </c>
      <c r="D2373" s="1">
        <f>IFERROR(__xludf.DUMMYFUNCTION("""COMPUTED_VALUE"""),41850.0)</f>
        <v>41850</v>
      </c>
      <c r="E2373" s="1">
        <f>IFERROR(__xludf.DUMMYFUNCTION("""COMPUTED_VALUE"""),42100.0)</f>
        <v>42100</v>
      </c>
      <c r="F2373" s="1">
        <f>IFERROR(__xludf.DUMMYFUNCTION("""COMPUTED_VALUE"""),219232.0)</f>
        <v>219232</v>
      </c>
    </row>
    <row r="2374">
      <c r="A2374" s="2">
        <f>IFERROR(__xludf.DUMMYFUNCTION("""COMPUTED_VALUE"""),44434.64583333333)</f>
        <v>44434.64583</v>
      </c>
      <c r="B2374" s="1">
        <f>IFERROR(__xludf.DUMMYFUNCTION("""COMPUTED_VALUE"""),42200.0)</f>
        <v>42200</v>
      </c>
      <c r="C2374" s="1">
        <f>IFERROR(__xludf.DUMMYFUNCTION("""COMPUTED_VALUE"""),42450.0)</f>
        <v>42450</v>
      </c>
      <c r="D2374" s="1">
        <f>IFERROR(__xludf.DUMMYFUNCTION("""COMPUTED_VALUE"""),41350.0)</f>
        <v>41350</v>
      </c>
      <c r="E2374" s="1">
        <f>IFERROR(__xludf.DUMMYFUNCTION("""COMPUTED_VALUE"""),41450.0)</f>
        <v>41450</v>
      </c>
      <c r="F2374" s="1">
        <f>IFERROR(__xludf.DUMMYFUNCTION("""COMPUTED_VALUE"""),168236.0)</f>
        <v>168236</v>
      </c>
    </row>
    <row r="2375">
      <c r="A2375" s="2">
        <f>IFERROR(__xludf.DUMMYFUNCTION("""COMPUTED_VALUE"""),44435.64583333333)</f>
        <v>44435.64583</v>
      </c>
      <c r="B2375" s="1">
        <f>IFERROR(__xludf.DUMMYFUNCTION("""COMPUTED_VALUE"""),41450.0)</f>
        <v>41450</v>
      </c>
      <c r="C2375" s="1">
        <f>IFERROR(__xludf.DUMMYFUNCTION("""COMPUTED_VALUE"""),41800.0)</f>
        <v>41800</v>
      </c>
      <c r="D2375" s="1">
        <f>IFERROR(__xludf.DUMMYFUNCTION("""COMPUTED_VALUE"""),41300.0)</f>
        <v>41300</v>
      </c>
      <c r="E2375" s="1">
        <f>IFERROR(__xludf.DUMMYFUNCTION("""COMPUTED_VALUE"""),41600.0)</f>
        <v>41600</v>
      </c>
      <c r="F2375" s="1">
        <f>IFERROR(__xludf.DUMMYFUNCTION("""COMPUTED_VALUE"""),110955.0)</f>
        <v>110955</v>
      </c>
    </row>
    <row r="2376">
      <c r="A2376" s="2">
        <f>IFERROR(__xludf.DUMMYFUNCTION("""COMPUTED_VALUE"""),44438.64583333333)</f>
        <v>44438.64583</v>
      </c>
      <c r="B2376" s="1">
        <f>IFERROR(__xludf.DUMMYFUNCTION("""COMPUTED_VALUE"""),41650.0)</f>
        <v>41650</v>
      </c>
      <c r="C2376" s="1">
        <f>IFERROR(__xludf.DUMMYFUNCTION("""COMPUTED_VALUE"""),41900.0)</f>
        <v>41900</v>
      </c>
      <c r="D2376" s="1">
        <f>IFERROR(__xludf.DUMMYFUNCTION("""COMPUTED_VALUE"""),41250.0)</f>
        <v>41250</v>
      </c>
      <c r="E2376" s="1">
        <f>IFERROR(__xludf.DUMMYFUNCTION("""COMPUTED_VALUE"""),41400.0)</f>
        <v>41400</v>
      </c>
      <c r="F2376" s="1">
        <f>IFERROR(__xludf.DUMMYFUNCTION("""COMPUTED_VALUE"""),115767.0)</f>
        <v>115767</v>
      </c>
    </row>
    <row r="2377">
      <c r="A2377" s="2">
        <f>IFERROR(__xludf.DUMMYFUNCTION("""COMPUTED_VALUE"""),44439.64583333333)</f>
        <v>44439.64583</v>
      </c>
      <c r="B2377" s="1">
        <f>IFERROR(__xludf.DUMMYFUNCTION("""COMPUTED_VALUE"""),41400.0)</f>
        <v>41400</v>
      </c>
      <c r="C2377" s="1">
        <f>IFERROR(__xludf.DUMMYFUNCTION("""COMPUTED_VALUE"""),41500.0)</f>
        <v>41500</v>
      </c>
      <c r="D2377" s="1">
        <f>IFERROR(__xludf.DUMMYFUNCTION("""COMPUTED_VALUE"""),41000.0)</f>
        <v>41000</v>
      </c>
      <c r="E2377" s="1">
        <f>IFERROR(__xludf.DUMMYFUNCTION("""COMPUTED_VALUE"""),41150.0)</f>
        <v>41150</v>
      </c>
      <c r="F2377" s="1">
        <f>IFERROR(__xludf.DUMMYFUNCTION("""COMPUTED_VALUE"""),112237.0)</f>
        <v>112237</v>
      </c>
    </row>
    <row r="2378">
      <c r="A2378" s="2">
        <f>IFERROR(__xludf.DUMMYFUNCTION("""COMPUTED_VALUE"""),44440.64583333333)</f>
        <v>44440.64583</v>
      </c>
      <c r="B2378" s="1">
        <f>IFERROR(__xludf.DUMMYFUNCTION("""COMPUTED_VALUE"""),41200.0)</f>
        <v>41200</v>
      </c>
      <c r="C2378" s="1">
        <f>IFERROR(__xludf.DUMMYFUNCTION("""COMPUTED_VALUE"""),41650.0)</f>
        <v>41650</v>
      </c>
      <c r="D2378" s="1">
        <f>IFERROR(__xludf.DUMMYFUNCTION("""COMPUTED_VALUE"""),41200.0)</f>
        <v>41200</v>
      </c>
      <c r="E2378" s="1">
        <f>IFERROR(__xludf.DUMMYFUNCTION("""COMPUTED_VALUE"""),41550.0)</f>
        <v>41550</v>
      </c>
      <c r="F2378" s="1">
        <f>IFERROR(__xludf.DUMMYFUNCTION("""COMPUTED_VALUE"""),83453.0)</f>
        <v>83453</v>
      </c>
    </row>
    <row r="2379">
      <c r="A2379" s="2">
        <f>IFERROR(__xludf.DUMMYFUNCTION("""COMPUTED_VALUE"""),44441.64583333333)</f>
        <v>44441.64583</v>
      </c>
      <c r="B2379" s="1">
        <f>IFERROR(__xludf.DUMMYFUNCTION("""COMPUTED_VALUE"""),41700.0)</f>
        <v>41700</v>
      </c>
      <c r="C2379" s="1">
        <f>IFERROR(__xludf.DUMMYFUNCTION("""COMPUTED_VALUE"""),41800.0)</f>
        <v>41800</v>
      </c>
      <c r="D2379" s="1">
        <f>IFERROR(__xludf.DUMMYFUNCTION("""COMPUTED_VALUE"""),41300.0)</f>
        <v>41300</v>
      </c>
      <c r="E2379" s="1">
        <f>IFERROR(__xludf.DUMMYFUNCTION("""COMPUTED_VALUE"""),41400.0)</f>
        <v>41400</v>
      </c>
      <c r="F2379" s="1">
        <f>IFERROR(__xludf.DUMMYFUNCTION("""COMPUTED_VALUE"""),75997.0)</f>
        <v>75997</v>
      </c>
    </row>
    <row r="2380">
      <c r="A2380" s="2">
        <f>IFERROR(__xludf.DUMMYFUNCTION("""COMPUTED_VALUE"""),44442.64583333333)</f>
        <v>44442.64583</v>
      </c>
      <c r="B2380" s="1">
        <f>IFERROR(__xludf.DUMMYFUNCTION("""COMPUTED_VALUE"""),41600.0)</f>
        <v>41600</v>
      </c>
      <c r="C2380" s="1">
        <f>IFERROR(__xludf.DUMMYFUNCTION("""COMPUTED_VALUE"""),41700.0)</f>
        <v>41700</v>
      </c>
      <c r="D2380" s="1">
        <f>IFERROR(__xludf.DUMMYFUNCTION("""COMPUTED_VALUE"""),41250.0)</f>
        <v>41250</v>
      </c>
      <c r="E2380" s="1">
        <f>IFERROR(__xludf.DUMMYFUNCTION("""COMPUTED_VALUE"""),41350.0)</f>
        <v>41350</v>
      </c>
      <c r="F2380" s="1">
        <f>IFERROR(__xludf.DUMMYFUNCTION("""COMPUTED_VALUE"""),67725.0)</f>
        <v>67725</v>
      </c>
    </row>
    <row r="2381">
      <c r="A2381" s="2">
        <f>IFERROR(__xludf.DUMMYFUNCTION("""COMPUTED_VALUE"""),44445.64583333333)</f>
        <v>44445.64583</v>
      </c>
      <c r="B2381" s="1">
        <f>IFERROR(__xludf.DUMMYFUNCTION("""COMPUTED_VALUE"""),41350.0)</f>
        <v>41350</v>
      </c>
      <c r="C2381" s="1">
        <f>IFERROR(__xludf.DUMMYFUNCTION("""COMPUTED_VALUE"""),41400.0)</f>
        <v>41400</v>
      </c>
      <c r="D2381" s="1">
        <f>IFERROR(__xludf.DUMMYFUNCTION("""COMPUTED_VALUE"""),41100.0)</f>
        <v>41100</v>
      </c>
      <c r="E2381" s="1">
        <f>IFERROR(__xludf.DUMMYFUNCTION("""COMPUTED_VALUE"""),41400.0)</f>
        <v>41400</v>
      </c>
      <c r="F2381" s="1">
        <f>IFERROR(__xludf.DUMMYFUNCTION("""COMPUTED_VALUE"""),65693.0)</f>
        <v>65693</v>
      </c>
    </row>
    <row r="2382">
      <c r="A2382" s="2">
        <f>IFERROR(__xludf.DUMMYFUNCTION("""COMPUTED_VALUE"""),44446.64583333333)</f>
        <v>44446.64583</v>
      </c>
      <c r="B2382" s="1">
        <f>IFERROR(__xludf.DUMMYFUNCTION("""COMPUTED_VALUE"""),41400.0)</f>
        <v>41400</v>
      </c>
      <c r="C2382" s="1">
        <f>IFERROR(__xludf.DUMMYFUNCTION("""COMPUTED_VALUE"""),41450.0)</f>
        <v>41450</v>
      </c>
      <c r="D2382" s="1">
        <f>IFERROR(__xludf.DUMMYFUNCTION("""COMPUTED_VALUE"""),40950.0)</f>
        <v>40950</v>
      </c>
      <c r="E2382" s="1">
        <f>IFERROR(__xludf.DUMMYFUNCTION("""COMPUTED_VALUE"""),41100.0)</f>
        <v>41100</v>
      </c>
      <c r="F2382" s="1">
        <f>IFERROR(__xludf.DUMMYFUNCTION("""COMPUTED_VALUE"""),64534.0)</f>
        <v>64534</v>
      </c>
    </row>
    <row r="2383">
      <c r="A2383" s="2">
        <f>IFERROR(__xludf.DUMMYFUNCTION("""COMPUTED_VALUE"""),44447.64583333333)</f>
        <v>44447.64583</v>
      </c>
      <c r="B2383" s="1">
        <f>IFERROR(__xludf.DUMMYFUNCTION("""COMPUTED_VALUE"""),41050.0)</f>
        <v>41050</v>
      </c>
      <c r="C2383" s="1">
        <f>IFERROR(__xludf.DUMMYFUNCTION("""COMPUTED_VALUE"""),41300.0)</f>
        <v>41300</v>
      </c>
      <c r="D2383" s="1">
        <f>IFERROR(__xludf.DUMMYFUNCTION("""COMPUTED_VALUE"""),40600.0)</f>
        <v>40600</v>
      </c>
      <c r="E2383" s="1">
        <f>IFERROR(__xludf.DUMMYFUNCTION("""COMPUTED_VALUE"""),40750.0)</f>
        <v>40750</v>
      </c>
      <c r="F2383" s="1">
        <f>IFERROR(__xludf.DUMMYFUNCTION("""COMPUTED_VALUE"""),80279.0)</f>
        <v>80279</v>
      </c>
    </row>
    <row r="2384">
      <c r="A2384" s="2">
        <f>IFERROR(__xludf.DUMMYFUNCTION("""COMPUTED_VALUE"""),44448.64583333333)</f>
        <v>44448.64583</v>
      </c>
      <c r="B2384" s="1">
        <f>IFERROR(__xludf.DUMMYFUNCTION("""COMPUTED_VALUE"""),40350.0)</f>
        <v>40350</v>
      </c>
      <c r="C2384" s="1">
        <f>IFERROR(__xludf.DUMMYFUNCTION("""COMPUTED_VALUE"""),40900.0)</f>
        <v>40900</v>
      </c>
      <c r="D2384" s="1">
        <f>IFERROR(__xludf.DUMMYFUNCTION("""COMPUTED_VALUE"""),39200.0)</f>
        <v>39200</v>
      </c>
      <c r="E2384" s="1">
        <f>IFERROR(__xludf.DUMMYFUNCTION("""COMPUTED_VALUE"""),39200.0)</f>
        <v>39200</v>
      </c>
      <c r="F2384" s="1">
        <f>IFERROR(__xludf.DUMMYFUNCTION("""COMPUTED_VALUE"""),165901.0)</f>
        <v>165901</v>
      </c>
    </row>
    <row r="2385">
      <c r="A2385" s="2">
        <f>IFERROR(__xludf.DUMMYFUNCTION("""COMPUTED_VALUE"""),44449.64583333333)</f>
        <v>44449.64583</v>
      </c>
      <c r="B2385" s="1">
        <f>IFERROR(__xludf.DUMMYFUNCTION("""COMPUTED_VALUE"""),38950.0)</f>
        <v>38950</v>
      </c>
      <c r="C2385" s="1">
        <f>IFERROR(__xludf.DUMMYFUNCTION("""COMPUTED_VALUE"""),39800.0)</f>
        <v>39800</v>
      </c>
      <c r="D2385" s="1">
        <f>IFERROR(__xludf.DUMMYFUNCTION("""COMPUTED_VALUE"""),38350.0)</f>
        <v>38350</v>
      </c>
      <c r="E2385" s="1">
        <f>IFERROR(__xludf.DUMMYFUNCTION("""COMPUTED_VALUE"""),39050.0)</f>
        <v>39050</v>
      </c>
      <c r="F2385" s="1">
        <f>IFERROR(__xludf.DUMMYFUNCTION("""COMPUTED_VALUE"""),106639.0)</f>
        <v>106639</v>
      </c>
    </row>
    <row r="2386">
      <c r="A2386" s="2">
        <f>IFERROR(__xludf.DUMMYFUNCTION("""COMPUTED_VALUE"""),44452.64583333333)</f>
        <v>44452.64583</v>
      </c>
      <c r="B2386" s="1">
        <f>IFERROR(__xludf.DUMMYFUNCTION("""COMPUTED_VALUE"""),38450.0)</f>
        <v>38450</v>
      </c>
      <c r="C2386" s="1">
        <f>IFERROR(__xludf.DUMMYFUNCTION("""COMPUTED_VALUE"""),39400.0)</f>
        <v>39400</v>
      </c>
      <c r="D2386" s="1">
        <f>IFERROR(__xludf.DUMMYFUNCTION("""COMPUTED_VALUE"""),37300.0)</f>
        <v>37300</v>
      </c>
      <c r="E2386" s="1">
        <f>IFERROR(__xludf.DUMMYFUNCTION("""COMPUTED_VALUE"""),37900.0)</f>
        <v>37900</v>
      </c>
      <c r="F2386" s="1">
        <f>IFERROR(__xludf.DUMMYFUNCTION("""COMPUTED_VALUE"""),95518.0)</f>
        <v>95518</v>
      </c>
    </row>
    <row r="2387">
      <c r="A2387" s="2">
        <f>IFERROR(__xludf.DUMMYFUNCTION("""COMPUTED_VALUE"""),44453.64583333333)</f>
        <v>44453.64583</v>
      </c>
      <c r="B2387" s="1">
        <f>IFERROR(__xludf.DUMMYFUNCTION("""COMPUTED_VALUE"""),37900.0)</f>
        <v>37900</v>
      </c>
      <c r="C2387" s="1">
        <f>IFERROR(__xludf.DUMMYFUNCTION("""COMPUTED_VALUE"""),38900.0)</f>
        <v>38900</v>
      </c>
      <c r="D2387" s="1">
        <f>IFERROR(__xludf.DUMMYFUNCTION("""COMPUTED_VALUE"""),37900.0)</f>
        <v>37900</v>
      </c>
      <c r="E2387" s="1">
        <f>IFERROR(__xludf.DUMMYFUNCTION("""COMPUTED_VALUE"""),38550.0)</f>
        <v>38550</v>
      </c>
      <c r="F2387" s="1">
        <f>IFERROR(__xludf.DUMMYFUNCTION("""COMPUTED_VALUE"""),53016.0)</f>
        <v>53016</v>
      </c>
    </row>
    <row r="2388">
      <c r="A2388" s="2">
        <f>IFERROR(__xludf.DUMMYFUNCTION("""COMPUTED_VALUE"""),44454.64583333333)</f>
        <v>44454.64583</v>
      </c>
      <c r="B2388" s="1">
        <f>IFERROR(__xludf.DUMMYFUNCTION("""COMPUTED_VALUE"""),38000.0)</f>
        <v>38000</v>
      </c>
      <c r="C2388" s="1">
        <f>IFERROR(__xludf.DUMMYFUNCTION("""COMPUTED_VALUE"""),38900.0)</f>
        <v>38900</v>
      </c>
      <c r="D2388" s="1">
        <f>IFERROR(__xludf.DUMMYFUNCTION("""COMPUTED_VALUE"""),38000.0)</f>
        <v>38000</v>
      </c>
      <c r="E2388" s="1">
        <f>IFERROR(__xludf.DUMMYFUNCTION("""COMPUTED_VALUE"""),38300.0)</f>
        <v>38300</v>
      </c>
      <c r="F2388" s="1">
        <f>IFERROR(__xludf.DUMMYFUNCTION("""COMPUTED_VALUE"""),49177.0)</f>
        <v>49177</v>
      </c>
    </row>
    <row r="2389">
      <c r="A2389" s="2">
        <f>IFERROR(__xludf.DUMMYFUNCTION("""COMPUTED_VALUE"""),44455.64583333333)</f>
        <v>44455.64583</v>
      </c>
      <c r="B2389" s="1">
        <f>IFERROR(__xludf.DUMMYFUNCTION("""COMPUTED_VALUE"""),38350.0)</f>
        <v>38350</v>
      </c>
      <c r="C2389" s="1">
        <f>IFERROR(__xludf.DUMMYFUNCTION("""COMPUTED_VALUE"""),38800.0)</f>
        <v>38800</v>
      </c>
      <c r="D2389" s="1">
        <f>IFERROR(__xludf.DUMMYFUNCTION("""COMPUTED_VALUE"""),37900.0)</f>
        <v>37900</v>
      </c>
      <c r="E2389" s="1">
        <f>IFERROR(__xludf.DUMMYFUNCTION("""COMPUTED_VALUE"""),37900.0)</f>
        <v>37900</v>
      </c>
      <c r="F2389" s="1">
        <f>IFERROR(__xludf.DUMMYFUNCTION("""COMPUTED_VALUE"""),44600.0)</f>
        <v>44600</v>
      </c>
    </row>
    <row r="2390">
      <c r="A2390" s="2">
        <f>IFERROR(__xludf.DUMMYFUNCTION("""COMPUTED_VALUE"""),44456.64583333333)</f>
        <v>44456.64583</v>
      </c>
      <c r="B2390" s="1">
        <f>IFERROR(__xludf.DUMMYFUNCTION("""COMPUTED_VALUE"""),37650.0)</f>
        <v>37650</v>
      </c>
      <c r="C2390" s="1">
        <f>IFERROR(__xludf.DUMMYFUNCTION("""COMPUTED_VALUE"""),37900.0)</f>
        <v>37900</v>
      </c>
      <c r="D2390" s="1">
        <f>IFERROR(__xludf.DUMMYFUNCTION("""COMPUTED_VALUE"""),36550.0)</f>
        <v>36550</v>
      </c>
      <c r="E2390" s="1">
        <f>IFERROR(__xludf.DUMMYFUNCTION("""COMPUTED_VALUE"""),37200.0)</f>
        <v>37200</v>
      </c>
      <c r="F2390" s="1">
        <f>IFERROR(__xludf.DUMMYFUNCTION("""COMPUTED_VALUE"""),73280.0)</f>
        <v>73280</v>
      </c>
    </row>
    <row r="2391">
      <c r="A2391" s="2">
        <f>IFERROR(__xludf.DUMMYFUNCTION("""COMPUTED_VALUE"""),44462.64583333333)</f>
        <v>44462.64583</v>
      </c>
      <c r="B2391" s="1">
        <f>IFERROR(__xludf.DUMMYFUNCTION("""COMPUTED_VALUE"""),36500.0)</f>
        <v>36500</v>
      </c>
      <c r="C2391" s="1">
        <f>IFERROR(__xludf.DUMMYFUNCTION("""COMPUTED_VALUE"""),36900.0)</f>
        <v>36900</v>
      </c>
      <c r="D2391" s="1">
        <f>IFERROR(__xludf.DUMMYFUNCTION("""COMPUTED_VALUE"""),36000.0)</f>
        <v>36000</v>
      </c>
      <c r="E2391" s="1">
        <f>IFERROR(__xludf.DUMMYFUNCTION("""COMPUTED_VALUE"""),36350.0)</f>
        <v>36350</v>
      </c>
      <c r="F2391" s="1">
        <f>IFERROR(__xludf.DUMMYFUNCTION("""COMPUTED_VALUE"""),62190.0)</f>
        <v>62190</v>
      </c>
    </row>
    <row r="2392">
      <c r="A2392" s="2">
        <f>IFERROR(__xludf.DUMMYFUNCTION("""COMPUTED_VALUE"""),44463.64583333333)</f>
        <v>44463.64583</v>
      </c>
      <c r="B2392" s="1">
        <f>IFERROR(__xludf.DUMMYFUNCTION("""COMPUTED_VALUE"""),36350.0)</f>
        <v>36350</v>
      </c>
      <c r="C2392" s="1">
        <f>IFERROR(__xludf.DUMMYFUNCTION("""COMPUTED_VALUE"""),38150.0)</f>
        <v>38150</v>
      </c>
      <c r="D2392" s="1">
        <f>IFERROR(__xludf.DUMMYFUNCTION("""COMPUTED_VALUE"""),36300.0)</f>
        <v>36300</v>
      </c>
      <c r="E2392" s="1">
        <f>IFERROR(__xludf.DUMMYFUNCTION("""COMPUTED_VALUE"""),37150.0)</f>
        <v>37150</v>
      </c>
      <c r="F2392" s="1">
        <f>IFERROR(__xludf.DUMMYFUNCTION("""COMPUTED_VALUE"""),140640.0)</f>
        <v>140640</v>
      </c>
    </row>
    <row r="2393">
      <c r="A2393" s="2">
        <f>IFERROR(__xludf.DUMMYFUNCTION("""COMPUTED_VALUE"""),44466.64583333333)</f>
        <v>44466.64583</v>
      </c>
      <c r="B2393" s="1">
        <f>IFERROR(__xludf.DUMMYFUNCTION("""COMPUTED_VALUE"""),37150.0)</f>
        <v>37150</v>
      </c>
      <c r="C2393" s="1">
        <f>IFERROR(__xludf.DUMMYFUNCTION("""COMPUTED_VALUE"""),37650.0)</f>
        <v>37650</v>
      </c>
      <c r="D2393" s="1">
        <f>IFERROR(__xludf.DUMMYFUNCTION("""COMPUTED_VALUE"""),37000.0)</f>
        <v>37000</v>
      </c>
      <c r="E2393" s="1">
        <f>IFERROR(__xludf.DUMMYFUNCTION("""COMPUTED_VALUE"""),37150.0)</f>
        <v>37150</v>
      </c>
      <c r="F2393" s="1">
        <f>IFERROR(__xludf.DUMMYFUNCTION("""COMPUTED_VALUE"""),38432.0)</f>
        <v>38432</v>
      </c>
    </row>
    <row r="2394">
      <c r="A2394" s="2">
        <f>IFERROR(__xludf.DUMMYFUNCTION("""COMPUTED_VALUE"""),44467.64583333333)</f>
        <v>44467.64583</v>
      </c>
      <c r="B2394" s="1">
        <f>IFERROR(__xludf.DUMMYFUNCTION("""COMPUTED_VALUE"""),37100.0)</f>
        <v>37100</v>
      </c>
      <c r="C2394" s="1">
        <f>IFERROR(__xludf.DUMMYFUNCTION("""COMPUTED_VALUE"""),37500.0)</f>
        <v>37500</v>
      </c>
      <c r="D2394" s="1">
        <f>IFERROR(__xludf.DUMMYFUNCTION("""COMPUTED_VALUE"""),35950.0)</f>
        <v>35950</v>
      </c>
      <c r="E2394" s="1">
        <f>IFERROR(__xludf.DUMMYFUNCTION("""COMPUTED_VALUE"""),36000.0)</f>
        <v>36000</v>
      </c>
      <c r="F2394" s="1">
        <f>IFERROR(__xludf.DUMMYFUNCTION("""COMPUTED_VALUE"""),61540.0)</f>
        <v>61540</v>
      </c>
    </row>
    <row r="2395">
      <c r="A2395" s="2">
        <f>IFERROR(__xludf.DUMMYFUNCTION("""COMPUTED_VALUE"""),44468.64583333333)</f>
        <v>44468.64583</v>
      </c>
      <c r="B2395" s="1">
        <f>IFERROR(__xludf.DUMMYFUNCTION("""COMPUTED_VALUE"""),34950.0)</f>
        <v>34950</v>
      </c>
      <c r="C2395" s="1">
        <f>IFERROR(__xludf.DUMMYFUNCTION("""COMPUTED_VALUE"""),35600.0)</f>
        <v>35600</v>
      </c>
      <c r="D2395" s="1">
        <f>IFERROR(__xludf.DUMMYFUNCTION("""COMPUTED_VALUE"""),34500.0)</f>
        <v>34500</v>
      </c>
      <c r="E2395" s="1">
        <f>IFERROR(__xludf.DUMMYFUNCTION("""COMPUTED_VALUE"""),35200.0)</f>
        <v>35200</v>
      </c>
      <c r="F2395" s="1">
        <f>IFERROR(__xludf.DUMMYFUNCTION("""COMPUTED_VALUE"""),80018.0)</f>
        <v>80018</v>
      </c>
    </row>
    <row r="2396">
      <c r="A2396" s="2">
        <f>IFERROR(__xludf.DUMMYFUNCTION("""COMPUTED_VALUE"""),44469.64583333333)</f>
        <v>44469.64583</v>
      </c>
      <c r="B2396" s="1">
        <f>IFERROR(__xludf.DUMMYFUNCTION("""COMPUTED_VALUE"""),35150.0)</f>
        <v>35150</v>
      </c>
      <c r="C2396" s="1">
        <f>IFERROR(__xludf.DUMMYFUNCTION("""COMPUTED_VALUE"""),36250.0)</f>
        <v>36250</v>
      </c>
      <c r="D2396" s="1">
        <f>IFERROR(__xludf.DUMMYFUNCTION("""COMPUTED_VALUE"""),35150.0)</f>
        <v>35150</v>
      </c>
      <c r="E2396" s="1">
        <f>IFERROR(__xludf.DUMMYFUNCTION("""COMPUTED_VALUE"""),35500.0)</f>
        <v>35500</v>
      </c>
      <c r="F2396" s="1">
        <f>IFERROR(__xludf.DUMMYFUNCTION("""COMPUTED_VALUE"""),51338.0)</f>
        <v>51338</v>
      </c>
    </row>
    <row r="2397">
      <c r="A2397" s="2">
        <f>IFERROR(__xludf.DUMMYFUNCTION("""COMPUTED_VALUE"""),44470.64583333333)</f>
        <v>44470.64583</v>
      </c>
      <c r="B2397" s="1">
        <f>IFERROR(__xludf.DUMMYFUNCTION("""COMPUTED_VALUE"""),35500.0)</f>
        <v>35500</v>
      </c>
      <c r="C2397" s="1">
        <f>IFERROR(__xludf.DUMMYFUNCTION("""COMPUTED_VALUE"""),35600.0)</f>
        <v>35600</v>
      </c>
      <c r="D2397" s="1">
        <f>IFERROR(__xludf.DUMMYFUNCTION("""COMPUTED_VALUE"""),33500.0)</f>
        <v>33500</v>
      </c>
      <c r="E2397" s="1">
        <f>IFERROR(__xludf.DUMMYFUNCTION("""COMPUTED_VALUE"""),33500.0)</f>
        <v>33500</v>
      </c>
      <c r="F2397" s="1">
        <f>IFERROR(__xludf.DUMMYFUNCTION("""COMPUTED_VALUE"""),90977.0)</f>
        <v>90977</v>
      </c>
    </row>
    <row r="2398">
      <c r="A2398" s="2">
        <f>IFERROR(__xludf.DUMMYFUNCTION("""COMPUTED_VALUE"""),44474.64583333333)</f>
        <v>44474.64583</v>
      </c>
      <c r="B2398" s="1">
        <f>IFERROR(__xludf.DUMMYFUNCTION("""COMPUTED_VALUE"""),32900.0)</f>
        <v>32900</v>
      </c>
      <c r="C2398" s="1">
        <f>IFERROR(__xludf.DUMMYFUNCTION("""COMPUTED_VALUE"""),33400.0)</f>
        <v>33400</v>
      </c>
      <c r="D2398" s="1">
        <f>IFERROR(__xludf.DUMMYFUNCTION("""COMPUTED_VALUE"""),31250.0)</f>
        <v>31250</v>
      </c>
      <c r="E2398" s="1">
        <f>IFERROR(__xludf.DUMMYFUNCTION("""COMPUTED_VALUE"""),32850.0)</f>
        <v>32850</v>
      </c>
      <c r="F2398" s="1">
        <f>IFERROR(__xludf.DUMMYFUNCTION("""COMPUTED_VALUE"""),111805.0)</f>
        <v>111805</v>
      </c>
    </row>
    <row r="2399">
      <c r="A2399" s="2">
        <f>IFERROR(__xludf.DUMMYFUNCTION("""COMPUTED_VALUE"""),44475.64583333333)</f>
        <v>44475.64583</v>
      </c>
      <c r="B2399" s="1">
        <f>IFERROR(__xludf.DUMMYFUNCTION("""COMPUTED_VALUE"""),32850.0)</f>
        <v>32850</v>
      </c>
      <c r="C2399" s="1">
        <f>IFERROR(__xludf.DUMMYFUNCTION("""COMPUTED_VALUE"""),33600.0)</f>
        <v>33600</v>
      </c>
      <c r="D2399" s="1">
        <f>IFERROR(__xludf.DUMMYFUNCTION("""COMPUTED_VALUE"""),31000.0)</f>
        <v>31000</v>
      </c>
      <c r="E2399" s="1">
        <f>IFERROR(__xludf.DUMMYFUNCTION("""COMPUTED_VALUE"""),31000.0)</f>
        <v>31000</v>
      </c>
      <c r="F2399" s="1">
        <f>IFERROR(__xludf.DUMMYFUNCTION("""COMPUTED_VALUE"""),132550.0)</f>
        <v>132550</v>
      </c>
    </row>
    <row r="2400">
      <c r="A2400" s="2">
        <f>IFERROR(__xludf.DUMMYFUNCTION("""COMPUTED_VALUE"""),44476.64583333333)</f>
        <v>44476.64583</v>
      </c>
      <c r="B2400" s="1">
        <f>IFERROR(__xludf.DUMMYFUNCTION("""COMPUTED_VALUE"""),31000.0)</f>
        <v>31000</v>
      </c>
      <c r="C2400" s="1">
        <f>IFERROR(__xludf.DUMMYFUNCTION("""COMPUTED_VALUE"""),33750.0)</f>
        <v>33750</v>
      </c>
      <c r="D2400" s="1">
        <f>IFERROR(__xludf.DUMMYFUNCTION("""COMPUTED_VALUE"""),31000.0)</f>
        <v>31000</v>
      </c>
      <c r="E2400" s="1">
        <f>IFERROR(__xludf.DUMMYFUNCTION("""COMPUTED_VALUE"""),33500.0)</f>
        <v>33500</v>
      </c>
      <c r="F2400" s="1">
        <f>IFERROR(__xludf.DUMMYFUNCTION("""COMPUTED_VALUE"""),109209.0)</f>
        <v>109209</v>
      </c>
    </row>
    <row r="2401">
      <c r="A2401" s="2">
        <f>IFERROR(__xludf.DUMMYFUNCTION("""COMPUTED_VALUE"""),44477.64583333333)</f>
        <v>44477.64583</v>
      </c>
      <c r="B2401" s="1">
        <f>IFERROR(__xludf.DUMMYFUNCTION("""COMPUTED_VALUE"""),34050.0)</f>
        <v>34050</v>
      </c>
      <c r="C2401" s="1">
        <f>IFERROR(__xludf.DUMMYFUNCTION("""COMPUTED_VALUE"""),35200.0)</f>
        <v>35200</v>
      </c>
      <c r="D2401" s="1">
        <f>IFERROR(__xludf.DUMMYFUNCTION("""COMPUTED_VALUE"""),33000.0)</f>
        <v>33000</v>
      </c>
      <c r="E2401" s="1">
        <f>IFERROR(__xludf.DUMMYFUNCTION("""COMPUTED_VALUE"""),33200.0)</f>
        <v>33200</v>
      </c>
      <c r="F2401" s="1">
        <f>IFERROR(__xludf.DUMMYFUNCTION("""COMPUTED_VALUE"""),86487.0)</f>
        <v>86487</v>
      </c>
    </row>
    <row r="2402">
      <c r="A2402" s="2">
        <f>IFERROR(__xludf.DUMMYFUNCTION("""COMPUTED_VALUE"""),44481.64583333333)</f>
        <v>44481.64583</v>
      </c>
      <c r="B2402" s="1">
        <f>IFERROR(__xludf.DUMMYFUNCTION("""COMPUTED_VALUE"""),32400.0)</f>
        <v>32400</v>
      </c>
      <c r="C2402" s="1">
        <f>IFERROR(__xludf.DUMMYFUNCTION("""COMPUTED_VALUE"""),33300.0)</f>
        <v>33300</v>
      </c>
      <c r="D2402" s="1">
        <f>IFERROR(__xludf.DUMMYFUNCTION("""COMPUTED_VALUE"""),32400.0)</f>
        <v>32400</v>
      </c>
      <c r="E2402" s="1">
        <f>IFERROR(__xludf.DUMMYFUNCTION("""COMPUTED_VALUE"""),33100.0)</f>
        <v>33100</v>
      </c>
      <c r="F2402" s="1">
        <f>IFERROR(__xludf.DUMMYFUNCTION("""COMPUTED_VALUE"""),27678.0)</f>
        <v>27678</v>
      </c>
    </row>
    <row r="2403">
      <c r="A2403" s="2">
        <f>IFERROR(__xludf.DUMMYFUNCTION("""COMPUTED_VALUE"""),44482.64583333333)</f>
        <v>44482.64583</v>
      </c>
      <c r="B2403" s="1">
        <f>IFERROR(__xludf.DUMMYFUNCTION("""COMPUTED_VALUE"""),32750.0)</f>
        <v>32750</v>
      </c>
      <c r="C2403" s="1">
        <f>IFERROR(__xludf.DUMMYFUNCTION("""COMPUTED_VALUE"""),34100.0)</f>
        <v>34100</v>
      </c>
      <c r="D2403" s="1">
        <f>IFERROR(__xludf.DUMMYFUNCTION("""COMPUTED_VALUE"""),32750.0)</f>
        <v>32750</v>
      </c>
      <c r="E2403" s="1">
        <f>IFERROR(__xludf.DUMMYFUNCTION("""COMPUTED_VALUE"""),33150.0)</f>
        <v>33150</v>
      </c>
      <c r="F2403" s="1">
        <f>IFERROR(__xludf.DUMMYFUNCTION("""COMPUTED_VALUE"""),32831.0)</f>
        <v>32831</v>
      </c>
    </row>
    <row r="2404">
      <c r="A2404" s="2">
        <f>IFERROR(__xludf.DUMMYFUNCTION("""COMPUTED_VALUE"""),44483.64583333333)</f>
        <v>44483.64583</v>
      </c>
      <c r="B2404" s="1">
        <f>IFERROR(__xludf.DUMMYFUNCTION("""COMPUTED_VALUE"""),33200.0)</f>
        <v>33200</v>
      </c>
      <c r="C2404" s="1">
        <f>IFERROR(__xludf.DUMMYFUNCTION("""COMPUTED_VALUE"""),34500.0)</f>
        <v>34500</v>
      </c>
      <c r="D2404" s="1">
        <f>IFERROR(__xludf.DUMMYFUNCTION("""COMPUTED_VALUE"""),33200.0)</f>
        <v>33200</v>
      </c>
      <c r="E2404" s="1">
        <f>IFERROR(__xludf.DUMMYFUNCTION("""COMPUTED_VALUE"""),34250.0)</f>
        <v>34250</v>
      </c>
      <c r="F2404" s="1">
        <f>IFERROR(__xludf.DUMMYFUNCTION("""COMPUTED_VALUE"""),61065.0)</f>
        <v>61065</v>
      </c>
    </row>
    <row r="2405">
      <c r="A2405" s="2">
        <f>IFERROR(__xludf.DUMMYFUNCTION("""COMPUTED_VALUE"""),44484.64583333333)</f>
        <v>44484.64583</v>
      </c>
      <c r="B2405" s="1">
        <f>IFERROR(__xludf.DUMMYFUNCTION("""COMPUTED_VALUE"""),34500.0)</f>
        <v>34500</v>
      </c>
      <c r="C2405" s="1">
        <f>IFERROR(__xludf.DUMMYFUNCTION("""COMPUTED_VALUE"""),35450.0)</f>
        <v>35450</v>
      </c>
      <c r="D2405" s="1">
        <f>IFERROR(__xludf.DUMMYFUNCTION("""COMPUTED_VALUE"""),34300.0)</f>
        <v>34300</v>
      </c>
      <c r="E2405" s="1">
        <f>IFERROR(__xludf.DUMMYFUNCTION("""COMPUTED_VALUE"""),34600.0)</f>
        <v>34600</v>
      </c>
      <c r="F2405" s="1">
        <f>IFERROR(__xludf.DUMMYFUNCTION("""COMPUTED_VALUE"""),47599.0)</f>
        <v>47599</v>
      </c>
    </row>
    <row r="2406">
      <c r="A2406" s="2">
        <f>IFERROR(__xludf.DUMMYFUNCTION("""COMPUTED_VALUE"""),44487.64583333333)</f>
        <v>44487.64583</v>
      </c>
      <c r="B2406" s="1">
        <f>IFERROR(__xludf.DUMMYFUNCTION("""COMPUTED_VALUE"""),34600.0)</f>
        <v>34600</v>
      </c>
      <c r="C2406" s="1">
        <f>IFERROR(__xludf.DUMMYFUNCTION("""COMPUTED_VALUE"""),35500.0)</f>
        <v>35500</v>
      </c>
      <c r="D2406" s="1">
        <f>IFERROR(__xludf.DUMMYFUNCTION("""COMPUTED_VALUE"""),34200.0)</f>
        <v>34200</v>
      </c>
      <c r="E2406" s="1">
        <f>IFERROR(__xludf.DUMMYFUNCTION("""COMPUTED_VALUE"""),35000.0)</f>
        <v>35000</v>
      </c>
      <c r="F2406" s="1">
        <f>IFERROR(__xludf.DUMMYFUNCTION("""COMPUTED_VALUE"""),41455.0)</f>
        <v>41455</v>
      </c>
    </row>
    <row r="2407">
      <c r="A2407" s="2">
        <f>IFERROR(__xludf.DUMMYFUNCTION("""COMPUTED_VALUE"""),44488.64583333333)</f>
        <v>44488.64583</v>
      </c>
      <c r="B2407" s="1">
        <f>IFERROR(__xludf.DUMMYFUNCTION("""COMPUTED_VALUE"""),35000.0)</f>
        <v>35000</v>
      </c>
      <c r="C2407" s="1">
        <f>IFERROR(__xludf.DUMMYFUNCTION("""COMPUTED_VALUE"""),35200.0)</f>
        <v>35200</v>
      </c>
      <c r="D2407" s="1">
        <f>IFERROR(__xludf.DUMMYFUNCTION("""COMPUTED_VALUE"""),34700.0)</f>
        <v>34700</v>
      </c>
      <c r="E2407" s="1">
        <f>IFERROR(__xludf.DUMMYFUNCTION("""COMPUTED_VALUE"""),35000.0)</f>
        <v>35000</v>
      </c>
      <c r="F2407" s="1">
        <f>IFERROR(__xludf.DUMMYFUNCTION("""COMPUTED_VALUE"""),30942.0)</f>
        <v>30942</v>
      </c>
    </row>
    <row r="2408">
      <c r="A2408" s="2">
        <f>IFERROR(__xludf.DUMMYFUNCTION("""COMPUTED_VALUE"""),44489.64583333333)</f>
        <v>44489.64583</v>
      </c>
      <c r="B2408" s="1">
        <f>IFERROR(__xludf.DUMMYFUNCTION("""COMPUTED_VALUE"""),35050.0)</f>
        <v>35050</v>
      </c>
      <c r="C2408" s="1">
        <f>IFERROR(__xludf.DUMMYFUNCTION("""COMPUTED_VALUE"""),36650.0)</f>
        <v>36650</v>
      </c>
      <c r="D2408" s="1">
        <f>IFERROR(__xludf.DUMMYFUNCTION("""COMPUTED_VALUE"""),35050.0)</f>
        <v>35050</v>
      </c>
      <c r="E2408" s="1">
        <f>IFERROR(__xludf.DUMMYFUNCTION("""COMPUTED_VALUE"""),35600.0)</f>
        <v>35600</v>
      </c>
      <c r="F2408" s="1">
        <f>IFERROR(__xludf.DUMMYFUNCTION("""COMPUTED_VALUE"""),112013.0)</f>
        <v>112013</v>
      </c>
    </row>
    <row r="2409">
      <c r="A2409" s="2">
        <f>IFERROR(__xludf.DUMMYFUNCTION("""COMPUTED_VALUE"""),44490.64583333333)</f>
        <v>44490.64583</v>
      </c>
      <c r="B2409" s="1">
        <f>IFERROR(__xludf.DUMMYFUNCTION("""COMPUTED_VALUE"""),35600.0)</f>
        <v>35600</v>
      </c>
      <c r="C2409" s="1">
        <f>IFERROR(__xludf.DUMMYFUNCTION("""COMPUTED_VALUE"""),36050.0)</f>
        <v>36050</v>
      </c>
      <c r="D2409" s="1">
        <f>IFERROR(__xludf.DUMMYFUNCTION("""COMPUTED_VALUE"""),35400.0)</f>
        <v>35400</v>
      </c>
      <c r="E2409" s="1">
        <f>IFERROR(__xludf.DUMMYFUNCTION("""COMPUTED_VALUE"""),35550.0)</f>
        <v>35550</v>
      </c>
      <c r="F2409" s="1">
        <f>IFERROR(__xludf.DUMMYFUNCTION("""COMPUTED_VALUE"""),40716.0)</f>
        <v>40716</v>
      </c>
    </row>
    <row r="2410">
      <c r="A2410" s="2">
        <f>IFERROR(__xludf.DUMMYFUNCTION("""COMPUTED_VALUE"""),44491.64583333333)</f>
        <v>44491.64583</v>
      </c>
      <c r="B2410" s="1">
        <f>IFERROR(__xludf.DUMMYFUNCTION("""COMPUTED_VALUE"""),35550.0)</f>
        <v>35550</v>
      </c>
      <c r="C2410" s="1">
        <f>IFERROR(__xludf.DUMMYFUNCTION("""COMPUTED_VALUE"""),35850.0)</f>
        <v>35850</v>
      </c>
      <c r="D2410" s="1">
        <f>IFERROR(__xludf.DUMMYFUNCTION("""COMPUTED_VALUE"""),35200.0)</f>
        <v>35200</v>
      </c>
      <c r="E2410" s="1">
        <f>IFERROR(__xludf.DUMMYFUNCTION("""COMPUTED_VALUE"""),35200.0)</f>
        <v>35200</v>
      </c>
      <c r="F2410" s="1">
        <f>IFERROR(__xludf.DUMMYFUNCTION("""COMPUTED_VALUE"""),32699.0)</f>
        <v>32699</v>
      </c>
    </row>
    <row r="2411">
      <c r="A2411" s="2">
        <f>IFERROR(__xludf.DUMMYFUNCTION("""COMPUTED_VALUE"""),44494.64583333333)</f>
        <v>44494.64583</v>
      </c>
      <c r="B2411" s="1">
        <f>IFERROR(__xludf.DUMMYFUNCTION("""COMPUTED_VALUE"""),35100.0)</f>
        <v>35100</v>
      </c>
      <c r="C2411" s="1">
        <f>IFERROR(__xludf.DUMMYFUNCTION("""COMPUTED_VALUE"""),36250.0)</f>
        <v>36250</v>
      </c>
      <c r="D2411" s="1">
        <f>IFERROR(__xludf.DUMMYFUNCTION("""COMPUTED_VALUE"""),34100.0)</f>
        <v>34100</v>
      </c>
      <c r="E2411" s="1">
        <f>IFERROR(__xludf.DUMMYFUNCTION("""COMPUTED_VALUE"""),34850.0)</f>
        <v>34850</v>
      </c>
      <c r="F2411" s="1">
        <f>IFERROR(__xludf.DUMMYFUNCTION("""COMPUTED_VALUE"""),36622.0)</f>
        <v>36622</v>
      </c>
    </row>
    <row r="2412">
      <c r="A2412" s="2">
        <f>IFERROR(__xludf.DUMMYFUNCTION("""COMPUTED_VALUE"""),44495.64583333333)</f>
        <v>44495.64583</v>
      </c>
      <c r="B2412" s="1">
        <f>IFERROR(__xludf.DUMMYFUNCTION("""COMPUTED_VALUE"""),35000.0)</f>
        <v>35000</v>
      </c>
      <c r="C2412" s="1">
        <f>IFERROR(__xludf.DUMMYFUNCTION("""COMPUTED_VALUE"""),38400.0)</f>
        <v>38400</v>
      </c>
      <c r="D2412" s="1">
        <f>IFERROR(__xludf.DUMMYFUNCTION("""COMPUTED_VALUE"""),34850.0)</f>
        <v>34850</v>
      </c>
      <c r="E2412" s="1">
        <f>IFERROR(__xludf.DUMMYFUNCTION("""COMPUTED_VALUE"""),35500.0)</f>
        <v>35500</v>
      </c>
      <c r="F2412" s="1">
        <f>IFERROR(__xludf.DUMMYFUNCTION("""COMPUTED_VALUE"""),514205.0)</f>
        <v>514205</v>
      </c>
    </row>
    <row r="2413">
      <c r="A2413" s="2">
        <f>IFERROR(__xludf.DUMMYFUNCTION("""COMPUTED_VALUE"""),44496.64583333333)</f>
        <v>44496.64583</v>
      </c>
      <c r="B2413" s="1">
        <f>IFERROR(__xludf.DUMMYFUNCTION("""COMPUTED_VALUE"""),35650.0)</f>
        <v>35650</v>
      </c>
      <c r="C2413" s="1">
        <f>IFERROR(__xludf.DUMMYFUNCTION("""COMPUTED_VALUE"""),35850.0)</f>
        <v>35850</v>
      </c>
      <c r="D2413" s="1">
        <f>IFERROR(__xludf.DUMMYFUNCTION("""COMPUTED_VALUE"""),35000.0)</f>
        <v>35000</v>
      </c>
      <c r="E2413" s="1">
        <f>IFERROR(__xludf.DUMMYFUNCTION("""COMPUTED_VALUE"""),35150.0)</f>
        <v>35150</v>
      </c>
      <c r="F2413" s="1">
        <f>IFERROR(__xludf.DUMMYFUNCTION("""COMPUTED_VALUE"""),62352.0)</f>
        <v>62352</v>
      </c>
    </row>
    <row r="2414">
      <c r="A2414" s="2">
        <f>IFERROR(__xludf.DUMMYFUNCTION("""COMPUTED_VALUE"""),44497.64583333333)</f>
        <v>44497.64583</v>
      </c>
      <c r="B2414" s="1">
        <f>IFERROR(__xludf.DUMMYFUNCTION("""COMPUTED_VALUE"""),35250.0)</f>
        <v>35250</v>
      </c>
      <c r="C2414" s="1">
        <f>IFERROR(__xludf.DUMMYFUNCTION("""COMPUTED_VALUE"""),35950.0)</f>
        <v>35950</v>
      </c>
      <c r="D2414" s="1">
        <f>IFERROR(__xludf.DUMMYFUNCTION("""COMPUTED_VALUE"""),35000.0)</f>
        <v>35000</v>
      </c>
      <c r="E2414" s="1">
        <f>IFERROR(__xludf.DUMMYFUNCTION("""COMPUTED_VALUE"""),35200.0)</f>
        <v>35200</v>
      </c>
      <c r="F2414" s="1">
        <f>IFERROR(__xludf.DUMMYFUNCTION("""COMPUTED_VALUE"""),48492.0)</f>
        <v>48492</v>
      </c>
    </row>
    <row r="2415">
      <c r="A2415" s="2">
        <f>IFERROR(__xludf.DUMMYFUNCTION("""COMPUTED_VALUE"""),44498.64583333333)</f>
        <v>44498.64583</v>
      </c>
      <c r="B2415" s="1">
        <f>IFERROR(__xludf.DUMMYFUNCTION("""COMPUTED_VALUE"""),35200.0)</f>
        <v>35200</v>
      </c>
      <c r="C2415" s="1">
        <f>IFERROR(__xludf.DUMMYFUNCTION("""COMPUTED_VALUE"""),35400.0)</f>
        <v>35400</v>
      </c>
      <c r="D2415" s="1">
        <f>IFERROR(__xludf.DUMMYFUNCTION("""COMPUTED_VALUE"""),34100.0)</f>
        <v>34100</v>
      </c>
      <c r="E2415" s="1">
        <f>IFERROR(__xludf.DUMMYFUNCTION("""COMPUTED_VALUE"""),34350.0)</f>
        <v>34350</v>
      </c>
      <c r="F2415" s="1">
        <f>IFERROR(__xludf.DUMMYFUNCTION("""COMPUTED_VALUE"""),41094.0)</f>
        <v>41094</v>
      </c>
    </row>
    <row r="2416">
      <c r="A2416" s="2">
        <f>IFERROR(__xludf.DUMMYFUNCTION("""COMPUTED_VALUE"""),44501.64583333333)</f>
        <v>44501.64583</v>
      </c>
      <c r="B2416" s="1">
        <f>IFERROR(__xludf.DUMMYFUNCTION("""COMPUTED_VALUE"""),34000.0)</f>
        <v>34000</v>
      </c>
      <c r="C2416" s="1">
        <f>IFERROR(__xludf.DUMMYFUNCTION("""COMPUTED_VALUE"""),34800.0)</f>
        <v>34800</v>
      </c>
      <c r="D2416" s="1">
        <f>IFERROR(__xludf.DUMMYFUNCTION("""COMPUTED_VALUE"""),33850.0)</f>
        <v>33850</v>
      </c>
      <c r="E2416" s="1">
        <f>IFERROR(__xludf.DUMMYFUNCTION("""COMPUTED_VALUE"""),34200.0)</f>
        <v>34200</v>
      </c>
      <c r="F2416" s="1">
        <f>IFERROR(__xludf.DUMMYFUNCTION("""COMPUTED_VALUE"""),36003.0)</f>
        <v>36003</v>
      </c>
    </row>
    <row r="2417">
      <c r="A2417" s="2">
        <f>IFERROR(__xludf.DUMMYFUNCTION("""COMPUTED_VALUE"""),44502.64583333333)</f>
        <v>44502.64583</v>
      </c>
      <c r="B2417" s="1">
        <f>IFERROR(__xludf.DUMMYFUNCTION("""COMPUTED_VALUE"""),34200.0)</f>
        <v>34200</v>
      </c>
      <c r="C2417" s="1">
        <f>IFERROR(__xludf.DUMMYFUNCTION("""COMPUTED_VALUE"""),34650.0)</f>
        <v>34650</v>
      </c>
      <c r="D2417" s="1">
        <f>IFERROR(__xludf.DUMMYFUNCTION("""COMPUTED_VALUE"""),34000.0)</f>
        <v>34000</v>
      </c>
      <c r="E2417" s="1">
        <f>IFERROR(__xludf.DUMMYFUNCTION("""COMPUTED_VALUE"""),34650.0)</f>
        <v>34650</v>
      </c>
      <c r="F2417" s="1">
        <f>IFERROR(__xludf.DUMMYFUNCTION("""COMPUTED_VALUE"""),29691.0)</f>
        <v>29691</v>
      </c>
    </row>
    <row r="2418">
      <c r="A2418" s="2">
        <f>IFERROR(__xludf.DUMMYFUNCTION("""COMPUTED_VALUE"""),44503.64583333333)</f>
        <v>44503.64583</v>
      </c>
      <c r="B2418" s="1">
        <f>IFERROR(__xludf.DUMMYFUNCTION("""COMPUTED_VALUE"""),34950.0)</f>
        <v>34950</v>
      </c>
      <c r="C2418" s="1">
        <f>IFERROR(__xludf.DUMMYFUNCTION("""COMPUTED_VALUE"""),34950.0)</f>
        <v>34950</v>
      </c>
      <c r="D2418" s="1">
        <f>IFERROR(__xludf.DUMMYFUNCTION("""COMPUTED_VALUE"""),33900.0)</f>
        <v>33900</v>
      </c>
      <c r="E2418" s="1">
        <f>IFERROR(__xludf.DUMMYFUNCTION("""COMPUTED_VALUE"""),34150.0)</f>
        <v>34150</v>
      </c>
      <c r="F2418" s="1">
        <f>IFERROR(__xludf.DUMMYFUNCTION("""COMPUTED_VALUE"""),33335.0)</f>
        <v>33335</v>
      </c>
    </row>
    <row r="2419">
      <c r="A2419" s="2">
        <f>IFERROR(__xludf.DUMMYFUNCTION("""COMPUTED_VALUE"""),44504.64583333333)</f>
        <v>44504.64583</v>
      </c>
      <c r="B2419" s="1">
        <f>IFERROR(__xludf.DUMMYFUNCTION("""COMPUTED_VALUE"""),34150.0)</f>
        <v>34150</v>
      </c>
      <c r="C2419" s="1">
        <f>IFERROR(__xludf.DUMMYFUNCTION("""COMPUTED_VALUE"""),34500.0)</f>
        <v>34500</v>
      </c>
      <c r="D2419" s="1">
        <f>IFERROR(__xludf.DUMMYFUNCTION("""COMPUTED_VALUE"""),33100.0)</f>
        <v>33100</v>
      </c>
      <c r="E2419" s="1">
        <f>IFERROR(__xludf.DUMMYFUNCTION("""COMPUTED_VALUE"""),33600.0)</f>
        <v>33600</v>
      </c>
      <c r="F2419" s="1">
        <f>IFERROR(__xludf.DUMMYFUNCTION("""COMPUTED_VALUE"""),38186.0)</f>
        <v>38186</v>
      </c>
    </row>
    <row r="2420">
      <c r="A2420" s="2">
        <f>IFERROR(__xludf.DUMMYFUNCTION("""COMPUTED_VALUE"""),44505.64583333333)</f>
        <v>44505.64583</v>
      </c>
      <c r="B2420" s="1">
        <f>IFERROR(__xludf.DUMMYFUNCTION("""COMPUTED_VALUE"""),33450.0)</f>
        <v>33450</v>
      </c>
      <c r="C2420" s="1">
        <f>IFERROR(__xludf.DUMMYFUNCTION("""COMPUTED_VALUE"""),34250.0)</f>
        <v>34250</v>
      </c>
      <c r="D2420" s="1">
        <f>IFERROR(__xludf.DUMMYFUNCTION("""COMPUTED_VALUE"""),33150.0)</f>
        <v>33150</v>
      </c>
      <c r="E2420" s="1">
        <f>IFERROR(__xludf.DUMMYFUNCTION("""COMPUTED_VALUE"""),33200.0)</f>
        <v>33200</v>
      </c>
      <c r="F2420" s="1">
        <f>IFERROR(__xludf.DUMMYFUNCTION("""COMPUTED_VALUE"""),34293.0)</f>
        <v>34293</v>
      </c>
    </row>
    <row r="2421">
      <c r="A2421" s="2">
        <f>IFERROR(__xludf.DUMMYFUNCTION("""COMPUTED_VALUE"""),44508.64583333333)</f>
        <v>44508.64583</v>
      </c>
      <c r="B2421" s="1">
        <f>IFERROR(__xludf.DUMMYFUNCTION("""COMPUTED_VALUE"""),33250.0)</f>
        <v>33250</v>
      </c>
      <c r="C2421" s="1">
        <f>IFERROR(__xludf.DUMMYFUNCTION("""COMPUTED_VALUE"""),33750.0)</f>
        <v>33750</v>
      </c>
      <c r="D2421" s="1">
        <f>IFERROR(__xludf.DUMMYFUNCTION("""COMPUTED_VALUE"""),33000.0)</f>
        <v>33000</v>
      </c>
      <c r="E2421" s="1">
        <f>IFERROR(__xludf.DUMMYFUNCTION("""COMPUTED_VALUE"""),33150.0)</f>
        <v>33150</v>
      </c>
      <c r="F2421" s="1">
        <f>IFERROR(__xludf.DUMMYFUNCTION("""COMPUTED_VALUE"""),42932.0)</f>
        <v>42932</v>
      </c>
    </row>
    <row r="2422">
      <c r="A2422" s="2">
        <f>IFERROR(__xludf.DUMMYFUNCTION("""COMPUTED_VALUE"""),44509.64583333333)</f>
        <v>44509.64583</v>
      </c>
      <c r="B2422" s="1">
        <f>IFERROR(__xludf.DUMMYFUNCTION("""COMPUTED_VALUE"""),35100.0)</f>
        <v>35100</v>
      </c>
      <c r="C2422" s="1">
        <f>IFERROR(__xludf.DUMMYFUNCTION("""COMPUTED_VALUE"""),35600.0)</f>
        <v>35600</v>
      </c>
      <c r="D2422" s="1">
        <f>IFERROR(__xludf.DUMMYFUNCTION("""COMPUTED_VALUE"""),33700.0)</f>
        <v>33700</v>
      </c>
      <c r="E2422" s="1">
        <f>IFERROR(__xludf.DUMMYFUNCTION("""COMPUTED_VALUE"""),33700.0)</f>
        <v>33700</v>
      </c>
      <c r="F2422" s="1">
        <f>IFERROR(__xludf.DUMMYFUNCTION("""COMPUTED_VALUE"""),139511.0)</f>
        <v>139511</v>
      </c>
    </row>
    <row r="2423">
      <c r="A2423" s="2">
        <f>IFERROR(__xludf.DUMMYFUNCTION("""COMPUTED_VALUE"""),44510.64583333333)</f>
        <v>44510.64583</v>
      </c>
      <c r="B2423" s="1">
        <f>IFERROR(__xludf.DUMMYFUNCTION("""COMPUTED_VALUE"""),33500.0)</f>
        <v>33500</v>
      </c>
      <c r="C2423" s="1">
        <f>IFERROR(__xludf.DUMMYFUNCTION("""COMPUTED_VALUE"""),39400.0)</f>
        <v>39400</v>
      </c>
      <c r="D2423" s="1">
        <f>IFERROR(__xludf.DUMMYFUNCTION("""COMPUTED_VALUE"""),33400.0)</f>
        <v>33400</v>
      </c>
      <c r="E2423" s="1">
        <f>IFERROR(__xludf.DUMMYFUNCTION("""COMPUTED_VALUE"""),37700.0)</f>
        <v>37700</v>
      </c>
      <c r="F2423" s="1">
        <f>IFERROR(__xludf.DUMMYFUNCTION("""COMPUTED_VALUE"""),2065442.0)</f>
        <v>2065442</v>
      </c>
    </row>
    <row r="2424">
      <c r="A2424" s="2">
        <f>IFERROR(__xludf.DUMMYFUNCTION("""COMPUTED_VALUE"""),44511.64583333333)</f>
        <v>44511.64583</v>
      </c>
      <c r="B2424" s="1">
        <f>IFERROR(__xludf.DUMMYFUNCTION("""COMPUTED_VALUE"""),37000.0)</f>
        <v>37000</v>
      </c>
      <c r="C2424" s="1">
        <f>IFERROR(__xludf.DUMMYFUNCTION("""COMPUTED_VALUE"""),38550.0)</f>
        <v>38550</v>
      </c>
      <c r="D2424" s="1">
        <f>IFERROR(__xludf.DUMMYFUNCTION("""COMPUTED_VALUE"""),36500.0)</f>
        <v>36500</v>
      </c>
      <c r="E2424" s="1">
        <f>IFERROR(__xludf.DUMMYFUNCTION("""COMPUTED_VALUE"""),38100.0)</f>
        <v>38100</v>
      </c>
      <c r="F2424" s="1">
        <f>IFERROR(__xludf.DUMMYFUNCTION("""COMPUTED_VALUE"""),489676.0)</f>
        <v>489676</v>
      </c>
    </row>
    <row r="2425">
      <c r="A2425" s="2">
        <f>IFERROR(__xludf.DUMMYFUNCTION("""COMPUTED_VALUE"""),44512.64583333333)</f>
        <v>44512.64583</v>
      </c>
      <c r="B2425" s="1">
        <f>IFERROR(__xludf.DUMMYFUNCTION("""COMPUTED_VALUE"""),38500.0)</f>
        <v>38500</v>
      </c>
      <c r="C2425" s="1">
        <f>IFERROR(__xludf.DUMMYFUNCTION("""COMPUTED_VALUE"""),38900.0)</f>
        <v>38900</v>
      </c>
      <c r="D2425" s="1">
        <f>IFERROR(__xludf.DUMMYFUNCTION("""COMPUTED_VALUE"""),36750.0)</f>
        <v>36750</v>
      </c>
      <c r="E2425" s="1">
        <f>IFERROR(__xludf.DUMMYFUNCTION("""COMPUTED_VALUE"""),36950.0)</f>
        <v>36950</v>
      </c>
      <c r="F2425" s="1">
        <f>IFERROR(__xludf.DUMMYFUNCTION("""COMPUTED_VALUE"""),220705.0)</f>
        <v>220705</v>
      </c>
    </row>
    <row r="2426">
      <c r="A2426" s="2">
        <f>IFERROR(__xludf.DUMMYFUNCTION("""COMPUTED_VALUE"""),44515.64583333333)</f>
        <v>44515.64583</v>
      </c>
      <c r="B2426" s="1">
        <f>IFERROR(__xludf.DUMMYFUNCTION("""COMPUTED_VALUE"""),37200.0)</f>
        <v>37200</v>
      </c>
      <c r="C2426" s="1">
        <f>IFERROR(__xludf.DUMMYFUNCTION("""COMPUTED_VALUE"""),37650.0)</f>
        <v>37650</v>
      </c>
      <c r="D2426" s="1">
        <f>IFERROR(__xludf.DUMMYFUNCTION("""COMPUTED_VALUE"""),36450.0)</f>
        <v>36450</v>
      </c>
      <c r="E2426" s="1">
        <f>IFERROR(__xludf.DUMMYFUNCTION("""COMPUTED_VALUE"""),36800.0)</f>
        <v>36800</v>
      </c>
      <c r="F2426" s="1">
        <f>IFERROR(__xludf.DUMMYFUNCTION("""COMPUTED_VALUE"""),99727.0)</f>
        <v>99727</v>
      </c>
    </row>
    <row r="2427">
      <c r="A2427" s="2">
        <f>IFERROR(__xludf.DUMMYFUNCTION("""COMPUTED_VALUE"""),44516.64583333333)</f>
        <v>44516.64583</v>
      </c>
      <c r="B2427" s="1">
        <f>IFERROR(__xludf.DUMMYFUNCTION("""COMPUTED_VALUE"""),39850.0)</f>
        <v>39850</v>
      </c>
      <c r="C2427" s="1">
        <f>IFERROR(__xludf.DUMMYFUNCTION("""COMPUTED_VALUE"""),40800.0)</f>
        <v>40800</v>
      </c>
      <c r="D2427" s="1">
        <f>IFERROR(__xludf.DUMMYFUNCTION("""COMPUTED_VALUE"""),36300.0)</f>
        <v>36300</v>
      </c>
      <c r="E2427" s="1">
        <f>IFERROR(__xludf.DUMMYFUNCTION("""COMPUTED_VALUE"""),36600.0)</f>
        <v>36600</v>
      </c>
      <c r="F2427" s="1">
        <f>IFERROR(__xludf.DUMMYFUNCTION("""COMPUTED_VALUE"""),683162.0)</f>
        <v>683162</v>
      </c>
    </row>
    <row r="2428">
      <c r="A2428" s="2">
        <f>IFERROR(__xludf.DUMMYFUNCTION("""COMPUTED_VALUE"""),44517.64583333333)</f>
        <v>44517.64583</v>
      </c>
      <c r="B2428" s="1">
        <f>IFERROR(__xludf.DUMMYFUNCTION("""COMPUTED_VALUE"""),37200.0)</f>
        <v>37200</v>
      </c>
      <c r="C2428" s="1">
        <f>IFERROR(__xludf.DUMMYFUNCTION("""COMPUTED_VALUE"""),39200.0)</f>
        <v>39200</v>
      </c>
      <c r="D2428" s="1">
        <f>IFERROR(__xludf.DUMMYFUNCTION("""COMPUTED_VALUE"""),36650.0)</f>
        <v>36650</v>
      </c>
      <c r="E2428" s="1">
        <f>IFERROR(__xludf.DUMMYFUNCTION("""COMPUTED_VALUE"""),38750.0)</f>
        <v>38750</v>
      </c>
      <c r="F2428" s="1">
        <f>IFERROR(__xludf.DUMMYFUNCTION("""COMPUTED_VALUE"""),494063.0)</f>
        <v>494063</v>
      </c>
    </row>
    <row r="2429">
      <c r="A2429" s="2">
        <f>IFERROR(__xludf.DUMMYFUNCTION("""COMPUTED_VALUE"""),44518.64583333333)</f>
        <v>44518.64583</v>
      </c>
      <c r="B2429" s="1">
        <f>IFERROR(__xludf.DUMMYFUNCTION("""COMPUTED_VALUE"""),39750.0)</f>
        <v>39750</v>
      </c>
      <c r="C2429" s="1">
        <f>IFERROR(__xludf.DUMMYFUNCTION("""COMPUTED_VALUE"""),40350.0)</f>
        <v>40350</v>
      </c>
      <c r="D2429" s="1">
        <f>IFERROR(__xludf.DUMMYFUNCTION("""COMPUTED_VALUE"""),38150.0)</f>
        <v>38150</v>
      </c>
      <c r="E2429" s="1">
        <f>IFERROR(__xludf.DUMMYFUNCTION("""COMPUTED_VALUE"""),39000.0)</f>
        <v>39000</v>
      </c>
      <c r="F2429" s="1">
        <f>IFERROR(__xludf.DUMMYFUNCTION("""COMPUTED_VALUE"""),509142.0)</f>
        <v>509142</v>
      </c>
    </row>
    <row r="2430">
      <c r="A2430" s="2">
        <f>IFERROR(__xludf.DUMMYFUNCTION("""COMPUTED_VALUE"""),44519.64583333333)</f>
        <v>44519.64583</v>
      </c>
      <c r="B2430" s="1">
        <f>IFERROR(__xludf.DUMMYFUNCTION("""COMPUTED_VALUE"""),38550.0)</f>
        <v>38550</v>
      </c>
      <c r="C2430" s="1">
        <f>IFERROR(__xludf.DUMMYFUNCTION("""COMPUTED_VALUE"""),39550.0)</f>
        <v>39550</v>
      </c>
      <c r="D2430" s="1">
        <f>IFERROR(__xludf.DUMMYFUNCTION("""COMPUTED_VALUE"""),38200.0)</f>
        <v>38200</v>
      </c>
      <c r="E2430" s="1">
        <f>IFERROR(__xludf.DUMMYFUNCTION("""COMPUTED_VALUE"""),38250.0)</f>
        <v>38250</v>
      </c>
      <c r="F2430" s="1">
        <f>IFERROR(__xludf.DUMMYFUNCTION("""COMPUTED_VALUE"""),127554.0)</f>
        <v>127554</v>
      </c>
    </row>
    <row r="2431">
      <c r="A2431" s="2">
        <f>IFERROR(__xludf.DUMMYFUNCTION("""COMPUTED_VALUE"""),44522.64583333333)</f>
        <v>44522.64583</v>
      </c>
      <c r="B2431" s="1">
        <f>IFERROR(__xludf.DUMMYFUNCTION("""COMPUTED_VALUE"""),38550.0)</f>
        <v>38550</v>
      </c>
      <c r="C2431" s="1">
        <f>IFERROR(__xludf.DUMMYFUNCTION("""COMPUTED_VALUE"""),38550.0)</f>
        <v>38550</v>
      </c>
      <c r="D2431" s="1">
        <f>IFERROR(__xludf.DUMMYFUNCTION("""COMPUTED_VALUE"""),36300.0)</f>
        <v>36300</v>
      </c>
      <c r="E2431" s="1">
        <f>IFERROR(__xludf.DUMMYFUNCTION("""COMPUTED_VALUE"""),36500.0)</f>
        <v>36500</v>
      </c>
      <c r="F2431" s="1">
        <f>IFERROR(__xludf.DUMMYFUNCTION("""COMPUTED_VALUE"""),152689.0)</f>
        <v>152689</v>
      </c>
    </row>
    <row r="2432">
      <c r="A2432" s="2">
        <f>IFERROR(__xludf.DUMMYFUNCTION("""COMPUTED_VALUE"""),44523.64583333333)</f>
        <v>44523.64583</v>
      </c>
      <c r="B2432" s="1">
        <f>IFERROR(__xludf.DUMMYFUNCTION("""COMPUTED_VALUE"""),36100.0)</f>
        <v>36100</v>
      </c>
      <c r="C2432" s="1">
        <f>IFERROR(__xludf.DUMMYFUNCTION("""COMPUTED_VALUE"""),36750.0)</f>
        <v>36750</v>
      </c>
      <c r="D2432" s="1">
        <f>IFERROR(__xludf.DUMMYFUNCTION("""COMPUTED_VALUE"""),34900.0)</f>
        <v>34900</v>
      </c>
      <c r="E2432" s="1">
        <f>IFERROR(__xludf.DUMMYFUNCTION("""COMPUTED_VALUE"""),35000.0)</f>
        <v>35000</v>
      </c>
      <c r="F2432" s="1">
        <f>IFERROR(__xludf.DUMMYFUNCTION("""COMPUTED_VALUE"""),103277.0)</f>
        <v>103277</v>
      </c>
    </row>
    <row r="2433">
      <c r="A2433" s="2">
        <f>IFERROR(__xludf.DUMMYFUNCTION("""COMPUTED_VALUE"""),44524.64583333333)</f>
        <v>44524.64583</v>
      </c>
      <c r="B2433" s="1">
        <f>IFERROR(__xludf.DUMMYFUNCTION("""COMPUTED_VALUE"""),35000.0)</f>
        <v>35000</v>
      </c>
      <c r="C2433" s="1">
        <f>IFERROR(__xludf.DUMMYFUNCTION("""COMPUTED_VALUE"""),36050.0)</f>
        <v>36050</v>
      </c>
      <c r="D2433" s="1">
        <f>IFERROR(__xludf.DUMMYFUNCTION("""COMPUTED_VALUE"""),34700.0)</f>
        <v>34700</v>
      </c>
      <c r="E2433" s="1">
        <f>IFERROR(__xludf.DUMMYFUNCTION("""COMPUTED_VALUE"""),35500.0)</f>
        <v>35500</v>
      </c>
      <c r="F2433" s="1">
        <f>IFERROR(__xludf.DUMMYFUNCTION("""COMPUTED_VALUE"""),59260.0)</f>
        <v>59260</v>
      </c>
    </row>
    <row r="2434">
      <c r="A2434" s="2">
        <f>IFERROR(__xludf.DUMMYFUNCTION("""COMPUTED_VALUE"""),44525.64583333333)</f>
        <v>44525.64583</v>
      </c>
      <c r="B2434" s="1">
        <f>IFERROR(__xludf.DUMMYFUNCTION("""COMPUTED_VALUE"""),35550.0)</f>
        <v>35550</v>
      </c>
      <c r="C2434" s="1">
        <f>IFERROR(__xludf.DUMMYFUNCTION("""COMPUTED_VALUE"""),36900.0)</f>
        <v>36900</v>
      </c>
      <c r="D2434" s="1">
        <f>IFERROR(__xludf.DUMMYFUNCTION("""COMPUTED_VALUE"""),35050.0)</f>
        <v>35050</v>
      </c>
      <c r="E2434" s="1">
        <f>IFERROR(__xludf.DUMMYFUNCTION("""COMPUTED_VALUE"""),36000.0)</f>
        <v>36000</v>
      </c>
      <c r="F2434" s="1">
        <f>IFERROR(__xludf.DUMMYFUNCTION("""COMPUTED_VALUE"""),75844.0)</f>
        <v>75844</v>
      </c>
    </row>
    <row r="2435">
      <c r="A2435" s="2">
        <f>IFERROR(__xludf.DUMMYFUNCTION("""COMPUTED_VALUE"""),44526.64583333333)</f>
        <v>44526.64583</v>
      </c>
      <c r="B2435" s="1">
        <f>IFERROR(__xludf.DUMMYFUNCTION("""COMPUTED_VALUE"""),36050.0)</f>
        <v>36050</v>
      </c>
      <c r="C2435" s="1">
        <f>IFERROR(__xludf.DUMMYFUNCTION("""COMPUTED_VALUE"""),36300.0)</f>
        <v>36300</v>
      </c>
      <c r="D2435" s="1">
        <f>IFERROR(__xludf.DUMMYFUNCTION("""COMPUTED_VALUE"""),34450.0)</f>
        <v>34450</v>
      </c>
      <c r="E2435" s="1">
        <f>IFERROR(__xludf.DUMMYFUNCTION("""COMPUTED_VALUE"""),34600.0)</f>
        <v>34600</v>
      </c>
      <c r="F2435" s="1">
        <f>IFERROR(__xludf.DUMMYFUNCTION("""COMPUTED_VALUE"""),81154.0)</f>
        <v>81154</v>
      </c>
    </row>
    <row r="2436">
      <c r="A2436" s="2">
        <f>IFERROR(__xludf.DUMMYFUNCTION("""COMPUTED_VALUE"""),44529.64583333333)</f>
        <v>44529.64583</v>
      </c>
      <c r="B2436" s="1">
        <f>IFERROR(__xludf.DUMMYFUNCTION("""COMPUTED_VALUE"""),33250.0)</f>
        <v>33250</v>
      </c>
      <c r="C2436" s="1">
        <f>IFERROR(__xludf.DUMMYFUNCTION("""COMPUTED_VALUE"""),34950.0)</f>
        <v>34950</v>
      </c>
      <c r="D2436" s="1">
        <f>IFERROR(__xludf.DUMMYFUNCTION("""COMPUTED_VALUE"""),33200.0)</f>
        <v>33200</v>
      </c>
      <c r="E2436" s="1">
        <f>IFERROR(__xludf.DUMMYFUNCTION("""COMPUTED_VALUE"""),33850.0)</f>
        <v>33850</v>
      </c>
      <c r="F2436" s="1">
        <f>IFERROR(__xludf.DUMMYFUNCTION("""COMPUTED_VALUE"""),158947.0)</f>
        <v>158947</v>
      </c>
    </row>
    <row r="2437">
      <c r="A2437" s="2">
        <f>IFERROR(__xludf.DUMMYFUNCTION("""COMPUTED_VALUE"""),44530.64583333333)</f>
        <v>44530.64583</v>
      </c>
      <c r="B2437" s="1">
        <f>IFERROR(__xludf.DUMMYFUNCTION("""COMPUTED_VALUE"""),34400.0)</f>
        <v>34400</v>
      </c>
      <c r="C2437" s="1">
        <f>IFERROR(__xludf.DUMMYFUNCTION("""COMPUTED_VALUE"""),34600.0)</f>
        <v>34600</v>
      </c>
      <c r="D2437" s="1">
        <f>IFERROR(__xludf.DUMMYFUNCTION("""COMPUTED_VALUE"""),31600.0)</f>
        <v>31600</v>
      </c>
      <c r="E2437" s="1">
        <f>IFERROR(__xludf.DUMMYFUNCTION("""COMPUTED_VALUE"""),31750.0)</f>
        <v>31750</v>
      </c>
      <c r="F2437" s="1">
        <f>IFERROR(__xludf.DUMMYFUNCTION("""COMPUTED_VALUE"""),187783.0)</f>
        <v>187783</v>
      </c>
    </row>
    <row r="2438">
      <c r="A2438" s="2">
        <f>IFERROR(__xludf.DUMMYFUNCTION("""COMPUTED_VALUE"""),44531.64583333333)</f>
        <v>44531.64583</v>
      </c>
      <c r="B2438" s="1">
        <f>IFERROR(__xludf.DUMMYFUNCTION("""COMPUTED_VALUE"""),31750.0)</f>
        <v>31750</v>
      </c>
      <c r="C2438" s="1">
        <f>IFERROR(__xludf.DUMMYFUNCTION("""COMPUTED_VALUE"""),33950.0)</f>
        <v>33950</v>
      </c>
      <c r="D2438" s="1">
        <f>IFERROR(__xludf.DUMMYFUNCTION("""COMPUTED_VALUE"""),31500.0)</f>
        <v>31500</v>
      </c>
      <c r="E2438" s="1">
        <f>IFERROR(__xludf.DUMMYFUNCTION("""COMPUTED_VALUE"""),33950.0)</f>
        <v>33950</v>
      </c>
      <c r="F2438" s="1">
        <f>IFERROR(__xludf.DUMMYFUNCTION("""COMPUTED_VALUE"""),125583.0)</f>
        <v>125583</v>
      </c>
    </row>
    <row r="2439">
      <c r="A2439" s="2">
        <f>IFERROR(__xludf.DUMMYFUNCTION("""COMPUTED_VALUE"""),44532.64583333333)</f>
        <v>44532.64583</v>
      </c>
      <c r="B2439" s="1">
        <f>IFERROR(__xludf.DUMMYFUNCTION("""COMPUTED_VALUE"""),33300.0)</f>
        <v>33300</v>
      </c>
      <c r="C2439" s="1">
        <f>IFERROR(__xludf.DUMMYFUNCTION("""COMPUTED_VALUE"""),36250.0)</f>
        <v>36250</v>
      </c>
      <c r="D2439" s="1">
        <f>IFERROR(__xludf.DUMMYFUNCTION("""COMPUTED_VALUE"""),33050.0)</f>
        <v>33050</v>
      </c>
      <c r="E2439" s="1">
        <f>IFERROR(__xludf.DUMMYFUNCTION("""COMPUTED_VALUE"""),36000.0)</f>
        <v>36000</v>
      </c>
      <c r="F2439" s="1">
        <f>IFERROR(__xludf.DUMMYFUNCTION("""COMPUTED_VALUE"""),271673.0)</f>
        <v>271673</v>
      </c>
    </row>
    <row r="2440">
      <c r="A2440" s="2">
        <f>IFERROR(__xludf.DUMMYFUNCTION("""COMPUTED_VALUE"""),44533.64583333333)</f>
        <v>44533.64583</v>
      </c>
      <c r="B2440" s="1">
        <f>IFERROR(__xludf.DUMMYFUNCTION("""COMPUTED_VALUE"""),35700.0)</f>
        <v>35700</v>
      </c>
      <c r="C2440" s="1">
        <f>IFERROR(__xludf.DUMMYFUNCTION("""COMPUTED_VALUE"""),36400.0)</f>
        <v>36400</v>
      </c>
      <c r="D2440" s="1">
        <f>IFERROR(__xludf.DUMMYFUNCTION("""COMPUTED_VALUE"""),34600.0)</f>
        <v>34600</v>
      </c>
      <c r="E2440" s="1">
        <f>IFERROR(__xludf.DUMMYFUNCTION("""COMPUTED_VALUE"""),34950.0)</f>
        <v>34950</v>
      </c>
      <c r="F2440" s="1">
        <f>IFERROR(__xludf.DUMMYFUNCTION("""COMPUTED_VALUE"""),151572.0)</f>
        <v>151572</v>
      </c>
    </row>
    <row r="2441">
      <c r="A2441" s="2">
        <f>IFERROR(__xludf.DUMMYFUNCTION("""COMPUTED_VALUE"""),44536.64583333333)</f>
        <v>44536.64583</v>
      </c>
      <c r="B2441" s="1">
        <f>IFERROR(__xludf.DUMMYFUNCTION("""COMPUTED_VALUE"""),33700.0)</f>
        <v>33700</v>
      </c>
      <c r="C2441" s="1">
        <f>IFERROR(__xludf.DUMMYFUNCTION("""COMPUTED_VALUE"""),34150.0)</f>
        <v>34150</v>
      </c>
      <c r="D2441" s="1">
        <f>IFERROR(__xludf.DUMMYFUNCTION("""COMPUTED_VALUE"""),33100.0)</f>
        <v>33100</v>
      </c>
      <c r="E2441" s="1">
        <f>IFERROR(__xludf.DUMMYFUNCTION("""COMPUTED_VALUE"""),33750.0)</f>
        <v>33750</v>
      </c>
      <c r="F2441" s="1">
        <f>IFERROR(__xludf.DUMMYFUNCTION("""COMPUTED_VALUE"""),109352.0)</f>
        <v>109352</v>
      </c>
    </row>
    <row r="2442">
      <c r="A2442" s="2">
        <f>IFERROR(__xludf.DUMMYFUNCTION("""COMPUTED_VALUE"""),44537.64583333333)</f>
        <v>44537.64583</v>
      </c>
      <c r="B2442" s="1">
        <f>IFERROR(__xludf.DUMMYFUNCTION("""COMPUTED_VALUE"""),34000.0)</f>
        <v>34000</v>
      </c>
      <c r="C2442" s="1">
        <f>IFERROR(__xludf.DUMMYFUNCTION("""COMPUTED_VALUE"""),35300.0)</f>
        <v>35300</v>
      </c>
      <c r="D2442" s="1">
        <f>IFERROR(__xludf.DUMMYFUNCTION("""COMPUTED_VALUE"""),33400.0)</f>
        <v>33400</v>
      </c>
      <c r="E2442" s="1">
        <f>IFERROR(__xludf.DUMMYFUNCTION("""COMPUTED_VALUE"""),34000.0)</f>
        <v>34000</v>
      </c>
      <c r="F2442" s="1">
        <f>IFERROR(__xludf.DUMMYFUNCTION("""COMPUTED_VALUE"""),103194.0)</f>
        <v>103194</v>
      </c>
    </row>
    <row r="2443">
      <c r="A2443" s="2">
        <f>IFERROR(__xludf.DUMMYFUNCTION("""COMPUTED_VALUE"""),44538.64583333333)</f>
        <v>44538.64583</v>
      </c>
      <c r="B2443" s="1">
        <f>IFERROR(__xludf.DUMMYFUNCTION("""COMPUTED_VALUE"""),34000.0)</f>
        <v>34000</v>
      </c>
      <c r="C2443" s="1">
        <f>IFERROR(__xludf.DUMMYFUNCTION("""COMPUTED_VALUE"""),34350.0)</f>
        <v>34350</v>
      </c>
      <c r="D2443" s="1">
        <f>IFERROR(__xludf.DUMMYFUNCTION("""COMPUTED_VALUE"""),33700.0)</f>
        <v>33700</v>
      </c>
      <c r="E2443" s="1">
        <f>IFERROR(__xludf.DUMMYFUNCTION("""COMPUTED_VALUE"""),33750.0)</f>
        <v>33750</v>
      </c>
      <c r="F2443" s="1">
        <f>IFERROR(__xludf.DUMMYFUNCTION("""COMPUTED_VALUE"""),75057.0)</f>
        <v>75057</v>
      </c>
    </row>
    <row r="2444">
      <c r="A2444" s="2">
        <f>IFERROR(__xludf.DUMMYFUNCTION("""COMPUTED_VALUE"""),44539.64583333333)</f>
        <v>44539.64583</v>
      </c>
      <c r="B2444" s="1">
        <f>IFERROR(__xludf.DUMMYFUNCTION("""COMPUTED_VALUE"""),34950.0)</f>
        <v>34950</v>
      </c>
      <c r="C2444" s="1">
        <f>IFERROR(__xludf.DUMMYFUNCTION("""COMPUTED_VALUE"""),34950.0)</f>
        <v>34950</v>
      </c>
      <c r="D2444" s="1">
        <f>IFERROR(__xludf.DUMMYFUNCTION("""COMPUTED_VALUE"""),34100.0)</f>
        <v>34100</v>
      </c>
      <c r="E2444" s="1">
        <f>IFERROR(__xludf.DUMMYFUNCTION("""COMPUTED_VALUE"""),34150.0)</f>
        <v>34150</v>
      </c>
      <c r="F2444" s="1">
        <f>IFERROR(__xludf.DUMMYFUNCTION("""COMPUTED_VALUE"""),72638.0)</f>
        <v>72638</v>
      </c>
    </row>
    <row r="2445">
      <c r="A2445" s="2">
        <f>IFERROR(__xludf.DUMMYFUNCTION("""COMPUTED_VALUE"""),44540.64583333333)</f>
        <v>44540.64583</v>
      </c>
      <c r="B2445" s="1">
        <f>IFERROR(__xludf.DUMMYFUNCTION("""COMPUTED_VALUE"""),33700.0)</f>
        <v>33700</v>
      </c>
      <c r="C2445" s="1">
        <f>IFERROR(__xludf.DUMMYFUNCTION("""COMPUTED_VALUE"""),34850.0)</f>
        <v>34850</v>
      </c>
      <c r="D2445" s="1">
        <f>IFERROR(__xludf.DUMMYFUNCTION("""COMPUTED_VALUE"""),33650.0)</f>
        <v>33650</v>
      </c>
      <c r="E2445" s="1">
        <f>IFERROR(__xludf.DUMMYFUNCTION("""COMPUTED_VALUE"""),34550.0)</f>
        <v>34550</v>
      </c>
      <c r="F2445" s="1">
        <f>IFERROR(__xludf.DUMMYFUNCTION("""COMPUTED_VALUE"""),66789.0)</f>
        <v>66789</v>
      </c>
    </row>
    <row r="2446">
      <c r="A2446" s="2">
        <f>IFERROR(__xludf.DUMMYFUNCTION("""COMPUTED_VALUE"""),44543.64583333333)</f>
        <v>44543.64583</v>
      </c>
      <c r="B2446" s="1">
        <f>IFERROR(__xludf.DUMMYFUNCTION("""COMPUTED_VALUE"""),34550.0)</f>
        <v>34550</v>
      </c>
      <c r="C2446" s="1">
        <f>IFERROR(__xludf.DUMMYFUNCTION("""COMPUTED_VALUE"""),34800.0)</f>
        <v>34800</v>
      </c>
      <c r="D2446" s="1">
        <f>IFERROR(__xludf.DUMMYFUNCTION("""COMPUTED_VALUE"""),34300.0)</f>
        <v>34300</v>
      </c>
      <c r="E2446" s="1">
        <f>IFERROR(__xludf.DUMMYFUNCTION("""COMPUTED_VALUE"""),34400.0)</f>
        <v>34400</v>
      </c>
      <c r="F2446" s="1">
        <f>IFERROR(__xludf.DUMMYFUNCTION("""COMPUTED_VALUE"""),29666.0)</f>
        <v>29666</v>
      </c>
    </row>
    <row r="2447">
      <c r="A2447" s="2">
        <f>IFERROR(__xludf.DUMMYFUNCTION("""COMPUTED_VALUE"""),44544.64583333333)</f>
        <v>44544.64583</v>
      </c>
      <c r="B2447" s="1">
        <f>IFERROR(__xludf.DUMMYFUNCTION("""COMPUTED_VALUE"""),34700.0)</f>
        <v>34700</v>
      </c>
      <c r="C2447" s="1">
        <f>IFERROR(__xludf.DUMMYFUNCTION("""COMPUTED_VALUE"""),34700.0)</f>
        <v>34700</v>
      </c>
      <c r="D2447" s="1">
        <f>IFERROR(__xludf.DUMMYFUNCTION("""COMPUTED_VALUE"""),33800.0)</f>
        <v>33800</v>
      </c>
      <c r="E2447" s="1">
        <f>IFERROR(__xludf.DUMMYFUNCTION("""COMPUTED_VALUE"""),33800.0)</f>
        <v>33800</v>
      </c>
      <c r="F2447" s="1">
        <f>IFERROR(__xludf.DUMMYFUNCTION("""COMPUTED_VALUE"""),36288.0)</f>
        <v>36288</v>
      </c>
    </row>
    <row r="2448">
      <c r="A2448" s="2">
        <f>IFERROR(__xludf.DUMMYFUNCTION("""COMPUTED_VALUE"""),44545.64583333333)</f>
        <v>44545.64583</v>
      </c>
      <c r="B2448" s="1">
        <f>IFERROR(__xludf.DUMMYFUNCTION("""COMPUTED_VALUE"""),34050.0)</f>
        <v>34050</v>
      </c>
      <c r="C2448" s="1">
        <f>IFERROR(__xludf.DUMMYFUNCTION("""COMPUTED_VALUE"""),34100.0)</f>
        <v>34100</v>
      </c>
      <c r="D2448" s="1">
        <f>IFERROR(__xludf.DUMMYFUNCTION("""COMPUTED_VALUE"""),33050.0)</f>
        <v>33050</v>
      </c>
      <c r="E2448" s="1">
        <f>IFERROR(__xludf.DUMMYFUNCTION("""COMPUTED_VALUE"""),33350.0)</f>
        <v>33350</v>
      </c>
      <c r="F2448" s="1">
        <f>IFERROR(__xludf.DUMMYFUNCTION("""COMPUTED_VALUE"""),45492.0)</f>
        <v>45492</v>
      </c>
    </row>
    <row r="2449">
      <c r="A2449" s="2">
        <f>IFERROR(__xludf.DUMMYFUNCTION("""COMPUTED_VALUE"""),44546.64583333333)</f>
        <v>44546.64583</v>
      </c>
      <c r="B2449" s="1">
        <f>IFERROR(__xludf.DUMMYFUNCTION("""COMPUTED_VALUE"""),34000.0)</f>
        <v>34000</v>
      </c>
      <c r="C2449" s="1">
        <f>IFERROR(__xludf.DUMMYFUNCTION("""COMPUTED_VALUE"""),35850.0)</f>
        <v>35850</v>
      </c>
      <c r="D2449" s="1">
        <f>IFERROR(__xludf.DUMMYFUNCTION("""COMPUTED_VALUE"""),33900.0)</f>
        <v>33900</v>
      </c>
      <c r="E2449" s="1">
        <f>IFERROR(__xludf.DUMMYFUNCTION("""COMPUTED_VALUE"""),33900.0)</f>
        <v>33900</v>
      </c>
      <c r="F2449" s="1">
        <f>IFERROR(__xludf.DUMMYFUNCTION("""COMPUTED_VALUE"""),291223.0)</f>
        <v>291223</v>
      </c>
    </row>
    <row r="2450">
      <c r="A2450" s="2">
        <f>IFERROR(__xludf.DUMMYFUNCTION("""COMPUTED_VALUE"""),44547.64583333333)</f>
        <v>44547.64583</v>
      </c>
      <c r="B2450" s="1">
        <f>IFERROR(__xludf.DUMMYFUNCTION("""COMPUTED_VALUE"""),33600.0)</f>
        <v>33600</v>
      </c>
      <c r="C2450" s="1">
        <f>IFERROR(__xludf.DUMMYFUNCTION("""COMPUTED_VALUE"""),34200.0)</f>
        <v>34200</v>
      </c>
      <c r="D2450" s="1">
        <f>IFERROR(__xludf.DUMMYFUNCTION("""COMPUTED_VALUE"""),33500.0)</f>
        <v>33500</v>
      </c>
      <c r="E2450" s="1">
        <f>IFERROR(__xludf.DUMMYFUNCTION("""COMPUTED_VALUE"""),33900.0)</f>
        <v>33900</v>
      </c>
      <c r="F2450" s="1">
        <f>IFERROR(__xludf.DUMMYFUNCTION("""COMPUTED_VALUE"""),29456.0)</f>
        <v>29456</v>
      </c>
    </row>
    <row r="2451">
      <c r="A2451" s="2">
        <f>IFERROR(__xludf.DUMMYFUNCTION("""COMPUTED_VALUE"""),44550.64583333333)</f>
        <v>44550.64583</v>
      </c>
      <c r="B2451" s="1">
        <f>IFERROR(__xludf.DUMMYFUNCTION("""COMPUTED_VALUE"""),33600.0)</f>
        <v>33600</v>
      </c>
      <c r="C2451" s="1">
        <f>IFERROR(__xludf.DUMMYFUNCTION("""COMPUTED_VALUE"""),34100.0)</f>
        <v>34100</v>
      </c>
      <c r="D2451" s="1">
        <f>IFERROR(__xludf.DUMMYFUNCTION("""COMPUTED_VALUE"""),33200.0)</f>
        <v>33200</v>
      </c>
      <c r="E2451" s="1">
        <f>IFERROR(__xludf.DUMMYFUNCTION("""COMPUTED_VALUE"""),33250.0)</f>
        <v>33250</v>
      </c>
      <c r="F2451" s="1">
        <f>IFERROR(__xludf.DUMMYFUNCTION("""COMPUTED_VALUE"""),45020.0)</f>
        <v>45020</v>
      </c>
    </row>
    <row r="2452">
      <c r="A2452" s="2">
        <f>IFERROR(__xludf.DUMMYFUNCTION("""COMPUTED_VALUE"""),44551.64583333333)</f>
        <v>44551.64583</v>
      </c>
      <c r="B2452" s="1">
        <f>IFERROR(__xludf.DUMMYFUNCTION("""COMPUTED_VALUE"""),33050.0)</f>
        <v>33050</v>
      </c>
      <c r="C2452" s="1">
        <f>IFERROR(__xludf.DUMMYFUNCTION("""COMPUTED_VALUE"""),33750.0)</f>
        <v>33750</v>
      </c>
      <c r="D2452" s="1">
        <f>IFERROR(__xludf.DUMMYFUNCTION("""COMPUTED_VALUE"""),32750.0)</f>
        <v>32750</v>
      </c>
      <c r="E2452" s="1">
        <f>IFERROR(__xludf.DUMMYFUNCTION("""COMPUTED_VALUE"""),32900.0)</f>
        <v>32900</v>
      </c>
      <c r="F2452" s="1">
        <f>IFERROR(__xludf.DUMMYFUNCTION("""COMPUTED_VALUE"""),35078.0)</f>
        <v>35078</v>
      </c>
    </row>
    <row r="2453">
      <c r="A2453" s="2">
        <f>IFERROR(__xludf.DUMMYFUNCTION("""COMPUTED_VALUE"""),44552.64583333333)</f>
        <v>44552.64583</v>
      </c>
      <c r="B2453" s="1">
        <f>IFERROR(__xludf.DUMMYFUNCTION("""COMPUTED_VALUE"""),33050.0)</f>
        <v>33050</v>
      </c>
      <c r="C2453" s="1">
        <f>IFERROR(__xludf.DUMMYFUNCTION("""COMPUTED_VALUE"""),33300.0)</f>
        <v>33300</v>
      </c>
      <c r="D2453" s="1">
        <f>IFERROR(__xludf.DUMMYFUNCTION("""COMPUTED_VALUE"""),32450.0)</f>
        <v>32450</v>
      </c>
      <c r="E2453" s="1">
        <f>IFERROR(__xludf.DUMMYFUNCTION("""COMPUTED_VALUE"""),32550.0)</f>
        <v>32550</v>
      </c>
      <c r="F2453" s="1">
        <f>IFERROR(__xludf.DUMMYFUNCTION("""COMPUTED_VALUE"""),54414.0)</f>
        <v>54414</v>
      </c>
    </row>
    <row r="2454">
      <c r="A2454" s="2">
        <f>IFERROR(__xludf.DUMMYFUNCTION("""COMPUTED_VALUE"""),44553.64583333333)</f>
        <v>44553.64583</v>
      </c>
      <c r="B2454" s="1">
        <f>IFERROR(__xludf.DUMMYFUNCTION("""COMPUTED_VALUE"""),32600.0)</f>
        <v>32600</v>
      </c>
      <c r="C2454" s="1">
        <f>IFERROR(__xludf.DUMMYFUNCTION("""COMPUTED_VALUE"""),33200.0)</f>
        <v>33200</v>
      </c>
      <c r="D2454" s="1">
        <f>IFERROR(__xludf.DUMMYFUNCTION("""COMPUTED_VALUE"""),32500.0)</f>
        <v>32500</v>
      </c>
      <c r="E2454" s="1">
        <f>IFERROR(__xludf.DUMMYFUNCTION("""COMPUTED_VALUE"""),32500.0)</f>
        <v>32500</v>
      </c>
      <c r="F2454" s="1">
        <f>IFERROR(__xludf.DUMMYFUNCTION("""COMPUTED_VALUE"""),42443.0)</f>
        <v>42443</v>
      </c>
    </row>
    <row r="2455">
      <c r="A2455" s="2">
        <f>IFERROR(__xludf.DUMMYFUNCTION("""COMPUTED_VALUE"""),44554.64583333333)</f>
        <v>44554.64583</v>
      </c>
      <c r="B2455" s="1">
        <f>IFERROR(__xludf.DUMMYFUNCTION("""COMPUTED_VALUE"""),32450.0)</f>
        <v>32450</v>
      </c>
      <c r="C2455" s="1">
        <f>IFERROR(__xludf.DUMMYFUNCTION("""COMPUTED_VALUE"""),32850.0)</f>
        <v>32850</v>
      </c>
      <c r="D2455" s="1">
        <f>IFERROR(__xludf.DUMMYFUNCTION("""COMPUTED_VALUE"""),32450.0)</f>
        <v>32450</v>
      </c>
      <c r="E2455" s="1">
        <f>IFERROR(__xludf.DUMMYFUNCTION("""COMPUTED_VALUE"""),32500.0)</f>
        <v>32500</v>
      </c>
      <c r="F2455" s="1">
        <f>IFERROR(__xludf.DUMMYFUNCTION("""COMPUTED_VALUE"""),31480.0)</f>
        <v>31480</v>
      </c>
    </row>
    <row r="2456">
      <c r="A2456" s="2">
        <f>IFERROR(__xludf.DUMMYFUNCTION("""COMPUTED_VALUE"""),44557.64583333333)</f>
        <v>44557.64583</v>
      </c>
      <c r="B2456" s="1">
        <f>IFERROR(__xludf.DUMMYFUNCTION("""COMPUTED_VALUE"""),32500.0)</f>
        <v>32500</v>
      </c>
      <c r="C2456" s="1">
        <f>IFERROR(__xludf.DUMMYFUNCTION("""COMPUTED_VALUE"""),32850.0)</f>
        <v>32850</v>
      </c>
      <c r="D2456" s="1">
        <f>IFERROR(__xludf.DUMMYFUNCTION("""COMPUTED_VALUE"""),32450.0)</f>
        <v>32450</v>
      </c>
      <c r="E2456" s="1">
        <f>IFERROR(__xludf.DUMMYFUNCTION("""COMPUTED_VALUE"""),32450.0)</f>
        <v>32450</v>
      </c>
      <c r="F2456" s="1">
        <f>IFERROR(__xludf.DUMMYFUNCTION("""COMPUTED_VALUE"""),24605.0)</f>
        <v>24605</v>
      </c>
    </row>
    <row r="2457">
      <c r="A2457" s="2">
        <f>IFERROR(__xludf.DUMMYFUNCTION("""COMPUTED_VALUE"""),44558.64583333333)</f>
        <v>44558.64583</v>
      </c>
      <c r="B2457" s="1">
        <f>IFERROR(__xludf.DUMMYFUNCTION("""COMPUTED_VALUE"""),32400.0)</f>
        <v>32400</v>
      </c>
      <c r="C2457" s="1">
        <f>IFERROR(__xludf.DUMMYFUNCTION("""COMPUTED_VALUE"""),33000.0)</f>
        <v>33000</v>
      </c>
      <c r="D2457" s="1">
        <f>IFERROR(__xludf.DUMMYFUNCTION("""COMPUTED_VALUE"""),32400.0)</f>
        <v>32400</v>
      </c>
      <c r="E2457" s="1">
        <f>IFERROR(__xludf.DUMMYFUNCTION("""COMPUTED_VALUE"""),32600.0)</f>
        <v>32600</v>
      </c>
      <c r="F2457" s="1">
        <f>IFERROR(__xludf.DUMMYFUNCTION("""COMPUTED_VALUE"""),33305.0)</f>
        <v>33305</v>
      </c>
    </row>
    <row r="2458">
      <c r="A2458" s="2">
        <f>IFERROR(__xludf.DUMMYFUNCTION("""COMPUTED_VALUE"""),44559.64583333333)</f>
        <v>44559.64583</v>
      </c>
      <c r="B2458" s="1">
        <f>IFERROR(__xludf.DUMMYFUNCTION("""COMPUTED_VALUE"""),32500.0)</f>
        <v>32500</v>
      </c>
      <c r="C2458" s="1">
        <f>IFERROR(__xludf.DUMMYFUNCTION("""COMPUTED_VALUE"""),33250.0)</f>
        <v>33250</v>
      </c>
      <c r="D2458" s="1">
        <f>IFERROR(__xludf.DUMMYFUNCTION("""COMPUTED_VALUE"""),32400.0)</f>
        <v>32400</v>
      </c>
      <c r="E2458" s="1">
        <f>IFERROR(__xludf.DUMMYFUNCTION("""COMPUTED_VALUE"""),33200.0)</f>
        <v>33200</v>
      </c>
      <c r="F2458" s="1">
        <f>IFERROR(__xludf.DUMMYFUNCTION("""COMPUTED_VALUE"""),35519.0)</f>
        <v>35519</v>
      </c>
    </row>
    <row r="2459">
      <c r="A2459" s="2">
        <f>IFERROR(__xludf.DUMMYFUNCTION("""COMPUTED_VALUE"""),44560.64583333333)</f>
        <v>44560.64583</v>
      </c>
      <c r="B2459" s="1">
        <f>IFERROR(__xludf.DUMMYFUNCTION("""COMPUTED_VALUE"""),33200.0)</f>
        <v>33200</v>
      </c>
      <c r="C2459" s="1">
        <f>IFERROR(__xludf.DUMMYFUNCTION("""COMPUTED_VALUE"""),33300.0)</f>
        <v>33300</v>
      </c>
      <c r="D2459" s="1">
        <f>IFERROR(__xludf.DUMMYFUNCTION("""COMPUTED_VALUE"""),32650.0)</f>
        <v>32650</v>
      </c>
      <c r="E2459" s="1">
        <f>IFERROR(__xludf.DUMMYFUNCTION("""COMPUTED_VALUE"""),33150.0)</f>
        <v>33150</v>
      </c>
      <c r="F2459" s="1">
        <f>IFERROR(__xludf.DUMMYFUNCTION("""COMPUTED_VALUE"""),16969.0)</f>
        <v>16969</v>
      </c>
    </row>
    <row r="2460">
      <c r="A2460" s="2">
        <f>IFERROR(__xludf.DUMMYFUNCTION("""COMPUTED_VALUE"""),44564.64583333333)</f>
        <v>44564.64583</v>
      </c>
      <c r="B2460" s="1">
        <f>IFERROR(__xludf.DUMMYFUNCTION("""COMPUTED_VALUE"""),33300.0)</f>
        <v>33300</v>
      </c>
      <c r="C2460" s="1">
        <f>IFERROR(__xludf.DUMMYFUNCTION("""COMPUTED_VALUE"""),33400.0)</f>
        <v>33400</v>
      </c>
      <c r="D2460" s="1">
        <f>IFERROR(__xludf.DUMMYFUNCTION("""COMPUTED_VALUE"""),32950.0)</f>
        <v>32950</v>
      </c>
      <c r="E2460" s="1">
        <f>IFERROR(__xludf.DUMMYFUNCTION("""COMPUTED_VALUE"""),33400.0)</f>
        <v>33400</v>
      </c>
      <c r="F2460" s="1">
        <f>IFERROR(__xludf.DUMMYFUNCTION("""COMPUTED_VALUE"""),27313.0)</f>
        <v>27313</v>
      </c>
    </row>
    <row r="2461">
      <c r="A2461" s="2">
        <f>IFERROR(__xludf.DUMMYFUNCTION("""COMPUTED_VALUE"""),44565.64583333333)</f>
        <v>44565.64583</v>
      </c>
      <c r="B2461" s="1">
        <f>IFERROR(__xludf.DUMMYFUNCTION("""COMPUTED_VALUE"""),33200.0)</f>
        <v>33200</v>
      </c>
      <c r="C2461" s="1">
        <f>IFERROR(__xludf.DUMMYFUNCTION("""COMPUTED_VALUE"""),33750.0)</f>
        <v>33750</v>
      </c>
      <c r="D2461" s="1">
        <f>IFERROR(__xludf.DUMMYFUNCTION("""COMPUTED_VALUE"""),33200.0)</f>
        <v>33200</v>
      </c>
      <c r="E2461" s="1">
        <f>IFERROR(__xludf.DUMMYFUNCTION("""COMPUTED_VALUE"""),33550.0)</f>
        <v>33550</v>
      </c>
      <c r="F2461" s="1">
        <f>IFERROR(__xludf.DUMMYFUNCTION("""COMPUTED_VALUE"""),36896.0)</f>
        <v>36896</v>
      </c>
    </row>
    <row r="2462">
      <c r="A2462" s="2">
        <f>IFERROR(__xludf.DUMMYFUNCTION("""COMPUTED_VALUE"""),44566.64583333333)</f>
        <v>44566.64583</v>
      </c>
      <c r="B2462" s="1">
        <f>IFERROR(__xludf.DUMMYFUNCTION("""COMPUTED_VALUE"""),33850.0)</f>
        <v>33850</v>
      </c>
      <c r="C2462" s="1">
        <f>IFERROR(__xludf.DUMMYFUNCTION("""COMPUTED_VALUE"""),33850.0)</f>
        <v>33850</v>
      </c>
      <c r="D2462" s="1">
        <f>IFERROR(__xludf.DUMMYFUNCTION("""COMPUTED_VALUE"""),33050.0)</f>
        <v>33050</v>
      </c>
      <c r="E2462" s="1">
        <f>IFERROR(__xludf.DUMMYFUNCTION("""COMPUTED_VALUE"""),33100.0)</f>
        <v>33100</v>
      </c>
      <c r="F2462" s="1">
        <f>IFERROR(__xludf.DUMMYFUNCTION("""COMPUTED_VALUE"""),36275.0)</f>
        <v>36275</v>
      </c>
    </row>
    <row r="2463">
      <c r="A2463" s="2">
        <f>IFERROR(__xludf.DUMMYFUNCTION("""COMPUTED_VALUE"""),44567.64583333333)</f>
        <v>44567.64583</v>
      </c>
      <c r="B2463" s="1">
        <f>IFERROR(__xludf.DUMMYFUNCTION("""COMPUTED_VALUE"""),32450.0)</f>
        <v>32450</v>
      </c>
      <c r="C2463" s="1">
        <f>IFERROR(__xludf.DUMMYFUNCTION("""COMPUTED_VALUE"""),35650.0)</f>
        <v>35650</v>
      </c>
      <c r="D2463" s="1">
        <f>IFERROR(__xludf.DUMMYFUNCTION("""COMPUTED_VALUE"""),32450.0)</f>
        <v>32450</v>
      </c>
      <c r="E2463" s="1">
        <f>IFERROR(__xludf.DUMMYFUNCTION("""COMPUTED_VALUE"""),33100.0)</f>
        <v>33100</v>
      </c>
      <c r="F2463" s="1">
        <f>IFERROR(__xludf.DUMMYFUNCTION("""COMPUTED_VALUE"""),277367.0)</f>
        <v>277367</v>
      </c>
    </row>
    <row r="2464">
      <c r="A2464" s="2">
        <f>IFERROR(__xludf.DUMMYFUNCTION("""COMPUTED_VALUE"""),44568.64583333333)</f>
        <v>44568.64583</v>
      </c>
      <c r="B2464" s="1">
        <f>IFERROR(__xludf.DUMMYFUNCTION("""COMPUTED_VALUE"""),33100.0)</f>
        <v>33100</v>
      </c>
      <c r="C2464" s="1">
        <f>IFERROR(__xludf.DUMMYFUNCTION("""COMPUTED_VALUE"""),34750.0)</f>
        <v>34750</v>
      </c>
      <c r="D2464" s="1">
        <f>IFERROR(__xludf.DUMMYFUNCTION("""COMPUTED_VALUE"""),33100.0)</f>
        <v>33100</v>
      </c>
      <c r="E2464" s="1">
        <f>IFERROR(__xludf.DUMMYFUNCTION("""COMPUTED_VALUE"""),34400.0)</f>
        <v>34400</v>
      </c>
      <c r="F2464" s="1">
        <f>IFERROR(__xludf.DUMMYFUNCTION("""COMPUTED_VALUE"""),138229.0)</f>
        <v>138229</v>
      </c>
    </row>
    <row r="2465">
      <c r="A2465" s="2">
        <f>IFERROR(__xludf.DUMMYFUNCTION("""COMPUTED_VALUE"""),44571.64583333333)</f>
        <v>44571.64583</v>
      </c>
      <c r="B2465" s="1">
        <f>IFERROR(__xludf.DUMMYFUNCTION("""COMPUTED_VALUE"""),34600.0)</f>
        <v>34600</v>
      </c>
      <c r="C2465" s="1">
        <f>IFERROR(__xludf.DUMMYFUNCTION("""COMPUTED_VALUE"""),35550.0)</f>
        <v>35550</v>
      </c>
      <c r="D2465" s="1">
        <f>IFERROR(__xludf.DUMMYFUNCTION("""COMPUTED_VALUE"""),33900.0)</f>
        <v>33900</v>
      </c>
      <c r="E2465" s="1">
        <f>IFERROR(__xludf.DUMMYFUNCTION("""COMPUTED_VALUE"""),35150.0)</f>
        <v>35150</v>
      </c>
      <c r="F2465" s="1">
        <f>IFERROR(__xludf.DUMMYFUNCTION("""COMPUTED_VALUE"""),187020.0)</f>
        <v>187020</v>
      </c>
    </row>
    <row r="2466">
      <c r="A2466" s="2">
        <f>IFERROR(__xludf.DUMMYFUNCTION("""COMPUTED_VALUE"""),44572.64583333333)</f>
        <v>44572.64583</v>
      </c>
      <c r="B2466" s="1">
        <f>IFERROR(__xludf.DUMMYFUNCTION("""COMPUTED_VALUE"""),34900.0)</f>
        <v>34900</v>
      </c>
      <c r="C2466" s="1">
        <f>IFERROR(__xludf.DUMMYFUNCTION("""COMPUTED_VALUE"""),35200.0)</f>
        <v>35200</v>
      </c>
      <c r="D2466" s="1">
        <f>IFERROR(__xludf.DUMMYFUNCTION("""COMPUTED_VALUE"""),34100.0)</f>
        <v>34100</v>
      </c>
      <c r="E2466" s="1">
        <f>IFERROR(__xludf.DUMMYFUNCTION("""COMPUTED_VALUE"""),34100.0)</f>
        <v>34100</v>
      </c>
      <c r="F2466" s="1">
        <f>IFERROR(__xludf.DUMMYFUNCTION("""COMPUTED_VALUE"""),73180.0)</f>
        <v>73180</v>
      </c>
    </row>
    <row r="2467">
      <c r="A2467" s="2">
        <f>IFERROR(__xludf.DUMMYFUNCTION("""COMPUTED_VALUE"""),44573.64583333333)</f>
        <v>44573.64583</v>
      </c>
      <c r="B2467" s="1">
        <f>IFERROR(__xludf.DUMMYFUNCTION("""COMPUTED_VALUE"""),34050.0)</f>
        <v>34050</v>
      </c>
      <c r="C2467" s="1">
        <f>IFERROR(__xludf.DUMMYFUNCTION("""COMPUTED_VALUE"""),34900.0)</f>
        <v>34900</v>
      </c>
      <c r="D2467" s="1">
        <f>IFERROR(__xludf.DUMMYFUNCTION("""COMPUTED_VALUE"""),34050.0)</f>
        <v>34050</v>
      </c>
      <c r="E2467" s="1">
        <f>IFERROR(__xludf.DUMMYFUNCTION("""COMPUTED_VALUE"""),34550.0)</f>
        <v>34550</v>
      </c>
      <c r="F2467" s="1">
        <f>IFERROR(__xludf.DUMMYFUNCTION("""COMPUTED_VALUE"""),60573.0)</f>
        <v>60573</v>
      </c>
    </row>
    <row r="2468">
      <c r="A2468" s="2">
        <f>IFERROR(__xludf.DUMMYFUNCTION("""COMPUTED_VALUE"""),44574.64583333333)</f>
        <v>44574.64583</v>
      </c>
      <c r="B2468" s="1">
        <f>IFERROR(__xludf.DUMMYFUNCTION("""COMPUTED_VALUE"""),34350.0)</f>
        <v>34350</v>
      </c>
      <c r="C2468" s="1">
        <f>IFERROR(__xludf.DUMMYFUNCTION("""COMPUTED_VALUE"""),35850.0)</f>
        <v>35850</v>
      </c>
      <c r="D2468" s="1">
        <f>IFERROR(__xludf.DUMMYFUNCTION("""COMPUTED_VALUE"""),34150.0)</f>
        <v>34150</v>
      </c>
      <c r="E2468" s="1">
        <f>IFERROR(__xludf.DUMMYFUNCTION("""COMPUTED_VALUE"""),35700.0)</f>
        <v>35700</v>
      </c>
      <c r="F2468" s="1">
        <f>IFERROR(__xludf.DUMMYFUNCTION("""COMPUTED_VALUE"""),181258.0)</f>
        <v>181258</v>
      </c>
    </row>
    <row r="2469">
      <c r="A2469" s="2">
        <f>IFERROR(__xludf.DUMMYFUNCTION("""COMPUTED_VALUE"""),44575.64583333333)</f>
        <v>44575.64583</v>
      </c>
      <c r="B2469" s="1">
        <f>IFERROR(__xludf.DUMMYFUNCTION("""COMPUTED_VALUE"""),35200.0)</f>
        <v>35200</v>
      </c>
      <c r="C2469" s="1">
        <f>IFERROR(__xludf.DUMMYFUNCTION("""COMPUTED_VALUE"""),35550.0)</f>
        <v>35550</v>
      </c>
      <c r="D2469" s="1">
        <f>IFERROR(__xludf.DUMMYFUNCTION("""COMPUTED_VALUE"""),33500.0)</f>
        <v>33500</v>
      </c>
      <c r="E2469" s="1">
        <f>IFERROR(__xludf.DUMMYFUNCTION("""COMPUTED_VALUE"""),33600.0)</f>
        <v>33600</v>
      </c>
      <c r="F2469" s="1">
        <f>IFERROR(__xludf.DUMMYFUNCTION("""COMPUTED_VALUE"""),261891.0)</f>
        <v>261891</v>
      </c>
    </row>
    <row r="2470">
      <c r="A2470" s="2">
        <f>IFERROR(__xludf.DUMMYFUNCTION("""COMPUTED_VALUE"""),44578.64583333333)</f>
        <v>44578.64583</v>
      </c>
      <c r="B2470" s="1">
        <f>IFERROR(__xludf.DUMMYFUNCTION("""COMPUTED_VALUE"""),33600.0)</f>
        <v>33600</v>
      </c>
      <c r="C2470" s="1">
        <f>IFERROR(__xludf.DUMMYFUNCTION("""COMPUTED_VALUE"""),33600.0)</f>
        <v>33600</v>
      </c>
      <c r="D2470" s="1">
        <f>IFERROR(__xludf.DUMMYFUNCTION("""COMPUTED_VALUE"""),32550.0)</f>
        <v>32550</v>
      </c>
      <c r="E2470" s="1">
        <f>IFERROR(__xludf.DUMMYFUNCTION("""COMPUTED_VALUE"""),32600.0)</f>
        <v>32600</v>
      </c>
      <c r="F2470" s="1">
        <f>IFERROR(__xludf.DUMMYFUNCTION("""COMPUTED_VALUE"""),71256.0)</f>
        <v>71256</v>
      </c>
    </row>
    <row r="2471">
      <c r="A2471" s="2">
        <f>IFERROR(__xludf.DUMMYFUNCTION("""COMPUTED_VALUE"""),44579.64583333333)</f>
        <v>44579.64583</v>
      </c>
      <c r="B2471" s="1">
        <f>IFERROR(__xludf.DUMMYFUNCTION("""COMPUTED_VALUE"""),32400.0)</f>
        <v>32400</v>
      </c>
      <c r="C2471" s="1">
        <f>IFERROR(__xludf.DUMMYFUNCTION("""COMPUTED_VALUE"""),33100.0)</f>
        <v>33100</v>
      </c>
      <c r="D2471" s="1">
        <f>IFERROR(__xludf.DUMMYFUNCTION("""COMPUTED_VALUE"""),31900.0)</f>
        <v>31900</v>
      </c>
      <c r="E2471" s="1">
        <f>IFERROR(__xludf.DUMMYFUNCTION("""COMPUTED_VALUE"""),32800.0)</f>
        <v>32800</v>
      </c>
      <c r="F2471" s="1">
        <f>IFERROR(__xludf.DUMMYFUNCTION("""COMPUTED_VALUE"""),51259.0)</f>
        <v>51259</v>
      </c>
    </row>
    <row r="2472">
      <c r="A2472" s="2">
        <f>IFERROR(__xludf.DUMMYFUNCTION("""COMPUTED_VALUE"""),44580.64583333333)</f>
        <v>44580.64583</v>
      </c>
      <c r="B2472" s="1">
        <f>IFERROR(__xludf.DUMMYFUNCTION("""COMPUTED_VALUE"""),31900.0)</f>
        <v>31900</v>
      </c>
      <c r="C2472" s="1">
        <f>IFERROR(__xludf.DUMMYFUNCTION("""COMPUTED_VALUE"""),32750.0)</f>
        <v>32750</v>
      </c>
      <c r="D2472" s="1">
        <f>IFERROR(__xludf.DUMMYFUNCTION("""COMPUTED_VALUE"""),31900.0)</f>
        <v>31900</v>
      </c>
      <c r="E2472" s="1">
        <f>IFERROR(__xludf.DUMMYFUNCTION("""COMPUTED_VALUE"""),32100.0)</f>
        <v>32100</v>
      </c>
      <c r="F2472" s="1">
        <f>IFERROR(__xludf.DUMMYFUNCTION("""COMPUTED_VALUE"""),39747.0)</f>
        <v>39747</v>
      </c>
    </row>
    <row r="2473">
      <c r="A2473" s="2">
        <f>IFERROR(__xludf.DUMMYFUNCTION("""COMPUTED_VALUE"""),44581.64583333333)</f>
        <v>44581.64583</v>
      </c>
      <c r="B2473" s="1">
        <f>IFERROR(__xludf.DUMMYFUNCTION("""COMPUTED_VALUE"""),31900.0)</f>
        <v>31900</v>
      </c>
      <c r="C2473" s="1">
        <f>IFERROR(__xludf.DUMMYFUNCTION("""COMPUTED_VALUE"""),32950.0)</f>
        <v>32950</v>
      </c>
      <c r="D2473" s="1">
        <f>IFERROR(__xludf.DUMMYFUNCTION("""COMPUTED_VALUE"""),31850.0)</f>
        <v>31850</v>
      </c>
      <c r="E2473" s="1">
        <f>IFERROR(__xludf.DUMMYFUNCTION("""COMPUTED_VALUE"""),32800.0)</f>
        <v>32800</v>
      </c>
      <c r="F2473" s="1">
        <f>IFERROR(__xludf.DUMMYFUNCTION("""COMPUTED_VALUE"""),28807.0)</f>
        <v>28807</v>
      </c>
    </row>
    <row r="2474">
      <c r="A2474" s="2">
        <f>IFERROR(__xludf.DUMMYFUNCTION("""COMPUTED_VALUE"""),44582.64583333333)</f>
        <v>44582.64583</v>
      </c>
      <c r="B2474" s="1">
        <f>IFERROR(__xludf.DUMMYFUNCTION("""COMPUTED_VALUE"""),32550.0)</f>
        <v>32550</v>
      </c>
      <c r="C2474" s="1">
        <f>IFERROR(__xludf.DUMMYFUNCTION("""COMPUTED_VALUE"""),32900.0)</f>
        <v>32900</v>
      </c>
      <c r="D2474" s="1">
        <f>IFERROR(__xludf.DUMMYFUNCTION("""COMPUTED_VALUE"""),32000.0)</f>
        <v>32000</v>
      </c>
      <c r="E2474" s="1">
        <f>IFERROR(__xludf.DUMMYFUNCTION("""COMPUTED_VALUE"""),32100.0)</f>
        <v>32100</v>
      </c>
      <c r="F2474" s="1">
        <f>IFERROR(__xludf.DUMMYFUNCTION("""COMPUTED_VALUE"""),30541.0)</f>
        <v>30541</v>
      </c>
    </row>
    <row r="2475">
      <c r="A2475" s="2">
        <f>IFERROR(__xludf.DUMMYFUNCTION("""COMPUTED_VALUE"""),44585.64583333333)</f>
        <v>44585.64583</v>
      </c>
      <c r="B2475" s="1">
        <f>IFERROR(__xludf.DUMMYFUNCTION("""COMPUTED_VALUE"""),31950.0)</f>
        <v>31950</v>
      </c>
      <c r="C2475" s="1">
        <f>IFERROR(__xludf.DUMMYFUNCTION("""COMPUTED_VALUE"""),31950.0)</f>
        <v>31950</v>
      </c>
      <c r="D2475" s="1">
        <f>IFERROR(__xludf.DUMMYFUNCTION("""COMPUTED_VALUE"""),28800.0)</f>
        <v>28800</v>
      </c>
      <c r="E2475" s="1">
        <f>IFERROR(__xludf.DUMMYFUNCTION("""COMPUTED_VALUE"""),29350.0)</f>
        <v>29350</v>
      </c>
      <c r="F2475" s="1">
        <f>IFERROR(__xludf.DUMMYFUNCTION("""COMPUTED_VALUE"""),140437.0)</f>
        <v>140437</v>
      </c>
    </row>
    <row r="2476">
      <c r="A2476" s="2">
        <f>IFERROR(__xludf.DUMMYFUNCTION("""COMPUTED_VALUE"""),44586.64583333333)</f>
        <v>44586.64583</v>
      </c>
      <c r="B2476" s="1">
        <f>IFERROR(__xludf.DUMMYFUNCTION("""COMPUTED_VALUE"""),29350.0)</f>
        <v>29350</v>
      </c>
      <c r="C2476" s="1">
        <f>IFERROR(__xludf.DUMMYFUNCTION("""COMPUTED_VALUE"""),29600.0)</f>
        <v>29600</v>
      </c>
      <c r="D2476" s="1">
        <f>IFERROR(__xludf.DUMMYFUNCTION("""COMPUTED_VALUE"""),27000.0)</f>
        <v>27000</v>
      </c>
      <c r="E2476" s="1">
        <f>IFERROR(__xludf.DUMMYFUNCTION("""COMPUTED_VALUE"""),27000.0)</f>
        <v>27000</v>
      </c>
      <c r="F2476" s="1">
        <f>IFERROR(__xludf.DUMMYFUNCTION("""COMPUTED_VALUE"""),184094.0)</f>
        <v>184094</v>
      </c>
    </row>
    <row r="2477">
      <c r="A2477" s="2">
        <f>IFERROR(__xludf.DUMMYFUNCTION("""COMPUTED_VALUE"""),44587.64583333333)</f>
        <v>44587.64583</v>
      </c>
      <c r="B2477" s="1">
        <f>IFERROR(__xludf.DUMMYFUNCTION("""COMPUTED_VALUE"""),26700.0)</f>
        <v>26700</v>
      </c>
      <c r="C2477" s="1">
        <f>IFERROR(__xludf.DUMMYFUNCTION("""COMPUTED_VALUE"""),27650.0)</f>
        <v>27650</v>
      </c>
      <c r="D2477" s="1">
        <f>IFERROR(__xludf.DUMMYFUNCTION("""COMPUTED_VALUE"""),26000.0)</f>
        <v>26000</v>
      </c>
      <c r="E2477" s="1">
        <f>IFERROR(__xludf.DUMMYFUNCTION("""COMPUTED_VALUE"""),26350.0)</f>
        <v>26350</v>
      </c>
      <c r="F2477" s="1">
        <f>IFERROR(__xludf.DUMMYFUNCTION("""COMPUTED_VALUE"""),81465.0)</f>
        <v>81465</v>
      </c>
    </row>
    <row r="2478">
      <c r="A2478" s="2">
        <f>IFERROR(__xludf.DUMMYFUNCTION("""COMPUTED_VALUE"""),44588.64583333333)</f>
        <v>44588.64583</v>
      </c>
      <c r="B2478" s="1">
        <f>IFERROR(__xludf.DUMMYFUNCTION("""COMPUTED_VALUE"""),26600.0)</f>
        <v>26600</v>
      </c>
      <c r="C2478" s="1">
        <f>IFERROR(__xludf.DUMMYFUNCTION("""COMPUTED_VALUE"""),26700.0)</f>
        <v>26700</v>
      </c>
      <c r="D2478" s="1">
        <f>IFERROR(__xludf.DUMMYFUNCTION("""COMPUTED_VALUE"""),24250.0)</f>
        <v>24250</v>
      </c>
      <c r="E2478" s="1">
        <f>IFERROR(__xludf.DUMMYFUNCTION("""COMPUTED_VALUE"""),24700.0)</f>
        <v>24700</v>
      </c>
      <c r="F2478" s="1">
        <f>IFERROR(__xludf.DUMMYFUNCTION("""COMPUTED_VALUE"""),120341.0)</f>
        <v>120341</v>
      </c>
    </row>
    <row r="2479">
      <c r="A2479" s="2">
        <f>IFERROR(__xludf.DUMMYFUNCTION("""COMPUTED_VALUE"""),44589.64583333333)</f>
        <v>44589.64583</v>
      </c>
      <c r="B2479" s="1">
        <f>IFERROR(__xludf.DUMMYFUNCTION("""COMPUTED_VALUE"""),24750.0)</f>
        <v>24750</v>
      </c>
      <c r="C2479" s="1">
        <f>IFERROR(__xludf.DUMMYFUNCTION("""COMPUTED_VALUE"""),25950.0)</f>
        <v>25950</v>
      </c>
      <c r="D2479" s="1">
        <f>IFERROR(__xludf.DUMMYFUNCTION("""COMPUTED_VALUE"""),24550.0)</f>
        <v>24550</v>
      </c>
      <c r="E2479" s="1">
        <f>IFERROR(__xludf.DUMMYFUNCTION("""COMPUTED_VALUE"""),25850.0)</f>
        <v>25850</v>
      </c>
      <c r="F2479" s="1">
        <f>IFERROR(__xludf.DUMMYFUNCTION("""COMPUTED_VALUE"""),52907.0)</f>
        <v>52907</v>
      </c>
    </row>
    <row r="2480">
      <c r="A2480" s="2">
        <f>IFERROR(__xludf.DUMMYFUNCTION("""COMPUTED_VALUE"""),44595.64583333333)</f>
        <v>44595.64583</v>
      </c>
      <c r="B2480" s="1">
        <f>IFERROR(__xludf.DUMMYFUNCTION("""COMPUTED_VALUE"""),26000.0)</f>
        <v>26000</v>
      </c>
      <c r="C2480" s="1">
        <f>IFERROR(__xludf.DUMMYFUNCTION("""COMPUTED_VALUE"""),26850.0)</f>
        <v>26850</v>
      </c>
      <c r="D2480" s="1">
        <f>IFERROR(__xludf.DUMMYFUNCTION("""COMPUTED_VALUE"""),26000.0)</f>
        <v>26000</v>
      </c>
      <c r="E2480" s="1">
        <f>IFERROR(__xludf.DUMMYFUNCTION("""COMPUTED_VALUE"""),26400.0)</f>
        <v>26400</v>
      </c>
      <c r="F2480" s="1">
        <f>IFERROR(__xludf.DUMMYFUNCTION("""COMPUTED_VALUE"""),34682.0)</f>
        <v>34682</v>
      </c>
    </row>
    <row r="2481">
      <c r="A2481" s="2">
        <f>IFERROR(__xludf.DUMMYFUNCTION("""COMPUTED_VALUE"""),44596.64583333333)</f>
        <v>44596.64583</v>
      </c>
      <c r="B2481" s="1">
        <f>IFERROR(__xludf.DUMMYFUNCTION("""COMPUTED_VALUE"""),26300.0)</f>
        <v>26300</v>
      </c>
      <c r="C2481" s="1">
        <f>IFERROR(__xludf.DUMMYFUNCTION("""COMPUTED_VALUE"""),34000.0)</f>
        <v>34000</v>
      </c>
      <c r="D2481" s="1">
        <f>IFERROR(__xludf.DUMMYFUNCTION("""COMPUTED_VALUE"""),26300.0)</f>
        <v>26300</v>
      </c>
      <c r="E2481" s="1">
        <f>IFERROR(__xludf.DUMMYFUNCTION("""COMPUTED_VALUE"""),28150.0)</f>
        <v>28150</v>
      </c>
      <c r="F2481" s="1">
        <f>IFERROR(__xludf.DUMMYFUNCTION("""COMPUTED_VALUE"""),1073748.0)</f>
        <v>1073748</v>
      </c>
    </row>
    <row r="2482">
      <c r="A2482" s="2">
        <f>IFERROR(__xludf.DUMMYFUNCTION("""COMPUTED_VALUE"""),44599.64583333333)</f>
        <v>44599.64583</v>
      </c>
      <c r="B2482" s="1">
        <f>IFERROR(__xludf.DUMMYFUNCTION("""COMPUTED_VALUE"""),28100.0)</f>
        <v>28100</v>
      </c>
      <c r="C2482" s="1">
        <f>IFERROR(__xludf.DUMMYFUNCTION("""COMPUTED_VALUE"""),28850.0)</f>
        <v>28850</v>
      </c>
      <c r="D2482" s="1">
        <f>IFERROR(__xludf.DUMMYFUNCTION("""COMPUTED_VALUE"""),27700.0)</f>
        <v>27700</v>
      </c>
      <c r="E2482" s="1">
        <f>IFERROR(__xludf.DUMMYFUNCTION("""COMPUTED_VALUE"""),28200.0)</f>
        <v>28200</v>
      </c>
      <c r="F2482" s="1">
        <f>IFERROR(__xludf.DUMMYFUNCTION("""COMPUTED_VALUE"""),106543.0)</f>
        <v>106543</v>
      </c>
    </row>
    <row r="2483">
      <c r="A2483" s="2">
        <f>IFERROR(__xludf.DUMMYFUNCTION("""COMPUTED_VALUE"""),44600.64583333333)</f>
        <v>44600.64583</v>
      </c>
      <c r="B2483" s="1">
        <f>IFERROR(__xludf.DUMMYFUNCTION("""COMPUTED_VALUE"""),28200.0)</f>
        <v>28200</v>
      </c>
      <c r="C2483" s="1">
        <f>IFERROR(__xludf.DUMMYFUNCTION("""COMPUTED_VALUE"""),29100.0)</f>
        <v>29100</v>
      </c>
      <c r="D2483" s="1">
        <f>IFERROR(__xludf.DUMMYFUNCTION("""COMPUTED_VALUE"""),27700.0)</f>
        <v>27700</v>
      </c>
      <c r="E2483" s="1">
        <f>IFERROR(__xludf.DUMMYFUNCTION("""COMPUTED_VALUE"""),27750.0)</f>
        <v>27750</v>
      </c>
      <c r="F2483" s="1">
        <f>IFERROR(__xludf.DUMMYFUNCTION("""COMPUTED_VALUE"""),82387.0)</f>
        <v>82387</v>
      </c>
    </row>
    <row r="2484">
      <c r="A2484" s="2">
        <f>IFERROR(__xludf.DUMMYFUNCTION("""COMPUTED_VALUE"""),44601.64583333333)</f>
        <v>44601.64583</v>
      </c>
      <c r="B2484" s="1">
        <f>IFERROR(__xludf.DUMMYFUNCTION("""COMPUTED_VALUE"""),27800.0)</f>
        <v>27800</v>
      </c>
      <c r="C2484" s="1">
        <f>IFERROR(__xludf.DUMMYFUNCTION("""COMPUTED_VALUE"""),28400.0)</f>
        <v>28400</v>
      </c>
      <c r="D2484" s="1">
        <f>IFERROR(__xludf.DUMMYFUNCTION("""COMPUTED_VALUE"""),27800.0)</f>
        <v>27800</v>
      </c>
      <c r="E2484" s="1">
        <f>IFERROR(__xludf.DUMMYFUNCTION("""COMPUTED_VALUE"""),28150.0)</f>
        <v>28150</v>
      </c>
      <c r="F2484" s="1">
        <f>IFERROR(__xludf.DUMMYFUNCTION("""COMPUTED_VALUE"""),40827.0)</f>
        <v>40827</v>
      </c>
    </row>
    <row r="2485">
      <c r="A2485" s="2">
        <f>IFERROR(__xludf.DUMMYFUNCTION("""COMPUTED_VALUE"""),44602.64583333333)</f>
        <v>44602.64583</v>
      </c>
      <c r="B2485" s="1">
        <f>IFERROR(__xludf.DUMMYFUNCTION("""COMPUTED_VALUE"""),28300.0)</f>
        <v>28300</v>
      </c>
      <c r="C2485" s="1">
        <f>IFERROR(__xludf.DUMMYFUNCTION("""COMPUTED_VALUE"""),28550.0)</f>
        <v>28550</v>
      </c>
      <c r="D2485" s="1">
        <f>IFERROR(__xludf.DUMMYFUNCTION("""COMPUTED_VALUE"""),27900.0)</f>
        <v>27900</v>
      </c>
      <c r="E2485" s="1">
        <f>IFERROR(__xludf.DUMMYFUNCTION("""COMPUTED_VALUE"""),28000.0)</f>
        <v>28000</v>
      </c>
      <c r="F2485" s="1">
        <f>IFERROR(__xludf.DUMMYFUNCTION("""COMPUTED_VALUE"""),42186.0)</f>
        <v>42186</v>
      </c>
    </row>
    <row r="2486">
      <c r="A2486" s="2">
        <f>IFERROR(__xludf.DUMMYFUNCTION("""COMPUTED_VALUE"""),44603.64583333333)</f>
        <v>44603.64583</v>
      </c>
      <c r="B2486" s="1">
        <f>IFERROR(__xludf.DUMMYFUNCTION("""COMPUTED_VALUE"""),27700.0)</f>
        <v>27700</v>
      </c>
      <c r="C2486" s="1">
        <f>IFERROR(__xludf.DUMMYFUNCTION("""COMPUTED_VALUE"""),28600.0)</f>
        <v>28600</v>
      </c>
      <c r="D2486" s="1">
        <f>IFERROR(__xludf.DUMMYFUNCTION("""COMPUTED_VALUE"""),27150.0)</f>
        <v>27150</v>
      </c>
      <c r="E2486" s="1">
        <f>IFERROR(__xludf.DUMMYFUNCTION("""COMPUTED_VALUE"""),27700.0)</f>
        <v>27700</v>
      </c>
      <c r="F2486" s="1">
        <f>IFERROR(__xludf.DUMMYFUNCTION("""COMPUTED_VALUE"""),53343.0)</f>
        <v>53343</v>
      </c>
    </row>
    <row r="2487">
      <c r="A2487" s="2">
        <f>IFERROR(__xludf.DUMMYFUNCTION("""COMPUTED_VALUE"""),44606.64583333333)</f>
        <v>44606.64583</v>
      </c>
      <c r="B2487" s="1">
        <f>IFERROR(__xludf.DUMMYFUNCTION("""COMPUTED_VALUE"""),27300.0)</f>
        <v>27300</v>
      </c>
      <c r="C2487" s="1">
        <f>IFERROR(__xludf.DUMMYFUNCTION("""COMPUTED_VALUE"""),27550.0)</f>
        <v>27550</v>
      </c>
      <c r="D2487" s="1">
        <f>IFERROR(__xludf.DUMMYFUNCTION("""COMPUTED_VALUE"""),26350.0)</f>
        <v>26350</v>
      </c>
      <c r="E2487" s="1">
        <f>IFERROR(__xludf.DUMMYFUNCTION("""COMPUTED_VALUE"""),26700.0)</f>
        <v>26700</v>
      </c>
      <c r="F2487" s="1">
        <f>IFERROR(__xludf.DUMMYFUNCTION("""COMPUTED_VALUE"""),47786.0)</f>
        <v>47786</v>
      </c>
    </row>
    <row r="2488">
      <c r="A2488" s="2">
        <f>IFERROR(__xludf.DUMMYFUNCTION("""COMPUTED_VALUE"""),44607.64583333333)</f>
        <v>44607.64583</v>
      </c>
      <c r="B2488" s="1">
        <f>IFERROR(__xludf.DUMMYFUNCTION("""COMPUTED_VALUE"""),26750.0)</f>
        <v>26750</v>
      </c>
      <c r="C2488" s="1">
        <f>IFERROR(__xludf.DUMMYFUNCTION("""COMPUTED_VALUE"""),27800.0)</f>
        <v>27800</v>
      </c>
      <c r="D2488" s="1">
        <f>IFERROR(__xludf.DUMMYFUNCTION("""COMPUTED_VALUE"""),26400.0)</f>
        <v>26400</v>
      </c>
      <c r="E2488" s="1">
        <f>IFERROR(__xludf.DUMMYFUNCTION("""COMPUTED_VALUE"""),26500.0)</f>
        <v>26500</v>
      </c>
      <c r="F2488" s="1">
        <f>IFERROR(__xludf.DUMMYFUNCTION("""COMPUTED_VALUE"""),35981.0)</f>
        <v>35981</v>
      </c>
    </row>
    <row r="2489">
      <c r="A2489" s="2">
        <f>IFERROR(__xludf.DUMMYFUNCTION("""COMPUTED_VALUE"""),44608.64583333333)</f>
        <v>44608.64583</v>
      </c>
      <c r="B2489" s="1">
        <f>IFERROR(__xludf.DUMMYFUNCTION("""COMPUTED_VALUE"""),26900.0)</f>
        <v>26900</v>
      </c>
      <c r="C2489" s="1">
        <f>IFERROR(__xludf.DUMMYFUNCTION("""COMPUTED_VALUE"""),29500.0)</f>
        <v>29500</v>
      </c>
      <c r="D2489" s="1">
        <f>IFERROR(__xludf.DUMMYFUNCTION("""COMPUTED_VALUE"""),26900.0)</f>
        <v>26900</v>
      </c>
      <c r="E2489" s="1">
        <f>IFERROR(__xludf.DUMMYFUNCTION("""COMPUTED_VALUE"""),27950.0)</f>
        <v>27950</v>
      </c>
      <c r="F2489" s="1">
        <f>IFERROR(__xludf.DUMMYFUNCTION("""COMPUTED_VALUE"""),124707.0)</f>
        <v>124707</v>
      </c>
    </row>
    <row r="2490">
      <c r="A2490" s="2">
        <f>IFERROR(__xludf.DUMMYFUNCTION("""COMPUTED_VALUE"""),44609.64583333333)</f>
        <v>44609.64583</v>
      </c>
      <c r="B2490" s="1">
        <f>IFERROR(__xludf.DUMMYFUNCTION("""COMPUTED_VALUE"""),27950.0)</f>
        <v>27950</v>
      </c>
      <c r="C2490" s="1">
        <f>IFERROR(__xludf.DUMMYFUNCTION("""COMPUTED_VALUE"""),28650.0)</f>
        <v>28650</v>
      </c>
      <c r="D2490" s="1">
        <f>IFERROR(__xludf.DUMMYFUNCTION("""COMPUTED_VALUE"""),27400.0)</f>
        <v>27400</v>
      </c>
      <c r="E2490" s="1">
        <f>IFERROR(__xludf.DUMMYFUNCTION("""COMPUTED_VALUE"""),28050.0)</f>
        <v>28050</v>
      </c>
      <c r="F2490" s="1">
        <f>IFERROR(__xludf.DUMMYFUNCTION("""COMPUTED_VALUE"""),68408.0)</f>
        <v>68408</v>
      </c>
    </row>
    <row r="2491">
      <c r="A2491" s="2">
        <f>IFERROR(__xludf.DUMMYFUNCTION("""COMPUTED_VALUE"""),44610.64583333333)</f>
        <v>44610.64583</v>
      </c>
      <c r="B2491" s="1">
        <f>IFERROR(__xludf.DUMMYFUNCTION("""COMPUTED_VALUE"""),27650.0)</f>
        <v>27650</v>
      </c>
      <c r="C2491" s="1">
        <f>IFERROR(__xludf.DUMMYFUNCTION("""COMPUTED_VALUE"""),28550.0)</f>
        <v>28550</v>
      </c>
      <c r="D2491" s="1">
        <f>IFERROR(__xludf.DUMMYFUNCTION("""COMPUTED_VALUE"""),27600.0)</f>
        <v>27600</v>
      </c>
      <c r="E2491" s="1">
        <f>IFERROR(__xludf.DUMMYFUNCTION("""COMPUTED_VALUE"""),28350.0)</f>
        <v>28350</v>
      </c>
      <c r="F2491" s="1">
        <f>IFERROR(__xludf.DUMMYFUNCTION("""COMPUTED_VALUE"""),24960.0)</f>
        <v>24960</v>
      </c>
    </row>
    <row r="2492">
      <c r="A2492" s="2">
        <f>IFERROR(__xludf.DUMMYFUNCTION("""COMPUTED_VALUE"""),44613.64583333333)</f>
        <v>44613.64583</v>
      </c>
      <c r="B2492" s="1">
        <f>IFERROR(__xludf.DUMMYFUNCTION("""COMPUTED_VALUE"""),28000.0)</f>
        <v>28000</v>
      </c>
      <c r="C2492" s="1">
        <f>IFERROR(__xludf.DUMMYFUNCTION("""COMPUTED_VALUE"""),28800.0)</f>
        <v>28800</v>
      </c>
      <c r="D2492" s="1">
        <f>IFERROR(__xludf.DUMMYFUNCTION("""COMPUTED_VALUE"""),28000.0)</f>
        <v>28000</v>
      </c>
      <c r="E2492" s="1">
        <f>IFERROR(__xludf.DUMMYFUNCTION("""COMPUTED_VALUE"""),28600.0)</f>
        <v>28600</v>
      </c>
      <c r="F2492" s="1">
        <f>IFERROR(__xludf.DUMMYFUNCTION("""COMPUTED_VALUE"""),29341.0)</f>
        <v>29341</v>
      </c>
    </row>
    <row r="2493">
      <c r="A2493" s="2">
        <f>IFERROR(__xludf.DUMMYFUNCTION("""COMPUTED_VALUE"""),44614.64583333333)</f>
        <v>44614.64583</v>
      </c>
      <c r="B2493" s="1">
        <f>IFERROR(__xludf.DUMMYFUNCTION("""COMPUTED_VALUE"""),28100.0)</f>
        <v>28100</v>
      </c>
      <c r="C2493" s="1">
        <f>IFERROR(__xludf.DUMMYFUNCTION("""COMPUTED_VALUE"""),28500.0)</f>
        <v>28500</v>
      </c>
      <c r="D2493" s="1">
        <f>IFERROR(__xludf.DUMMYFUNCTION("""COMPUTED_VALUE"""),27800.0)</f>
        <v>27800</v>
      </c>
      <c r="E2493" s="1">
        <f>IFERROR(__xludf.DUMMYFUNCTION("""COMPUTED_VALUE"""),27950.0)</f>
        <v>27950</v>
      </c>
      <c r="F2493" s="1">
        <f>IFERROR(__xludf.DUMMYFUNCTION("""COMPUTED_VALUE"""),28579.0)</f>
        <v>28579</v>
      </c>
    </row>
    <row r="2494">
      <c r="A2494" s="2">
        <f>IFERROR(__xludf.DUMMYFUNCTION("""COMPUTED_VALUE"""),44615.64583333333)</f>
        <v>44615.64583</v>
      </c>
      <c r="B2494" s="1">
        <f>IFERROR(__xludf.DUMMYFUNCTION("""COMPUTED_VALUE"""),27950.0)</f>
        <v>27950</v>
      </c>
      <c r="C2494" s="1">
        <f>IFERROR(__xludf.DUMMYFUNCTION("""COMPUTED_VALUE"""),28900.0)</f>
        <v>28900</v>
      </c>
      <c r="D2494" s="1">
        <f>IFERROR(__xludf.DUMMYFUNCTION("""COMPUTED_VALUE"""),27850.0)</f>
        <v>27850</v>
      </c>
      <c r="E2494" s="1">
        <f>IFERROR(__xludf.DUMMYFUNCTION("""COMPUTED_VALUE"""),28450.0)</f>
        <v>28450</v>
      </c>
      <c r="F2494" s="1">
        <f>IFERROR(__xludf.DUMMYFUNCTION("""COMPUTED_VALUE"""),44886.0)</f>
        <v>44886</v>
      </c>
    </row>
    <row r="2495">
      <c r="A2495" s="2">
        <f>IFERROR(__xludf.DUMMYFUNCTION("""COMPUTED_VALUE"""),44616.64583333333)</f>
        <v>44616.64583</v>
      </c>
      <c r="B2495" s="1">
        <f>IFERROR(__xludf.DUMMYFUNCTION("""COMPUTED_VALUE"""),28000.0)</f>
        <v>28000</v>
      </c>
      <c r="C2495" s="1">
        <f>IFERROR(__xludf.DUMMYFUNCTION("""COMPUTED_VALUE"""),29200.0)</f>
        <v>29200</v>
      </c>
      <c r="D2495" s="1">
        <f>IFERROR(__xludf.DUMMYFUNCTION("""COMPUTED_VALUE"""),27200.0)</f>
        <v>27200</v>
      </c>
      <c r="E2495" s="1">
        <f>IFERROR(__xludf.DUMMYFUNCTION("""COMPUTED_VALUE"""),27200.0)</f>
        <v>27200</v>
      </c>
      <c r="F2495" s="1">
        <f>IFERROR(__xludf.DUMMYFUNCTION("""COMPUTED_VALUE"""),63224.0)</f>
        <v>63224</v>
      </c>
    </row>
    <row r="2496">
      <c r="A2496" s="2">
        <f>IFERROR(__xludf.DUMMYFUNCTION("""COMPUTED_VALUE"""),44617.64583333333)</f>
        <v>44617.64583</v>
      </c>
      <c r="B2496" s="1">
        <f>IFERROR(__xludf.DUMMYFUNCTION("""COMPUTED_VALUE"""),27600.0)</f>
        <v>27600</v>
      </c>
      <c r="C2496" s="1">
        <f>IFERROR(__xludf.DUMMYFUNCTION("""COMPUTED_VALUE"""),28100.0)</f>
        <v>28100</v>
      </c>
      <c r="D2496" s="1">
        <f>IFERROR(__xludf.DUMMYFUNCTION("""COMPUTED_VALUE"""),27600.0)</f>
        <v>27600</v>
      </c>
      <c r="E2496" s="1">
        <f>IFERROR(__xludf.DUMMYFUNCTION("""COMPUTED_VALUE"""),27750.0)</f>
        <v>27750</v>
      </c>
      <c r="F2496" s="1">
        <f>IFERROR(__xludf.DUMMYFUNCTION("""COMPUTED_VALUE"""),22812.0)</f>
        <v>22812</v>
      </c>
    </row>
    <row r="2497">
      <c r="A2497" s="2">
        <f>IFERROR(__xludf.DUMMYFUNCTION("""COMPUTED_VALUE"""),44620.64583333333)</f>
        <v>44620.64583</v>
      </c>
      <c r="B2497" s="1">
        <f>IFERROR(__xludf.DUMMYFUNCTION("""COMPUTED_VALUE"""),27850.0)</f>
        <v>27850</v>
      </c>
      <c r="C2497" s="1">
        <f>IFERROR(__xludf.DUMMYFUNCTION("""COMPUTED_VALUE"""),28150.0)</f>
        <v>28150</v>
      </c>
      <c r="D2497" s="1">
        <f>IFERROR(__xludf.DUMMYFUNCTION("""COMPUTED_VALUE"""),27550.0)</f>
        <v>27550</v>
      </c>
      <c r="E2497" s="1">
        <f>IFERROR(__xludf.DUMMYFUNCTION("""COMPUTED_VALUE"""),27850.0)</f>
        <v>27850</v>
      </c>
      <c r="F2497" s="1">
        <f>IFERROR(__xludf.DUMMYFUNCTION("""COMPUTED_VALUE"""),19902.0)</f>
        <v>19902</v>
      </c>
    </row>
    <row r="2498">
      <c r="A2498" s="2">
        <f>IFERROR(__xludf.DUMMYFUNCTION("""COMPUTED_VALUE"""),44622.64583333333)</f>
        <v>44622.64583</v>
      </c>
      <c r="B2498" s="1">
        <f>IFERROR(__xludf.DUMMYFUNCTION("""COMPUTED_VALUE"""),27850.0)</f>
        <v>27850</v>
      </c>
      <c r="C2498" s="1">
        <f>IFERROR(__xludf.DUMMYFUNCTION("""COMPUTED_VALUE"""),29500.0)</f>
        <v>29500</v>
      </c>
      <c r="D2498" s="1">
        <f>IFERROR(__xludf.DUMMYFUNCTION("""COMPUTED_VALUE"""),27700.0)</f>
        <v>27700</v>
      </c>
      <c r="E2498" s="1">
        <f>IFERROR(__xludf.DUMMYFUNCTION("""COMPUTED_VALUE"""),28600.0)</f>
        <v>28600</v>
      </c>
      <c r="F2498" s="1">
        <f>IFERROR(__xludf.DUMMYFUNCTION("""COMPUTED_VALUE"""),69878.0)</f>
        <v>69878</v>
      </c>
    </row>
    <row r="2499">
      <c r="A2499" s="2">
        <f>IFERROR(__xludf.DUMMYFUNCTION("""COMPUTED_VALUE"""),44623.64583333333)</f>
        <v>44623.64583</v>
      </c>
      <c r="B2499" s="1">
        <f>IFERROR(__xludf.DUMMYFUNCTION("""COMPUTED_VALUE"""),29050.0)</f>
        <v>29050</v>
      </c>
      <c r="C2499" s="1">
        <f>IFERROR(__xludf.DUMMYFUNCTION("""COMPUTED_VALUE"""),31900.0)</f>
        <v>31900</v>
      </c>
      <c r="D2499" s="1">
        <f>IFERROR(__xludf.DUMMYFUNCTION("""COMPUTED_VALUE"""),28700.0)</f>
        <v>28700</v>
      </c>
      <c r="E2499" s="1">
        <f>IFERROR(__xludf.DUMMYFUNCTION("""COMPUTED_VALUE"""),29850.0)</f>
        <v>29850</v>
      </c>
      <c r="F2499" s="1">
        <f>IFERROR(__xludf.DUMMYFUNCTION("""COMPUTED_VALUE"""),476505.0)</f>
        <v>476505</v>
      </c>
    </row>
    <row r="2500">
      <c r="A2500" s="2">
        <f>IFERROR(__xludf.DUMMYFUNCTION("""COMPUTED_VALUE"""),44624.64583333333)</f>
        <v>44624.64583</v>
      </c>
      <c r="B2500" s="1">
        <f>IFERROR(__xludf.DUMMYFUNCTION("""COMPUTED_VALUE"""),29900.0)</f>
        <v>29900</v>
      </c>
      <c r="C2500" s="1">
        <f>IFERROR(__xludf.DUMMYFUNCTION("""COMPUTED_VALUE"""),30300.0)</f>
        <v>30300</v>
      </c>
      <c r="D2500" s="1">
        <f>IFERROR(__xludf.DUMMYFUNCTION("""COMPUTED_VALUE"""),29500.0)</f>
        <v>29500</v>
      </c>
      <c r="E2500" s="1">
        <f>IFERROR(__xludf.DUMMYFUNCTION("""COMPUTED_VALUE"""),29900.0)</f>
        <v>29900</v>
      </c>
      <c r="F2500" s="1">
        <f>IFERROR(__xludf.DUMMYFUNCTION("""COMPUTED_VALUE"""),50721.0)</f>
        <v>50721</v>
      </c>
    </row>
    <row r="2501">
      <c r="A2501" s="2">
        <f>IFERROR(__xludf.DUMMYFUNCTION("""COMPUTED_VALUE"""),44627.64583333333)</f>
        <v>44627.64583</v>
      </c>
      <c r="B2501" s="1">
        <f>IFERROR(__xludf.DUMMYFUNCTION("""COMPUTED_VALUE"""),29600.0)</f>
        <v>29600</v>
      </c>
      <c r="C2501" s="1">
        <f>IFERROR(__xludf.DUMMYFUNCTION("""COMPUTED_VALUE"""),31100.0)</f>
        <v>31100</v>
      </c>
      <c r="D2501" s="1">
        <f>IFERROR(__xludf.DUMMYFUNCTION("""COMPUTED_VALUE"""),28800.0)</f>
        <v>28800</v>
      </c>
      <c r="E2501" s="1">
        <f>IFERROR(__xludf.DUMMYFUNCTION("""COMPUTED_VALUE"""),28800.0)</f>
        <v>28800</v>
      </c>
      <c r="F2501" s="1">
        <f>IFERROR(__xludf.DUMMYFUNCTION("""COMPUTED_VALUE"""),89898.0)</f>
        <v>89898</v>
      </c>
    </row>
    <row r="2502">
      <c r="A2502" s="2">
        <f>IFERROR(__xludf.DUMMYFUNCTION("""COMPUTED_VALUE"""),44628.64583333333)</f>
        <v>44628.64583</v>
      </c>
      <c r="B2502" s="1">
        <f>IFERROR(__xludf.DUMMYFUNCTION("""COMPUTED_VALUE"""),28250.0)</f>
        <v>28250</v>
      </c>
      <c r="C2502" s="1">
        <f>IFERROR(__xludf.DUMMYFUNCTION("""COMPUTED_VALUE"""),29450.0)</f>
        <v>29450</v>
      </c>
      <c r="D2502" s="1">
        <f>IFERROR(__xludf.DUMMYFUNCTION("""COMPUTED_VALUE"""),28250.0)</f>
        <v>28250</v>
      </c>
      <c r="E2502" s="1">
        <f>IFERROR(__xludf.DUMMYFUNCTION("""COMPUTED_VALUE"""),28750.0)</f>
        <v>28750</v>
      </c>
      <c r="F2502" s="1">
        <f>IFERROR(__xludf.DUMMYFUNCTION("""COMPUTED_VALUE"""),27167.0)</f>
        <v>27167</v>
      </c>
    </row>
    <row r="2503">
      <c r="A2503" s="2">
        <f>IFERROR(__xludf.DUMMYFUNCTION("""COMPUTED_VALUE"""),44630.64583333333)</f>
        <v>44630.64583</v>
      </c>
      <c r="B2503" s="1">
        <f>IFERROR(__xludf.DUMMYFUNCTION("""COMPUTED_VALUE"""),29150.0)</f>
        <v>29150</v>
      </c>
      <c r="C2503" s="1">
        <f>IFERROR(__xludf.DUMMYFUNCTION("""COMPUTED_VALUE"""),29800.0)</f>
        <v>29800</v>
      </c>
      <c r="D2503" s="1">
        <f>IFERROR(__xludf.DUMMYFUNCTION("""COMPUTED_VALUE"""),29150.0)</f>
        <v>29150</v>
      </c>
      <c r="E2503" s="1">
        <f>IFERROR(__xludf.DUMMYFUNCTION("""COMPUTED_VALUE"""),29150.0)</f>
        <v>29150</v>
      </c>
      <c r="F2503" s="1">
        <f>IFERROR(__xludf.DUMMYFUNCTION("""COMPUTED_VALUE"""),26353.0)</f>
        <v>26353</v>
      </c>
    </row>
    <row r="2504">
      <c r="A2504" s="2">
        <f>IFERROR(__xludf.DUMMYFUNCTION("""COMPUTED_VALUE"""),44631.64583333333)</f>
        <v>44631.64583</v>
      </c>
      <c r="B2504" s="1">
        <f>IFERROR(__xludf.DUMMYFUNCTION("""COMPUTED_VALUE"""),29150.0)</f>
        <v>29150</v>
      </c>
      <c r="C2504" s="1">
        <f>IFERROR(__xludf.DUMMYFUNCTION("""COMPUTED_VALUE"""),30100.0)</f>
        <v>30100</v>
      </c>
      <c r="D2504" s="1">
        <f>IFERROR(__xludf.DUMMYFUNCTION("""COMPUTED_VALUE"""),29150.0)</f>
        <v>29150</v>
      </c>
      <c r="E2504" s="1">
        <f>IFERROR(__xludf.DUMMYFUNCTION("""COMPUTED_VALUE"""),29600.0)</f>
        <v>29600</v>
      </c>
      <c r="F2504" s="1">
        <f>IFERROR(__xludf.DUMMYFUNCTION("""COMPUTED_VALUE"""),43291.0)</f>
        <v>43291</v>
      </c>
    </row>
    <row r="2505">
      <c r="A2505" s="2">
        <f>IFERROR(__xludf.DUMMYFUNCTION("""COMPUTED_VALUE"""),44634.64583333333)</f>
        <v>44634.64583</v>
      </c>
      <c r="B2505" s="1">
        <f>IFERROR(__xludf.DUMMYFUNCTION("""COMPUTED_VALUE"""),29700.0)</f>
        <v>29700</v>
      </c>
      <c r="C2505" s="1">
        <f>IFERROR(__xludf.DUMMYFUNCTION("""COMPUTED_VALUE"""),30550.0)</f>
        <v>30550</v>
      </c>
      <c r="D2505" s="1">
        <f>IFERROR(__xludf.DUMMYFUNCTION("""COMPUTED_VALUE"""),29450.0)</f>
        <v>29450</v>
      </c>
      <c r="E2505" s="1">
        <f>IFERROR(__xludf.DUMMYFUNCTION("""COMPUTED_VALUE"""),29750.0)</f>
        <v>29750</v>
      </c>
      <c r="F2505" s="1">
        <f>IFERROR(__xludf.DUMMYFUNCTION("""COMPUTED_VALUE"""),58481.0)</f>
        <v>58481</v>
      </c>
    </row>
    <row r="2506">
      <c r="A2506" s="2">
        <f>IFERROR(__xludf.DUMMYFUNCTION("""COMPUTED_VALUE"""),44635.64583333333)</f>
        <v>44635.64583</v>
      </c>
      <c r="B2506" s="1">
        <f>IFERROR(__xludf.DUMMYFUNCTION("""COMPUTED_VALUE"""),29600.0)</f>
        <v>29600</v>
      </c>
      <c r="C2506" s="1">
        <f>IFERROR(__xludf.DUMMYFUNCTION("""COMPUTED_VALUE"""),30000.0)</f>
        <v>30000</v>
      </c>
      <c r="D2506" s="1">
        <f>IFERROR(__xludf.DUMMYFUNCTION("""COMPUTED_VALUE"""),29450.0)</f>
        <v>29450</v>
      </c>
      <c r="E2506" s="1">
        <f>IFERROR(__xludf.DUMMYFUNCTION("""COMPUTED_VALUE"""),29500.0)</f>
        <v>29500</v>
      </c>
      <c r="F2506" s="1">
        <f>IFERROR(__xludf.DUMMYFUNCTION("""COMPUTED_VALUE"""),40125.0)</f>
        <v>40125</v>
      </c>
    </row>
    <row r="2507">
      <c r="A2507" s="2">
        <f>IFERROR(__xludf.DUMMYFUNCTION("""COMPUTED_VALUE"""),44636.64583333333)</f>
        <v>44636.64583</v>
      </c>
      <c r="B2507" s="1">
        <f>IFERROR(__xludf.DUMMYFUNCTION("""COMPUTED_VALUE"""),29550.0)</f>
        <v>29550</v>
      </c>
      <c r="C2507" s="1">
        <f>IFERROR(__xludf.DUMMYFUNCTION("""COMPUTED_VALUE"""),30000.0)</f>
        <v>30000</v>
      </c>
      <c r="D2507" s="1">
        <f>IFERROR(__xludf.DUMMYFUNCTION("""COMPUTED_VALUE"""),29400.0)</f>
        <v>29400</v>
      </c>
      <c r="E2507" s="1">
        <f>IFERROR(__xludf.DUMMYFUNCTION("""COMPUTED_VALUE"""),29550.0)</f>
        <v>29550</v>
      </c>
      <c r="F2507" s="1">
        <f>IFERROR(__xludf.DUMMYFUNCTION("""COMPUTED_VALUE"""),24784.0)</f>
        <v>24784</v>
      </c>
    </row>
    <row r="2508">
      <c r="A2508" s="2">
        <f>IFERROR(__xludf.DUMMYFUNCTION("""COMPUTED_VALUE"""),44637.64583333333)</f>
        <v>44637.64583</v>
      </c>
      <c r="B2508" s="1">
        <f>IFERROR(__xludf.DUMMYFUNCTION("""COMPUTED_VALUE"""),29800.0)</f>
        <v>29800</v>
      </c>
      <c r="C2508" s="1">
        <f>IFERROR(__xludf.DUMMYFUNCTION("""COMPUTED_VALUE"""),30550.0)</f>
        <v>30550</v>
      </c>
      <c r="D2508" s="1">
        <f>IFERROR(__xludf.DUMMYFUNCTION("""COMPUTED_VALUE"""),29650.0)</f>
        <v>29650</v>
      </c>
      <c r="E2508" s="1">
        <f>IFERROR(__xludf.DUMMYFUNCTION("""COMPUTED_VALUE"""),30150.0)</f>
        <v>30150</v>
      </c>
      <c r="F2508" s="1">
        <f>IFERROR(__xludf.DUMMYFUNCTION("""COMPUTED_VALUE"""),53413.0)</f>
        <v>53413</v>
      </c>
    </row>
    <row r="2509">
      <c r="A2509" s="2">
        <f>IFERROR(__xludf.DUMMYFUNCTION("""COMPUTED_VALUE"""),44638.64583333333)</f>
        <v>44638.64583</v>
      </c>
      <c r="B2509" s="1">
        <f>IFERROR(__xludf.DUMMYFUNCTION("""COMPUTED_VALUE"""),30150.0)</f>
        <v>30150</v>
      </c>
      <c r="C2509" s="1">
        <f>IFERROR(__xludf.DUMMYFUNCTION("""COMPUTED_VALUE"""),30400.0)</f>
        <v>30400</v>
      </c>
      <c r="D2509" s="1">
        <f>IFERROR(__xludf.DUMMYFUNCTION("""COMPUTED_VALUE"""),29750.0)</f>
        <v>29750</v>
      </c>
      <c r="E2509" s="1">
        <f>IFERROR(__xludf.DUMMYFUNCTION("""COMPUTED_VALUE"""),29800.0)</f>
        <v>29800</v>
      </c>
      <c r="F2509" s="1">
        <f>IFERROR(__xludf.DUMMYFUNCTION("""COMPUTED_VALUE"""),32043.0)</f>
        <v>32043</v>
      </c>
    </row>
    <row r="2510">
      <c r="A2510" s="2">
        <f>IFERROR(__xludf.DUMMYFUNCTION("""COMPUTED_VALUE"""),44641.64583333333)</f>
        <v>44641.64583</v>
      </c>
      <c r="B2510" s="1">
        <f>IFERROR(__xludf.DUMMYFUNCTION("""COMPUTED_VALUE"""),29900.0)</f>
        <v>29900</v>
      </c>
      <c r="C2510" s="1">
        <f>IFERROR(__xludf.DUMMYFUNCTION("""COMPUTED_VALUE"""),30200.0)</f>
        <v>30200</v>
      </c>
      <c r="D2510" s="1">
        <f>IFERROR(__xludf.DUMMYFUNCTION("""COMPUTED_VALUE"""),29700.0)</f>
        <v>29700</v>
      </c>
      <c r="E2510" s="1">
        <f>IFERROR(__xludf.DUMMYFUNCTION("""COMPUTED_VALUE"""),29800.0)</f>
        <v>29800</v>
      </c>
      <c r="F2510" s="1">
        <f>IFERROR(__xludf.DUMMYFUNCTION("""COMPUTED_VALUE"""),20574.0)</f>
        <v>20574</v>
      </c>
    </row>
    <row r="2511">
      <c r="A2511" s="2">
        <f>IFERROR(__xludf.DUMMYFUNCTION("""COMPUTED_VALUE"""),44642.64583333333)</f>
        <v>44642.64583</v>
      </c>
      <c r="B2511" s="1">
        <f>IFERROR(__xludf.DUMMYFUNCTION("""COMPUTED_VALUE"""),29700.0)</f>
        <v>29700</v>
      </c>
      <c r="C2511" s="1">
        <f>IFERROR(__xludf.DUMMYFUNCTION("""COMPUTED_VALUE"""),30100.0)</f>
        <v>30100</v>
      </c>
      <c r="D2511" s="1">
        <f>IFERROR(__xludf.DUMMYFUNCTION("""COMPUTED_VALUE"""),29700.0)</f>
        <v>29700</v>
      </c>
      <c r="E2511" s="1">
        <f>IFERROR(__xludf.DUMMYFUNCTION("""COMPUTED_VALUE"""),29800.0)</f>
        <v>29800</v>
      </c>
      <c r="F2511" s="1">
        <f>IFERROR(__xludf.DUMMYFUNCTION("""COMPUTED_VALUE"""),19964.0)</f>
        <v>19964</v>
      </c>
    </row>
    <row r="2512">
      <c r="A2512" s="2">
        <f>IFERROR(__xludf.DUMMYFUNCTION("""COMPUTED_VALUE"""),44643.64583333333)</f>
        <v>44643.64583</v>
      </c>
      <c r="B2512" s="1">
        <f>IFERROR(__xludf.DUMMYFUNCTION("""COMPUTED_VALUE"""),29900.0)</f>
        <v>29900</v>
      </c>
      <c r="C2512" s="1">
        <f>IFERROR(__xludf.DUMMYFUNCTION("""COMPUTED_VALUE"""),30600.0)</f>
        <v>30600</v>
      </c>
      <c r="D2512" s="1">
        <f>IFERROR(__xludf.DUMMYFUNCTION("""COMPUTED_VALUE"""),29800.0)</f>
        <v>29800</v>
      </c>
      <c r="E2512" s="1">
        <f>IFERROR(__xludf.DUMMYFUNCTION("""COMPUTED_VALUE"""),29850.0)</f>
        <v>29850</v>
      </c>
      <c r="F2512" s="1">
        <f>IFERROR(__xludf.DUMMYFUNCTION("""COMPUTED_VALUE"""),39015.0)</f>
        <v>39015</v>
      </c>
    </row>
    <row r="2513">
      <c r="A2513" s="2">
        <f>IFERROR(__xludf.DUMMYFUNCTION("""COMPUTED_VALUE"""),44644.64583333333)</f>
        <v>44644.64583</v>
      </c>
      <c r="B2513" s="1">
        <f>IFERROR(__xludf.DUMMYFUNCTION("""COMPUTED_VALUE"""),29850.0)</f>
        <v>29850</v>
      </c>
      <c r="C2513" s="1">
        <f>IFERROR(__xludf.DUMMYFUNCTION("""COMPUTED_VALUE"""),30100.0)</f>
        <v>30100</v>
      </c>
      <c r="D2513" s="1">
        <f>IFERROR(__xludf.DUMMYFUNCTION("""COMPUTED_VALUE"""),29650.0)</f>
        <v>29650</v>
      </c>
      <c r="E2513" s="1">
        <f>IFERROR(__xludf.DUMMYFUNCTION("""COMPUTED_VALUE"""),29850.0)</f>
        <v>29850</v>
      </c>
      <c r="F2513" s="1">
        <f>IFERROR(__xludf.DUMMYFUNCTION("""COMPUTED_VALUE"""),29083.0)</f>
        <v>29083</v>
      </c>
    </row>
    <row r="2514">
      <c r="A2514" s="2">
        <f>IFERROR(__xludf.DUMMYFUNCTION("""COMPUTED_VALUE"""),44645.64583333333)</f>
        <v>44645.64583</v>
      </c>
      <c r="B2514" s="1">
        <f>IFERROR(__xludf.DUMMYFUNCTION("""COMPUTED_VALUE"""),30100.0)</f>
        <v>30100</v>
      </c>
      <c r="C2514" s="1">
        <f>IFERROR(__xludf.DUMMYFUNCTION("""COMPUTED_VALUE"""),35000.0)</f>
        <v>35000</v>
      </c>
      <c r="D2514" s="1">
        <f>IFERROR(__xludf.DUMMYFUNCTION("""COMPUTED_VALUE"""),29900.0)</f>
        <v>29900</v>
      </c>
      <c r="E2514" s="1">
        <f>IFERROR(__xludf.DUMMYFUNCTION("""COMPUTED_VALUE"""),31450.0)</f>
        <v>31450</v>
      </c>
      <c r="F2514" s="1">
        <f>IFERROR(__xludf.DUMMYFUNCTION("""COMPUTED_VALUE"""),1957845.0)</f>
        <v>1957845</v>
      </c>
    </row>
    <row r="2515">
      <c r="A2515" s="2">
        <f>IFERROR(__xludf.DUMMYFUNCTION("""COMPUTED_VALUE"""),44648.64583333333)</f>
        <v>44648.64583</v>
      </c>
      <c r="B2515" s="1">
        <f>IFERROR(__xludf.DUMMYFUNCTION("""COMPUTED_VALUE"""),31000.0)</f>
        <v>31000</v>
      </c>
      <c r="C2515" s="1">
        <f>IFERROR(__xludf.DUMMYFUNCTION("""COMPUTED_VALUE"""),32100.0)</f>
        <v>32100</v>
      </c>
      <c r="D2515" s="1">
        <f>IFERROR(__xludf.DUMMYFUNCTION("""COMPUTED_VALUE"""),31000.0)</f>
        <v>31000</v>
      </c>
      <c r="E2515" s="1">
        <f>IFERROR(__xludf.DUMMYFUNCTION("""COMPUTED_VALUE"""),31800.0)</f>
        <v>31800</v>
      </c>
      <c r="F2515" s="1">
        <f>IFERROR(__xludf.DUMMYFUNCTION("""COMPUTED_VALUE"""),193149.0)</f>
        <v>193149</v>
      </c>
    </row>
    <row r="2516">
      <c r="A2516" s="2">
        <f>IFERROR(__xludf.DUMMYFUNCTION("""COMPUTED_VALUE"""),44649.64583333333)</f>
        <v>44649.64583</v>
      </c>
      <c r="B2516" s="1">
        <f>IFERROR(__xludf.DUMMYFUNCTION("""COMPUTED_VALUE"""),32250.0)</f>
        <v>32250</v>
      </c>
      <c r="C2516" s="1">
        <f>IFERROR(__xludf.DUMMYFUNCTION("""COMPUTED_VALUE"""),34000.0)</f>
        <v>34000</v>
      </c>
      <c r="D2516" s="1">
        <f>IFERROR(__xludf.DUMMYFUNCTION("""COMPUTED_VALUE"""),31800.0)</f>
        <v>31800</v>
      </c>
      <c r="E2516" s="1">
        <f>IFERROR(__xludf.DUMMYFUNCTION("""COMPUTED_VALUE"""),33300.0)</f>
        <v>33300</v>
      </c>
      <c r="F2516" s="1">
        <f>IFERROR(__xludf.DUMMYFUNCTION("""COMPUTED_VALUE"""),762926.0)</f>
        <v>762926</v>
      </c>
    </row>
    <row r="2517">
      <c r="A2517" s="2">
        <f>IFERROR(__xludf.DUMMYFUNCTION("""COMPUTED_VALUE"""),44650.64583333333)</f>
        <v>44650.64583</v>
      </c>
      <c r="B2517" s="1">
        <f>IFERROR(__xludf.DUMMYFUNCTION("""COMPUTED_VALUE"""),33350.0)</f>
        <v>33350</v>
      </c>
      <c r="C2517" s="1">
        <f>IFERROR(__xludf.DUMMYFUNCTION("""COMPUTED_VALUE"""),33400.0)</f>
        <v>33400</v>
      </c>
      <c r="D2517" s="1">
        <f>IFERROR(__xludf.DUMMYFUNCTION("""COMPUTED_VALUE"""),32700.0)</f>
        <v>32700</v>
      </c>
      <c r="E2517" s="1">
        <f>IFERROR(__xludf.DUMMYFUNCTION("""COMPUTED_VALUE"""),33150.0)</f>
        <v>33150</v>
      </c>
      <c r="F2517" s="1">
        <f>IFERROR(__xludf.DUMMYFUNCTION("""COMPUTED_VALUE"""),123538.0)</f>
        <v>123538</v>
      </c>
    </row>
    <row r="2518">
      <c r="A2518" s="2">
        <f>IFERROR(__xludf.DUMMYFUNCTION("""COMPUTED_VALUE"""),44651.64583333333)</f>
        <v>44651.64583</v>
      </c>
      <c r="B2518" s="1">
        <f>IFERROR(__xludf.DUMMYFUNCTION("""COMPUTED_VALUE"""),33150.0)</f>
        <v>33150</v>
      </c>
      <c r="C2518" s="1">
        <f>IFERROR(__xludf.DUMMYFUNCTION("""COMPUTED_VALUE"""),34900.0)</f>
        <v>34900</v>
      </c>
      <c r="D2518" s="1">
        <f>IFERROR(__xludf.DUMMYFUNCTION("""COMPUTED_VALUE"""),32900.0)</f>
        <v>32900</v>
      </c>
      <c r="E2518" s="1">
        <f>IFERROR(__xludf.DUMMYFUNCTION("""COMPUTED_VALUE"""),33400.0)</f>
        <v>33400</v>
      </c>
      <c r="F2518" s="1">
        <f>IFERROR(__xludf.DUMMYFUNCTION("""COMPUTED_VALUE"""),293793.0)</f>
        <v>293793</v>
      </c>
    </row>
    <row r="2519">
      <c r="A2519" s="2">
        <f>IFERROR(__xludf.DUMMYFUNCTION("""COMPUTED_VALUE"""),44652.64583333333)</f>
        <v>44652.64583</v>
      </c>
      <c r="B2519" s="1">
        <f>IFERROR(__xludf.DUMMYFUNCTION("""COMPUTED_VALUE"""),33400.0)</f>
        <v>33400</v>
      </c>
      <c r="C2519" s="1">
        <f>IFERROR(__xludf.DUMMYFUNCTION("""COMPUTED_VALUE"""),34300.0)</f>
        <v>34300</v>
      </c>
      <c r="D2519" s="1">
        <f>IFERROR(__xludf.DUMMYFUNCTION("""COMPUTED_VALUE"""),33150.0)</f>
        <v>33150</v>
      </c>
      <c r="E2519" s="1">
        <f>IFERROR(__xludf.DUMMYFUNCTION("""COMPUTED_VALUE"""),33300.0)</f>
        <v>33300</v>
      </c>
      <c r="F2519" s="1">
        <f>IFERROR(__xludf.DUMMYFUNCTION("""COMPUTED_VALUE"""),155389.0)</f>
        <v>155389</v>
      </c>
    </row>
    <row r="2520">
      <c r="A2520" s="2">
        <f>IFERROR(__xludf.DUMMYFUNCTION("""COMPUTED_VALUE"""),44655.64583333333)</f>
        <v>44655.64583</v>
      </c>
      <c r="B2520" s="1">
        <f>IFERROR(__xludf.DUMMYFUNCTION("""COMPUTED_VALUE"""),33300.0)</f>
        <v>33300</v>
      </c>
      <c r="C2520" s="1">
        <f>IFERROR(__xludf.DUMMYFUNCTION("""COMPUTED_VALUE"""),33550.0)</f>
        <v>33550</v>
      </c>
      <c r="D2520" s="1">
        <f>IFERROR(__xludf.DUMMYFUNCTION("""COMPUTED_VALUE"""),32450.0)</f>
        <v>32450</v>
      </c>
      <c r="E2520" s="1">
        <f>IFERROR(__xludf.DUMMYFUNCTION("""COMPUTED_VALUE"""),32700.0)</f>
        <v>32700</v>
      </c>
      <c r="F2520" s="1">
        <f>IFERROR(__xludf.DUMMYFUNCTION("""COMPUTED_VALUE"""),76880.0)</f>
        <v>76880</v>
      </c>
    </row>
    <row r="2521">
      <c r="A2521" s="2">
        <f>IFERROR(__xludf.DUMMYFUNCTION("""COMPUTED_VALUE"""),44656.64583333333)</f>
        <v>44656.64583</v>
      </c>
      <c r="B2521" s="1">
        <f>IFERROR(__xludf.DUMMYFUNCTION("""COMPUTED_VALUE"""),32850.0)</f>
        <v>32850</v>
      </c>
      <c r="C2521" s="1">
        <f>IFERROR(__xludf.DUMMYFUNCTION("""COMPUTED_VALUE"""),33100.0)</f>
        <v>33100</v>
      </c>
      <c r="D2521" s="1">
        <f>IFERROR(__xludf.DUMMYFUNCTION("""COMPUTED_VALUE"""),32500.0)</f>
        <v>32500</v>
      </c>
      <c r="E2521" s="1">
        <f>IFERROR(__xludf.DUMMYFUNCTION("""COMPUTED_VALUE"""),32650.0)</f>
        <v>32650</v>
      </c>
      <c r="F2521" s="1">
        <f>IFERROR(__xludf.DUMMYFUNCTION("""COMPUTED_VALUE"""),41940.0)</f>
        <v>41940</v>
      </c>
    </row>
    <row r="2522">
      <c r="A2522" s="2">
        <f>IFERROR(__xludf.DUMMYFUNCTION("""COMPUTED_VALUE"""),44657.64583333333)</f>
        <v>44657.64583</v>
      </c>
      <c r="B2522" s="1">
        <f>IFERROR(__xludf.DUMMYFUNCTION("""COMPUTED_VALUE"""),32300.0)</f>
        <v>32300</v>
      </c>
      <c r="C2522" s="1">
        <f>IFERROR(__xludf.DUMMYFUNCTION("""COMPUTED_VALUE"""),32650.0)</f>
        <v>32650</v>
      </c>
      <c r="D2522" s="1">
        <f>IFERROR(__xludf.DUMMYFUNCTION("""COMPUTED_VALUE"""),31850.0)</f>
        <v>31850</v>
      </c>
      <c r="E2522" s="1">
        <f>IFERROR(__xludf.DUMMYFUNCTION("""COMPUTED_VALUE"""),32200.0)</f>
        <v>32200</v>
      </c>
      <c r="F2522" s="1">
        <f>IFERROR(__xludf.DUMMYFUNCTION("""COMPUTED_VALUE"""),59411.0)</f>
        <v>59411</v>
      </c>
    </row>
    <row r="2523">
      <c r="A2523" s="2">
        <f>IFERROR(__xludf.DUMMYFUNCTION("""COMPUTED_VALUE"""),44658.64583333333)</f>
        <v>44658.64583</v>
      </c>
      <c r="B2523" s="1">
        <f>IFERROR(__xludf.DUMMYFUNCTION("""COMPUTED_VALUE"""),31700.0)</f>
        <v>31700</v>
      </c>
      <c r="C2523" s="1">
        <f>IFERROR(__xludf.DUMMYFUNCTION("""COMPUTED_VALUE"""),32000.0)</f>
        <v>32000</v>
      </c>
      <c r="D2523" s="1">
        <f>IFERROR(__xludf.DUMMYFUNCTION("""COMPUTED_VALUE"""),31150.0)</f>
        <v>31150</v>
      </c>
      <c r="E2523" s="1">
        <f>IFERROR(__xludf.DUMMYFUNCTION("""COMPUTED_VALUE"""),31350.0)</f>
        <v>31350</v>
      </c>
      <c r="F2523" s="1">
        <f>IFERROR(__xludf.DUMMYFUNCTION("""COMPUTED_VALUE"""),46193.0)</f>
        <v>46193</v>
      </c>
    </row>
    <row r="2524">
      <c r="A2524" s="2">
        <f>IFERROR(__xludf.DUMMYFUNCTION("""COMPUTED_VALUE"""),44659.64583333333)</f>
        <v>44659.64583</v>
      </c>
      <c r="B2524" s="1">
        <f>IFERROR(__xludf.DUMMYFUNCTION("""COMPUTED_VALUE"""),31550.0)</f>
        <v>31550</v>
      </c>
      <c r="C2524" s="1">
        <f>IFERROR(__xludf.DUMMYFUNCTION("""COMPUTED_VALUE"""),32100.0)</f>
        <v>32100</v>
      </c>
      <c r="D2524" s="1">
        <f>IFERROR(__xludf.DUMMYFUNCTION("""COMPUTED_VALUE"""),31350.0)</f>
        <v>31350</v>
      </c>
      <c r="E2524" s="1">
        <f>IFERROR(__xludf.DUMMYFUNCTION("""COMPUTED_VALUE"""),31800.0)</f>
        <v>31800</v>
      </c>
      <c r="F2524" s="1">
        <f>IFERROR(__xludf.DUMMYFUNCTION("""COMPUTED_VALUE"""),36701.0)</f>
        <v>36701</v>
      </c>
    </row>
    <row r="2525">
      <c r="A2525" s="2">
        <f>IFERROR(__xludf.DUMMYFUNCTION("""COMPUTED_VALUE"""),44662.64583333333)</f>
        <v>44662.64583</v>
      </c>
      <c r="B2525" s="1">
        <f>IFERROR(__xludf.DUMMYFUNCTION("""COMPUTED_VALUE"""),31700.0)</f>
        <v>31700</v>
      </c>
      <c r="C2525" s="1">
        <f>IFERROR(__xludf.DUMMYFUNCTION("""COMPUTED_VALUE"""),32100.0)</f>
        <v>32100</v>
      </c>
      <c r="D2525" s="1">
        <f>IFERROR(__xludf.DUMMYFUNCTION("""COMPUTED_VALUE"""),31500.0)</f>
        <v>31500</v>
      </c>
      <c r="E2525" s="1">
        <f>IFERROR(__xludf.DUMMYFUNCTION("""COMPUTED_VALUE"""),31700.0)</f>
        <v>31700</v>
      </c>
      <c r="F2525" s="1">
        <f>IFERROR(__xludf.DUMMYFUNCTION("""COMPUTED_VALUE"""),28118.0)</f>
        <v>28118</v>
      </c>
    </row>
    <row r="2526">
      <c r="A2526" s="2">
        <f>IFERROR(__xludf.DUMMYFUNCTION("""COMPUTED_VALUE"""),44663.64583333333)</f>
        <v>44663.64583</v>
      </c>
      <c r="B2526" s="1">
        <f>IFERROR(__xludf.DUMMYFUNCTION("""COMPUTED_VALUE"""),31500.0)</f>
        <v>31500</v>
      </c>
      <c r="C2526" s="1">
        <f>IFERROR(__xludf.DUMMYFUNCTION("""COMPUTED_VALUE"""),31500.0)</f>
        <v>31500</v>
      </c>
      <c r="D2526" s="1">
        <f>IFERROR(__xludf.DUMMYFUNCTION("""COMPUTED_VALUE"""),30500.0)</f>
        <v>30500</v>
      </c>
      <c r="E2526" s="1">
        <f>IFERROR(__xludf.DUMMYFUNCTION("""COMPUTED_VALUE"""),30650.0)</f>
        <v>30650</v>
      </c>
      <c r="F2526" s="1">
        <f>IFERROR(__xludf.DUMMYFUNCTION("""COMPUTED_VALUE"""),34542.0)</f>
        <v>34542</v>
      </c>
    </row>
    <row r="2527">
      <c r="A2527" s="2">
        <f>IFERROR(__xludf.DUMMYFUNCTION("""COMPUTED_VALUE"""),44664.64583333333)</f>
        <v>44664.64583</v>
      </c>
      <c r="B2527" s="1">
        <f>IFERROR(__xludf.DUMMYFUNCTION("""COMPUTED_VALUE"""),30650.0)</f>
        <v>30650</v>
      </c>
      <c r="C2527" s="1">
        <f>IFERROR(__xludf.DUMMYFUNCTION("""COMPUTED_VALUE"""),31800.0)</f>
        <v>31800</v>
      </c>
      <c r="D2527" s="1">
        <f>IFERROR(__xludf.DUMMYFUNCTION("""COMPUTED_VALUE"""),30600.0)</f>
        <v>30600</v>
      </c>
      <c r="E2527" s="1">
        <f>IFERROR(__xludf.DUMMYFUNCTION("""COMPUTED_VALUE"""),31450.0)</f>
        <v>31450</v>
      </c>
      <c r="F2527" s="1">
        <f>IFERROR(__xludf.DUMMYFUNCTION("""COMPUTED_VALUE"""),29964.0)</f>
        <v>29964</v>
      </c>
    </row>
    <row r="2528">
      <c r="A2528" s="2">
        <f>IFERROR(__xludf.DUMMYFUNCTION("""COMPUTED_VALUE"""),44665.64583333333)</f>
        <v>44665.64583</v>
      </c>
      <c r="B2528" s="1">
        <f>IFERROR(__xludf.DUMMYFUNCTION("""COMPUTED_VALUE"""),31400.0)</f>
        <v>31400</v>
      </c>
      <c r="C2528" s="1">
        <f>IFERROR(__xludf.DUMMYFUNCTION("""COMPUTED_VALUE"""),32050.0)</f>
        <v>32050</v>
      </c>
      <c r="D2528" s="1">
        <f>IFERROR(__xludf.DUMMYFUNCTION("""COMPUTED_VALUE"""),31200.0)</f>
        <v>31200</v>
      </c>
      <c r="E2528" s="1">
        <f>IFERROR(__xludf.DUMMYFUNCTION("""COMPUTED_VALUE"""),31900.0)</f>
        <v>31900</v>
      </c>
      <c r="F2528" s="1">
        <f>IFERROR(__xludf.DUMMYFUNCTION("""COMPUTED_VALUE"""),30017.0)</f>
        <v>30017</v>
      </c>
    </row>
    <row r="2529">
      <c r="A2529" s="2">
        <f>IFERROR(__xludf.DUMMYFUNCTION("""COMPUTED_VALUE"""),44666.64583333333)</f>
        <v>44666.64583</v>
      </c>
      <c r="B2529" s="1">
        <f>IFERROR(__xludf.DUMMYFUNCTION("""COMPUTED_VALUE"""),31950.0)</f>
        <v>31950</v>
      </c>
      <c r="C2529" s="1">
        <f>IFERROR(__xludf.DUMMYFUNCTION("""COMPUTED_VALUE"""),32700.0)</f>
        <v>32700</v>
      </c>
      <c r="D2529" s="1">
        <f>IFERROR(__xludf.DUMMYFUNCTION("""COMPUTED_VALUE"""),31400.0)</f>
        <v>31400</v>
      </c>
      <c r="E2529" s="1">
        <f>IFERROR(__xludf.DUMMYFUNCTION("""COMPUTED_VALUE"""),32400.0)</f>
        <v>32400</v>
      </c>
      <c r="F2529" s="1">
        <f>IFERROR(__xludf.DUMMYFUNCTION("""COMPUTED_VALUE"""),41425.0)</f>
        <v>41425</v>
      </c>
    </row>
    <row r="2530">
      <c r="A2530" s="2">
        <f>IFERROR(__xludf.DUMMYFUNCTION("""COMPUTED_VALUE"""),44669.64583333333)</f>
        <v>44669.64583</v>
      </c>
      <c r="B2530" s="1">
        <f>IFERROR(__xludf.DUMMYFUNCTION("""COMPUTED_VALUE"""),32400.0)</f>
        <v>32400</v>
      </c>
      <c r="C2530" s="1">
        <f>IFERROR(__xludf.DUMMYFUNCTION("""COMPUTED_VALUE"""),32450.0)</f>
        <v>32450</v>
      </c>
      <c r="D2530" s="1">
        <f>IFERROR(__xludf.DUMMYFUNCTION("""COMPUTED_VALUE"""),31850.0)</f>
        <v>31850</v>
      </c>
      <c r="E2530" s="1">
        <f>IFERROR(__xludf.DUMMYFUNCTION("""COMPUTED_VALUE"""),32400.0)</f>
        <v>32400</v>
      </c>
      <c r="F2530" s="1">
        <f>IFERROR(__xludf.DUMMYFUNCTION("""COMPUTED_VALUE"""),23537.0)</f>
        <v>23537</v>
      </c>
    </row>
    <row r="2531">
      <c r="A2531" s="2">
        <f>IFERROR(__xludf.DUMMYFUNCTION("""COMPUTED_VALUE"""),44670.64583333333)</f>
        <v>44670.64583</v>
      </c>
      <c r="B2531" s="1">
        <f>IFERROR(__xludf.DUMMYFUNCTION("""COMPUTED_VALUE"""),32300.0)</f>
        <v>32300</v>
      </c>
      <c r="C2531" s="1">
        <f>IFERROR(__xludf.DUMMYFUNCTION("""COMPUTED_VALUE"""),32900.0)</f>
        <v>32900</v>
      </c>
      <c r="D2531" s="1">
        <f>IFERROR(__xludf.DUMMYFUNCTION("""COMPUTED_VALUE"""),32200.0)</f>
        <v>32200</v>
      </c>
      <c r="E2531" s="1">
        <f>IFERROR(__xludf.DUMMYFUNCTION("""COMPUTED_VALUE"""),32400.0)</f>
        <v>32400</v>
      </c>
      <c r="F2531" s="1">
        <f>IFERROR(__xludf.DUMMYFUNCTION("""COMPUTED_VALUE"""),44582.0)</f>
        <v>44582</v>
      </c>
    </row>
    <row r="2532">
      <c r="A2532" s="2">
        <f>IFERROR(__xludf.DUMMYFUNCTION("""COMPUTED_VALUE"""),44671.64583333333)</f>
        <v>44671.64583</v>
      </c>
      <c r="B2532" s="1">
        <f>IFERROR(__xludf.DUMMYFUNCTION("""COMPUTED_VALUE"""),32500.0)</f>
        <v>32500</v>
      </c>
      <c r="C2532" s="1">
        <f>IFERROR(__xludf.DUMMYFUNCTION("""COMPUTED_VALUE"""),32600.0)</f>
        <v>32600</v>
      </c>
      <c r="D2532" s="1">
        <f>IFERROR(__xludf.DUMMYFUNCTION("""COMPUTED_VALUE"""),31700.0)</f>
        <v>31700</v>
      </c>
      <c r="E2532" s="1">
        <f>IFERROR(__xludf.DUMMYFUNCTION("""COMPUTED_VALUE"""),31700.0)</f>
        <v>31700</v>
      </c>
      <c r="F2532" s="1">
        <f>IFERROR(__xludf.DUMMYFUNCTION("""COMPUTED_VALUE"""),40013.0)</f>
        <v>40013</v>
      </c>
    </row>
    <row r="2533">
      <c r="A2533" s="2">
        <f>IFERROR(__xludf.DUMMYFUNCTION("""COMPUTED_VALUE"""),44672.64583333333)</f>
        <v>44672.64583</v>
      </c>
      <c r="B2533" s="1">
        <f>IFERROR(__xludf.DUMMYFUNCTION("""COMPUTED_VALUE"""),31600.0)</f>
        <v>31600</v>
      </c>
      <c r="C2533" s="1">
        <f>IFERROR(__xludf.DUMMYFUNCTION("""COMPUTED_VALUE"""),32150.0)</f>
        <v>32150</v>
      </c>
      <c r="D2533" s="1">
        <f>IFERROR(__xludf.DUMMYFUNCTION("""COMPUTED_VALUE"""),31200.0)</f>
        <v>31200</v>
      </c>
      <c r="E2533" s="1">
        <f>IFERROR(__xludf.DUMMYFUNCTION("""COMPUTED_VALUE"""),31450.0)</f>
        <v>31450</v>
      </c>
      <c r="F2533" s="1">
        <f>IFERROR(__xludf.DUMMYFUNCTION("""COMPUTED_VALUE"""),40052.0)</f>
        <v>40052</v>
      </c>
    </row>
    <row r="2534">
      <c r="A2534" s="2">
        <f>IFERROR(__xludf.DUMMYFUNCTION("""COMPUTED_VALUE"""),44673.64583333333)</f>
        <v>44673.64583</v>
      </c>
      <c r="B2534" s="1">
        <f>IFERROR(__xludf.DUMMYFUNCTION("""COMPUTED_VALUE"""),31350.0)</f>
        <v>31350</v>
      </c>
      <c r="C2534" s="1">
        <f>IFERROR(__xludf.DUMMYFUNCTION("""COMPUTED_VALUE"""),31400.0)</f>
        <v>31400</v>
      </c>
      <c r="D2534" s="1">
        <f>IFERROR(__xludf.DUMMYFUNCTION("""COMPUTED_VALUE"""),30500.0)</f>
        <v>30500</v>
      </c>
      <c r="E2534" s="1">
        <f>IFERROR(__xludf.DUMMYFUNCTION("""COMPUTED_VALUE"""),30750.0)</f>
        <v>30750</v>
      </c>
      <c r="F2534" s="1">
        <f>IFERROR(__xludf.DUMMYFUNCTION("""COMPUTED_VALUE"""),48013.0)</f>
        <v>48013</v>
      </c>
    </row>
    <row r="2535">
      <c r="A2535" s="2">
        <f>IFERROR(__xludf.DUMMYFUNCTION("""COMPUTED_VALUE"""),44676.64583333333)</f>
        <v>44676.64583</v>
      </c>
      <c r="B2535" s="1">
        <f>IFERROR(__xludf.DUMMYFUNCTION("""COMPUTED_VALUE"""),30300.0)</f>
        <v>30300</v>
      </c>
      <c r="C2535" s="1">
        <f>IFERROR(__xludf.DUMMYFUNCTION("""COMPUTED_VALUE"""),30300.0)</f>
        <v>30300</v>
      </c>
      <c r="D2535" s="1">
        <f>IFERROR(__xludf.DUMMYFUNCTION("""COMPUTED_VALUE"""),29800.0)</f>
        <v>29800</v>
      </c>
      <c r="E2535" s="1">
        <f>IFERROR(__xludf.DUMMYFUNCTION("""COMPUTED_VALUE"""),29900.0)</f>
        <v>29900</v>
      </c>
      <c r="F2535" s="1">
        <f>IFERROR(__xludf.DUMMYFUNCTION("""COMPUTED_VALUE"""),42958.0)</f>
        <v>42958</v>
      </c>
    </row>
    <row r="2536">
      <c r="A2536" s="2">
        <f>IFERROR(__xludf.DUMMYFUNCTION("""COMPUTED_VALUE"""),44677.64583333333)</f>
        <v>44677.64583</v>
      </c>
      <c r="B2536" s="1">
        <f>IFERROR(__xludf.DUMMYFUNCTION("""COMPUTED_VALUE"""),30000.0)</f>
        <v>30000</v>
      </c>
      <c r="C2536" s="1">
        <f>IFERROR(__xludf.DUMMYFUNCTION("""COMPUTED_VALUE"""),30450.0)</f>
        <v>30450</v>
      </c>
      <c r="D2536" s="1">
        <f>IFERROR(__xludf.DUMMYFUNCTION("""COMPUTED_VALUE"""),30000.0)</f>
        <v>30000</v>
      </c>
      <c r="E2536" s="1">
        <f>IFERROR(__xludf.DUMMYFUNCTION("""COMPUTED_VALUE"""),30200.0)</f>
        <v>30200</v>
      </c>
      <c r="F2536" s="1">
        <f>IFERROR(__xludf.DUMMYFUNCTION("""COMPUTED_VALUE"""),16871.0)</f>
        <v>16871</v>
      </c>
    </row>
    <row r="2537">
      <c r="A2537" s="2">
        <f>IFERROR(__xludf.DUMMYFUNCTION("""COMPUTED_VALUE"""),44678.64583333333)</f>
        <v>44678.64583</v>
      </c>
      <c r="B2537" s="1">
        <f>IFERROR(__xludf.DUMMYFUNCTION("""COMPUTED_VALUE"""),29700.0)</f>
        <v>29700</v>
      </c>
      <c r="C2537" s="1">
        <f>IFERROR(__xludf.DUMMYFUNCTION("""COMPUTED_VALUE"""),30600.0)</f>
        <v>30600</v>
      </c>
      <c r="D2537" s="1">
        <f>IFERROR(__xludf.DUMMYFUNCTION("""COMPUTED_VALUE"""),29500.0)</f>
        <v>29500</v>
      </c>
      <c r="E2537" s="1">
        <f>IFERROR(__xludf.DUMMYFUNCTION("""COMPUTED_VALUE"""),30300.0)</f>
        <v>30300</v>
      </c>
      <c r="F2537" s="1">
        <f>IFERROR(__xludf.DUMMYFUNCTION("""COMPUTED_VALUE"""),230246.0)</f>
        <v>230246</v>
      </c>
    </row>
    <row r="2538">
      <c r="A2538" s="2">
        <f>IFERROR(__xludf.DUMMYFUNCTION("""COMPUTED_VALUE"""),44679.64583333333)</f>
        <v>44679.64583</v>
      </c>
      <c r="B2538" s="1">
        <f>IFERROR(__xludf.DUMMYFUNCTION("""COMPUTED_VALUE"""),30500.0)</f>
        <v>30500</v>
      </c>
      <c r="C2538" s="1">
        <f>IFERROR(__xludf.DUMMYFUNCTION("""COMPUTED_VALUE"""),30700.0)</f>
        <v>30700</v>
      </c>
      <c r="D2538" s="1">
        <f>IFERROR(__xludf.DUMMYFUNCTION("""COMPUTED_VALUE"""),30000.0)</f>
        <v>30000</v>
      </c>
      <c r="E2538" s="1">
        <f>IFERROR(__xludf.DUMMYFUNCTION("""COMPUTED_VALUE"""),30350.0)</f>
        <v>30350</v>
      </c>
      <c r="F2538" s="1">
        <f>IFERROR(__xludf.DUMMYFUNCTION("""COMPUTED_VALUE"""),19337.0)</f>
        <v>19337</v>
      </c>
    </row>
    <row r="2539">
      <c r="A2539" s="2">
        <f>IFERROR(__xludf.DUMMYFUNCTION("""COMPUTED_VALUE"""),44680.64583333333)</f>
        <v>44680.64583</v>
      </c>
      <c r="B2539" s="1">
        <f>IFERROR(__xludf.DUMMYFUNCTION("""COMPUTED_VALUE"""),30350.0)</f>
        <v>30350</v>
      </c>
      <c r="C2539" s="1">
        <f>IFERROR(__xludf.DUMMYFUNCTION("""COMPUTED_VALUE"""),31150.0)</f>
        <v>31150</v>
      </c>
      <c r="D2539" s="1">
        <f>IFERROR(__xludf.DUMMYFUNCTION("""COMPUTED_VALUE"""),30300.0)</f>
        <v>30300</v>
      </c>
      <c r="E2539" s="1">
        <f>IFERROR(__xludf.DUMMYFUNCTION("""COMPUTED_VALUE"""),30800.0)</f>
        <v>30800</v>
      </c>
      <c r="F2539" s="1">
        <f>IFERROR(__xludf.DUMMYFUNCTION("""COMPUTED_VALUE"""),26633.0)</f>
        <v>26633</v>
      </c>
    </row>
    <row r="2540">
      <c r="A2540" s="2">
        <f>IFERROR(__xludf.DUMMYFUNCTION("""COMPUTED_VALUE"""),44683.64583333333)</f>
        <v>44683.64583</v>
      </c>
      <c r="B2540" s="1">
        <f>IFERROR(__xludf.DUMMYFUNCTION("""COMPUTED_VALUE"""),30200.0)</f>
        <v>30200</v>
      </c>
      <c r="C2540" s="1">
        <f>IFERROR(__xludf.DUMMYFUNCTION("""COMPUTED_VALUE"""),30700.0)</f>
        <v>30700</v>
      </c>
      <c r="D2540" s="1">
        <f>IFERROR(__xludf.DUMMYFUNCTION("""COMPUTED_VALUE"""),30000.0)</f>
        <v>30000</v>
      </c>
      <c r="E2540" s="1">
        <f>IFERROR(__xludf.DUMMYFUNCTION("""COMPUTED_VALUE"""),30100.0)</f>
        <v>30100</v>
      </c>
      <c r="F2540" s="1">
        <f>IFERROR(__xludf.DUMMYFUNCTION("""COMPUTED_VALUE"""),22959.0)</f>
        <v>22959</v>
      </c>
    </row>
    <row r="2541">
      <c r="A2541" s="2">
        <f>IFERROR(__xludf.DUMMYFUNCTION("""COMPUTED_VALUE"""),44684.64583333333)</f>
        <v>44684.64583</v>
      </c>
      <c r="B2541" s="1">
        <f>IFERROR(__xludf.DUMMYFUNCTION("""COMPUTED_VALUE"""),30250.0)</f>
        <v>30250</v>
      </c>
      <c r="C2541" s="1">
        <f>IFERROR(__xludf.DUMMYFUNCTION("""COMPUTED_VALUE"""),30700.0)</f>
        <v>30700</v>
      </c>
      <c r="D2541" s="1">
        <f>IFERROR(__xludf.DUMMYFUNCTION("""COMPUTED_VALUE"""),29900.0)</f>
        <v>29900</v>
      </c>
      <c r="E2541" s="1">
        <f>IFERROR(__xludf.DUMMYFUNCTION("""COMPUTED_VALUE"""),30000.0)</f>
        <v>30000</v>
      </c>
      <c r="F2541" s="1">
        <f>IFERROR(__xludf.DUMMYFUNCTION("""COMPUTED_VALUE"""),18957.0)</f>
        <v>18957</v>
      </c>
    </row>
    <row r="2542">
      <c r="A2542" s="2">
        <f>IFERROR(__xludf.DUMMYFUNCTION("""COMPUTED_VALUE"""),44685.64583333333)</f>
        <v>44685.64583</v>
      </c>
      <c r="B2542" s="1">
        <f>IFERROR(__xludf.DUMMYFUNCTION("""COMPUTED_VALUE"""),30050.0)</f>
        <v>30050</v>
      </c>
      <c r="C2542" s="1">
        <f>IFERROR(__xludf.DUMMYFUNCTION("""COMPUTED_VALUE"""),30150.0)</f>
        <v>30150</v>
      </c>
      <c r="D2542" s="1">
        <f>IFERROR(__xludf.DUMMYFUNCTION("""COMPUTED_VALUE"""),29100.0)</f>
        <v>29100</v>
      </c>
      <c r="E2542" s="1">
        <f>IFERROR(__xludf.DUMMYFUNCTION("""COMPUTED_VALUE"""),29200.0)</f>
        <v>29200</v>
      </c>
      <c r="F2542" s="1">
        <f>IFERROR(__xludf.DUMMYFUNCTION("""COMPUTED_VALUE"""),36604.0)</f>
        <v>36604</v>
      </c>
    </row>
    <row r="2543">
      <c r="A2543" s="2">
        <f>IFERROR(__xludf.DUMMYFUNCTION("""COMPUTED_VALUE"""),44687.64583333333)</f>
        <v>44687.64583</v>
      </c>
      <c r="B2543" s="1">
        <f>IFERROR(__xludf.DUMMYFUNCTION("""COMPUTED_VALUE"""),28950.0)</f>
        <v>28950</v>
      </c>
      <c r="C2543" s="1">
        <f>IFERROR(__xludf.DUMMYFUNCTION("""COMPUTED_VALUE"""),29000.0)</f>
        <v>29000</v>
      </c>
      <c r="D2543" s="1">
        <f>IFERROR(__xludf.DUMMYFUNCTION("""COMPUTED_VALUE"""),28400.0)</f>
        <v>28400</v>
      </c>
      <c r="E2543" s="1">
        <f>IFERROR(__xludf.DUMMYFUNCTION("""COMPUTED_VALUE"""),28600.0)</f>
        <v>28600</v>
      </c>
      <c r="F2543" s="1">
        <f>IFERROR(__xludf.DUMMYFUNCTION("""COMPUTED_VALUE"""),23340.0)</f>
        <v>23340</v>
      </c>
    </row>
    <row r="2544">
      <c r="A2544" s="2">
        <f>IFERROR(__xludf.DUMMYFUNCTION("""COMPUTED_VALUE"""),44690.64583333333)</f>
        <v>44690.64583</v>
      </c>
      <c r="B2544" s="1">
        <f>IFERROR(__xludf.DUMMYFUNCTION("""COMPUTED_VALUE"""),28600.0)</f>
        <v>28600</v>
      </c>
      <c r="C2544" s="1">
        <f>IFERROR(__xludf.DUMMYFUNCTION("""COMPUTED_VALUE"""),29500.0)</f>
        <v>29500</v>
      </c>
      <c r="D2544" s="1">
        <f>IFERROR(__xludf.DUMMYFUNCTION("""COMPUTED_VALUE"""),27600.0)</f>
        <v>27600</v>
      </c>
      <c r="E2544" s="1">
        <f>IFERROR(__xludf.DUMMYFUNCTION("""COMPUTED_VALUE"""),27600.0)</f>
        <v>27600</v>
      </c>
      <c r="F2544" s="1">
        <f>IFERROR(__xludf.DUMMYFUNCTION("""COMPUTED_VALUE"""),29848.0)</f>
        <v>29848</v>
      </c>
    </row>
    <row r="2545">
      <c r="A2545" s="2">
        <f>IFERROR(__xludf.DUMMYFUNCTION("""COMPUTED_VALUE"""),44691.64583333333)</f>
        <v>44691.64583</v>
      </c>
      <c r="B2545" s="1">
        <f>IFERROR(__xludf.DUMMYFUNCTION("""COMPUTED_VALUE"""),26850.0)</f>
        <v>26850</v>
      </c>
      <c r="C2545" s="1">
        <f>IFERROR(__xludf.DUMMYFUNCTION("""COMPUTED_VALUE"""),27500.0)</f>
        <v>27500</v>
      </c>
      <c r="D2545" s="1">
        <f>IFERROR(__xludf.DUMMYFUNCTION("""COMPUTED_VALUE"""),26250.0)</f>
        <v>26250</v>
      </c>
      <c r="E2545" s="1">
        <f>IFERROR(__xludf.DUMMYFUNCTION("""COMPUTED_VALUE"""),27400.0)</f>
        <v>27400</v>
      </c>
      <c r="F2545" s="1">
        <f>IFERROR(__xludf.DUMMYFUNCTION("""COMPUTED_VALUE"""),33063.0)</f>
        <v>33063</v>
      </c>
    </row>
    <row r="2546">
      <c r="A2546" s="2">
        <f>IFERROR(__xludf.DUMMYFUNCTION("""COMPUTED_VALUE"""),44692.64583333333)</f>
        <v>44692.64583</v>
      </c>
      <c r="B2546" s="1">
        <f>IFERROR(__xludf.DUMMYFUNCTION("""COMPUTED_VALUE"""),27100.0)</f>
        <v>27100</v>
      </c>
      <c r="C2546" s="1">
        <f>IFERROR(__xludf.DUMMYFUNCTION("""COMPUTED_VALUE"""),27850.0)</f>
        <v>27850</v>
      </c>
      <c r="D2546" s="1">
        <f>IFERROR(__xludf.DUMMYFUNCTION("""COMPUTED_VALUE"""),27100.0)</f>
        <v>27100</v>
      </c>
      <c r="E2546" s="1">
        <f>IFERROR(__xludf.DUMMYFUNCTION("""COMPUTED_VALUE"""),27350.0)</f>
        <v>27350</v>
      </c>
      <c r="F2546" s="1">
        <f>IFERROR(__xludf.DUMMYFUNCTION("""COMPUTED_VALUE"""),10961.0)</f>
        <v>10961</v>
      </c>
    </row>
    <row r="2547">
      <c r="A2547" s="2">
        <f>IFERROR(__xludf.DUMMYFUNCTION("""COMPUTED_VALUE"""),44693.64583333333)</f>
        <v>44693.64583</v>
      </c>
      <c r="B2547" s="1">
        <f>IFERROR(__xludf.DUMMYFUNCTION("""COMPUTED_VALUE"""),26600.0)</f>
        <v>26600</v>
      </c>
      <c r="C2547" s="1">
        <f>IFERROR(__xludf.DUMMYFUNCTION("""COMPUTED_VALUE"""),27000.0)</f>
        <v>27000</v>
      </c>
      <c r="D2547" s="1">
        <f>IFERROR(__xludf.DUMMYFUNCTION("""COMPUTED_VALUE"""),25500.0)</f>
        <v>25500</v>
      </c>
      <c r="E2547" s="1">
        <f>IFERROR(__xludf.DUMMYFUNCTION("""COMPUTED_VALUE"""),25750.0)</f>
        <v>25750</v>
      </c>
      <c r="F2547" s="1">
        <f>IFERROR(__xludf.DUMMYFUNCTION("""COMPUTED_VALUE"""),48640.0)</f>
        <v>48640</v>
      </c>
    </row>
    <row r="2548">
      <c r="A2548" s="2">
        <f>IFERROR(__xludf.DUMMYFUNCTION("""COMPUTED_VALUE"""),44694.64583333333)</f>
        <v>44694.64583</v>
      </c>
      <c r="B2548" s="1">
        <f>IFERROR(__xludf.DUMMYFUNCTION("""COMPUTED_VALUE"""),25550.0)</f>
        <v>25550</v>
      </c>
      <c r="C2548" s="1">
        <f>IFERROR(__xludf.DUMMYFUNCTION("""COMPUTED_VALUE"""),26400.0)</f>
        <v>26400</v>
      </c>
      <c r="D2548" s="1">
        <f>IFERROR(__xludf.DUMMYFUNCTION("""COMPUTED_VALUE"""),25550.0)</f>
        <v>25550</v>
      </c>
      <c r="E2548" s="1">
        <f>IFERROR(__xludf.DUMMYFUNCTION("""COMPUTED_VALUE"""),25750.0)</f>
        <v>25750</v>
      </c>
      <c r="F2548" s="1">
        <f>IFERROR(__xludf.DUMMYFUNCTION("""COMPUTED_VALUE"""),28318.0)</f>
        <v>28318</v>
      </c>
    </row>
    <row r="2549">
      <c r="A2549" s="2">
        <f>IFERROR(__xludf.DUMMYFUNCTION("""COMPUTED_VALUE"""),44697.64583333333)</f>
        <v>44697.64583</v>
      </c>
      <c r="B2549" s="1">
        <f>IFERROR(__xludf.DUMMYFUNCTION("""COMPUTED_VALUE"""),25750.0)</f>
        <v>25750</v>
      </c>
      <c r="C2549" s="1">
        <f>IFERROR(__xludf.DUMMYFUNCTION("""COMPUTED_VALUE"""),26450.0)</f>
        <v>26450</v>
      </c>
      <c r="D2549" s="1">
        <f>IFERROR(__xludf.DUMMYFUNCTION("""COMPUTED_VALUE"""),25350.0)</f>
        <v>25350</v>
      </c>
      <c r="E2549" s="1">
        <f>IFERROR(__xludf.DUMMYFUNCTION("""COMPUTED_VALUE"""),25800.0)</f>
        <v>25800</v>
      </c>
      <c r="F2549" s="1">
        <f>IFERROR(__xludf.DUMMYFUNCTION("""COMPUTED_VALUE"""),21707.0)</f>
        <v>21707</v>
      </c>
    </row>
    <row r="2550">
      <c r="A2550" s="2">
        <f>IFERROR(__xludf.DUMMYFUNCTION("""COMPUTED_VALUE"""),44698.64583333333)</f>
        <v>44698.64583</v>
      </c>
      <c r="B2550" s="1">
        <f>IFERROR(__xludf.DUMMYFUNCTION("""COMPUTED_VALUE"""),25500.0)</f>
        <v>25500</v>
      </c>
      <c r="C2550" s="1">
        <f>IFERROR(__xludf.DUMMYFUNCTION("""COMPUTED_VALUE"""),26800.0)</f>
        <v>26800</v>
      </c>
      <c r="D2550" s="1">
        <f>IFERROR(__xludf.DUMMYFUNCTION("""COMPUTED_VALUE"""),25500.0)</f>
        <v>25500</v>
      </c>
      <c r="E2550" s="1">
        <f>IFERROR(__xludf.DUMMYFUNCTION("""COMPUTED_VALUE"""),26650.0)</f>
        <v>26650</v>
      </c>
      <c r="F2550" s="1">
        <f>IFERROR(__xludf.DUMMYFUNCTION("""COMPUTED_VALUE"""),30006.0)</f>
        <v>30006</v>
      </c>
    </row>
    <row r="2551">
      <c r="A2551" s="2">
        <f>IFERROR(__xludf.DUMMYFUNCTION("""COMPUTED_VALUE"""),44699.64583333333)</f>
        <v>44699.64583</v>
      </c>
      <c r="B2551" s="1">
        <f>IFERROR(__xludf.DUMMYFUNCTION("""COMPUTED_VALUE"""),26650.0)</f>
        <v>26650</v>
      </c>
      <c r="C2551" s="1">
        <f>IFERROR(__xludf.DUMMYFUNCTION("""COMPUTED_VALUE"""),28550.0)</f>
        <v>28550</v>
      </c>
      <c r="D2551" s="1">
        <f>IFERROR(__xludf.DUMMYFUNCTION("""COMPUTED_VALUE"""),26650.0)</f>
        <v>26650</v>
      </c>
      <c r="E2551" s="1">
        <f>IFERROR(__xludf.DUMMYFUNCTION("""COMPUTED_VALUE"""),27700.0)</f>
        <v>27700</v>
      </c>
      <c r="F2551" s="1">
        <f>IFERROR(__xludf.DUMMYFUNCTION("""COMPUTED_VALUE"""),68666.0)</f>
        <v>68666</v>
      </c>
    </row>
    <row r="2552">
      <c r="A2552" s="2">
        <f>IFERROR(__xludf.DUMMYFUNCTION("""COMPUTED_VALUE"""),44700.64583333333)</f>
        <v>44700.64583</v>
      </c>
      <c r="B2552" s="1">
        <f>IFERROR(__xludf.DUMMYFUNCTION("""COMPUTED_VALUE"""),27150.0)</f>
        <v>27150</v>
      </c>
      <c r="C2552" s="1">
        <f>IFERROR(__xludf.DUMMYFUNCTION("""COMPUTED_VALUE"""),27400.0)</f>
        <v>27400</v>
      </c>
      <c r="D2552" s="1">
        <f>IFERROR(__xludf.DUMMYFUNCTION("""COMPUTED_VALUE"""),26750.0)</f>
        <v>26750</v>
      </c>
      <c r="E2552" s="1">
        <f>IFERROR(__xludf.DUMMYFUNCTION("""COMPUTED_VALUE"""),26950.0)</f>
        <v>26950</v>
      </c>
      <c r="F2552" s="1">
        <f>IFERROR(__xludf.DUMMYFUNCTION("""COMPUTED_VALUE"""),24099.0)</f>
        <v>24099</v>
      </c>
    </row>
    <row r="2553">
      <c r="A2553" s="2">
        <f>IFERROR(__xludf.DUMMYFUNCTION("""COMPUTED_VALUE"""),44701.64583333333)</f>
        <v>44701.64583</v>
      </c>
      <c r="B2553" s="1">
        <f>IFERROR(__xludf.DUMMYFUNCTION("""COMPUTED_VALUE"""),26850.0)</f>
        <v>26850</v>
      </c>
      <c r="C2553" s="1">
        <f>IFERROR(__xludf.DUMMYFUNCTION("""COMPUTED_VALUE"""),28000.0)</f>
        <v>28000</v>
      </c>
      <c r="D2553" s="1">
        <f>IFERROR(__xludf.DUMMYFUNCTION("""COMPUTED_VALUE"""),26850.0)</f>
        <v>26850</v>
      </c>
      <c r="E2553" s="1">
        <f>IFERROR(__xludf.DUMMYFUNCTION("""COMPUTED_VALUE"""),27750.0)</f>
        <v>27750</v>
      </c>
      <c r="F2553" s="1">
        <f>IFERROR(__xludf.DUMMYFUNCTION("""COMPUTED_VALUE"""),25730.0)</f>
        <v>25730</v>
      </c>
    </row>
    <row r="2554">
      <c r="A2554" s="2">
        <f>IFERROR(__xludf.DUMMYFUNCTION("""COMPUTED_VALUE"""),44704.64583333333)</f>
        <v>44704.64583</v>
      </c>
      <c r="B2554" s="1">
        <f>IFERROR(__xludf.DUMMYFUNCTION("""COMPUTED_VALUE"""),27850.0)</f>
        <v>27850</v>
      </c>
      <c r="C2554" s="1">
        <f>IFERROR(__xludf.DUMMYFUNCTION("""COMPUTED_VALUE"""),29050.0)</f>
        <v>29050</v>
      </c>
      <c r="D2554" s="1">
        <f>IFERROR(__xludf.DUMMYFUNCTION("""COMPUTED_VALUE"""),27550.0)</f>
        <v>27550</v>
      </c>
      <c r="E2554" s="1">
        <f>IFERROR(__xludf.DUMMYFUNCTION("""COMPUTED_VALUE"""),28950.0)</f>
        <v>28950</v>
      </c>
      <c r="F2554" s="1">
        <f>IFERROR(__xludf.DUMMYFUNCTION("""COMPUTED_VALUE"""),43857.0)</f>
        <v>43857</v>
      </c>
    </row>
    <row r="2555">
      <c r="A2555" s="2">
        <f>IFERROR(__xludf.DUMMYFUNCTION("""COMPUTED_VALUE"""),44705.64583333333)</f>
        <v>44705.64583</v>
      </c>
      <c r="B2555" s="1">
        <f>IFERROR(__xludf.DUMMYFUNCTION("""COMPUTED_VALUE"""),28650.0)</f>
        <v>28650</v>
      </c>
      <c r="C2555" s="1">
        <f>IFERROR(__xludf.DUMMYFUNCTION("""COMPUTED_VALUE"""),33500.0)</f>
        <v>33500</v>
      </c>
      <c r="D2555" s="1">
        <f>IFERROR(__xludf.DUMMYFUNCTION("""COMPUTED_VALUE"""),27950.0)</f>
        <v>27950</v>
      </c>
      <c r="E2555" s="1">
        <f>IFERROR(__xludf.DUMMYFUNCTION("""COMPUTED_VALUE"""),27950.0)</f>
        <v>27950</v>
      </c>
      <c r="F2555" s="1">
        <f>IFERROR(__xludf.DUMMYFUNCTION("""COMPUTED_VALUE"""),818025.0)</f>
        <v>818025</v>
      </c>
    </row>
    <row r="2556">
      <c r="A2556" s="2">
        <f>IFERROR(__xludf.DUMMYFUNCTION("""COMPUTED_VALUE"""),44706.64583333333)</f>
        <v>44706.64583</v>
      </c>
      <c r="B2556" s="1">
        <f>IFERROR(__xludf.DUMMYFUNCTION("""COMPUTED_VALUE"""),28600.0)</f>
        <v>28600</v>
      </c>
      <c r="C2556" s="1">
        <f>IFERROR(__xludf.DUMMYFUNCTION("""COMPUTED_VALUE"""),36300.0)</f>
        <v>36300</v>
      </c>
      <c r="D2556" s="1">
        <f>IFERROR(__xludf.DUMMYFUNCTION("""COMPUTED_VALUE"""),28100.0)</f>
        <v>28100</v>
      </c>
      <c r="E2556" s="1">
        <f>IFERROR(__xludf.DUMMYFUNCTION("""COMPUTED_VALUE"""),36300.0)</f>
        <v>36300</v>
      </c>
      <c r="F2556" s="1">
        <f>IFERROR(__xludf.DUMMYFUNCTION("""COMPUTED_VALUE"""),2110825.0)</f>
        <v>2110825</v>
      </c>
    </row>
    <row r="2557">
      <c r="A2557" s="2">
        <f>IFERROR(__xludf.DUMMYFUNCTION("""COMPUTED_VALUE"""),44707.64583333333)</f>
        <v>44707.64583</v>
      </c>
      <c r="B2557" s="1">
        <f>IFERROR(__xludf.DUMMYFUNCTION("""COMPUTED_VALUE"""),33000.0)</f>
        <v>33000</v>
      </c>
      <c r="C2557" s="1">
        <f>IFERROR(__xludf.DUMMYFUNCTION("""COMPUTED_VALUE"""),36200.0)</f>
        <v>36200</v>
      </c>
      <c r="D2557" s="1">
        <f>IFERROR(__xludf.DUMMYFUNCTION("""COMPUTED_VALUE"""),31600.0)</f>
        <v>31600</v>
      </c>
      <c r="E2557" s="1">
        <f>IFERROR(__xludf.DUMMYFUNCTION("""COMPUTED_VALUE"""),31600.0)</f>
        <v>31600</v>
      </c>
      <c r="F2557" s="1">
        <f>IFERROR(__xludf.DUMMYFUNCTION("""COMPUTED_VALUE"""),2011970.0)</f>
        <v>2011970</v>
      </c>
    </row>
    <row r="2558">
      <c r="A2558" s="2">
        <f>IFERROR(__xludf.DUMMYFUNCTION("""COMPUTED_VALUE"""),44708.64583333333)</f>
        <v>44708.64583</v>
      </c>
      <c r="B2558" s="1">
        <f>IFERROR(__xludf.DUMMYFUNCTION("""COMPUTED_VALUE"""),32300.0)</f>
        <v>32300</v>
      </c>
      <c r="C2558" s="1">
        <f>IFERROR(__xludf.DUMMYFUNCTION("""COMPUTED_VALUE"""),33700.0)</f>
        <v>33700</v>
      </c>
      <c r="D2558" s="1">
        <f>IFERROR(__xludf.DUMMYFUNCTION("""COMPUTED_VALUE"""),31050.0)</f>
        <v>31050</v>
      </c>
      <c r="E2558" s="1">
        <f>IFERROR(__xludf.DUMMYFUNCTION("""COMPUTED_VALUE"""),32100.0)</f>
        <v>32100</v>
      </c>
      <c r="F2558" s="1">
        <f>IFERROR(__xludf.DUMMYFUNCTION("""COMPUTED_VALUE"""),691895.0)</f>
        <v>691895</v>
      </c>
    </row>
    <row r="2559">
      <c r="A2559" s="2">
        <f>IFERROR(__xludf.DUMMYFUNCTION("""COMPUTED_VALUE"""),44711.64583333333)</f>
        <v>44711.64583</v>
      </c>
      <c r="B2559" s="1">
        <f>IFERROR(__xludf.DUMMYFUNCTION("""COMPUTED_VALUE"""),31850.0)</f>
        <v>31850</v>
      </c>
      <c r="C2559" s="1">
        <f>IFERROR(__xludf.DUMMYFUNCTION("""COMPUTED_VALUE"""),34000.0)</f>
        <v>34000</v>
      </c>
      <c r="D2559" s="1">
        <f>IFERROR(__xludf.DUMMYFUNCTION("""COMPUTED_VALUE"""),31650.0)</f>
        <v>31650</v>
      </c>
      <c r="E2559" s="1">
        <f>IFERROR(__xludf.DUMMYFUNCTION("""COMPUTED_VALUE"""),32150.0)</f>
        <v>32150</v>
      </c>
      <c r="F2559" s="1">
        <f>IFERROR(__xludf.DUMMYFUNCTION("""COMPUTED_VALUE"""),297750.0)</f>
        <v>297750</v>
      </c>
    </row>
    <row r="2560">
      <c r="A2560" s="2">
        <f>IFERROR(__xludf.DUMMYFUNCTION("""COMPUTED_VALUE"""),44712.64583333333)</f>
        <v>44712.64583</v>
      </c>
      <c r="B2560" s="1">
        <f>IFERROR(__xludf.DUMMYFUNCTION("""COMPUTED_VALUE"""),32150.0)</f>
        <v>32150</v>
      </c>
      <c r="C2560" s="1">
        <f>IFERROR(__xludf.DUMMYFUNCTION("""COMPUTED_VALUE"""),32500.0)</f>
        <v>32500</v>
      </c>
      <c r="D2560" s="1">
        <f>IFERROR(__xludf.DUMMYFUNCTION("""COMPUTED_VALUE"""),31900.0)</f>
        <v>31900</v>
      </c>
      <c r="E2560" s="1">
        <f>IFERROR(__xludf.DUMMYFUNCTION("""COMPUTED_VALUE"""),32100.0)</f>
        <v>32100</v>
      </c>
      <c r="F2560" s="1">
        <f>IFERROR(__xludf.DUMMYFUNCTION("""COMPUTED_VALUE"""),130654.0)</f>
        <v>130654</v>
      </c>
    </row>
    <row r="2561">
      <c r="A2561" s="2">
        <f>IFERROR(__xludf.DUMMYFUNCTION("""COMPUTED_VALUE"""),44714.64583333333)</f>
        <v>44714.64583</v>
      </c>
      <c r="B2561" s="1">
        <f>IFERROR(__xludf.DUMMYFUNCTION("""COMPUTED_VALUE"""),31950.0)</f>
        <v>31950</v>
      </c>
      <c r="C2561" s="1">
        <f>IFERROR(__xludf.DUMMYFUNCTION("""COMPUTED_VALUE"""),32200.0)</f>
        <v>32200</v>
      </c>
      <c r="D2561" s="1">
        <f>IFERROR(__xludf.DUMMYFUNCTION("""COMPUTED_VALUE"""),31400.0)</f>
        <v>31400</v>
      </c>
      <c r="E2561" s="1">
        <f>IFERROR(__xludf.DUMMYFUNCTION("""COMPUTED_VALUE"""),31400.0)</f>
        <v>31400</v>
      </c>
      <c r="F2561" s="1">
        <f>IFERROR(__xludf.DUMMYFUNCTION("""COMPUTED_VALUE"""),66922.0)</f>
        <v>66922</v>
      </c>
    </row>
    <row r="2562">
      <c r="A2562" s="2">
        <f>IFERROR(__xludf.DUMMYFUNCTION("""COMPUTED_VALUE"""),44715.64583333333)</f>
        <v>44715.64583</v>
      </c>
      <c r="B2562" s="1">
        <f>IFERROR(__xludf.DUMMYFUNCTION("""COMPUTED_VALUE"""),31550.0)</f>
        <v>31550</v>
      </c>
      <c r="C2562" s="1">
        <f>IFERROR(__xludf.DUMMYFUNCTION("""COMPUTED_VALUE"""),32600.0)</f>
        <v>32600</v>
      </c>
      <c r="D2562" s="1">
        <f>IFERROR(__xludf.DUMMYFUNCTION("""COMPUTED_VALUE"""),31300.0)</f>
        <v>31300</v>
      </c>
      <c r="E2562" s="1">
        <f>IFERROR(__xludf.DUMMYFUNCTION("""COMPUTED_VALUE"""),32100.0)</f>
        <v>32100</v>
      </c>
      <c r="F2562" s="1">
        <f>IFERROR(__xludf.DUMMYFUNCTION("""COMPUTED_VALUE"""),157488.0)</f>
        <v>157488</v>
      </c>
    </row>
    <row r="2563">
      <c r="A2563" s="2">
        <f>IFERROR(__xludf.DUMMYFUNCTION("""COMPUTED_VALUE"""),44719.64583333333)</f>
        <v>44719.64583</v>
      </c>
      <c r="B2563" s="1">
        <f>IFERROR(__xludf.DUMMYFUNCTION("""COMPUTED_VALUE"""),32050.0)</f>
        <v>32050</v>
      </c>
      <c r="C2563" s="1">
        <f>IFERROR(__xludf.DUMMYFUNCTION("""COMPUTED_VALUE"""),32400.0)</f>
        <v>32400</v>
      </c>
      <c r="D2563" s="1">
        <f>IFERROR(__xludf.DUMMYFUNCTION("""COMPUTED_VALUE"""),31600.0)</f>
        <v>31600</v>
      </c>
      <c r="E2563" s="1">
        <f>IFERROR(__xludf.DUMMYFUNCTION("""COMPUTED_VALUE"""),31800.0)</f>
        <v>31800</v>
      </c>
      <c r="F2563" s="1">
        <f>IFERROR(__xludf.DUMMYFUNCTION("""COMPUTED_VALUE"""),64860.0)</f>
        <v>64860</v>
      </c>
    </row>
    <row r="2564">
      <c r="A2564" s="2">
        <f>IFERROR(__xludf.DUMMYFUNCTION("""COMPUTED_VALUE"""),44720.64583333333)</f>
        <v>44720.64583</v>
      </c>
      <c r="B2564" s="1">
        <f>IFERROR(__xludf.DUMMYFUNCTION("""COMPUTED_VALUE"""),31900.0)</f>
        <v>31900</v>
      </c>
      <c r="C2564" s="1">
        <f>IFERROR(__xludf.DUMMYFUNCTION("""COMPUTED_VALUE"""),31950.0)</f>
        <v>31950</v>
      </c>
      <c r="D2564" s="1">
        <f>IFERROR(__xludf.DUMMYFUNCTION("""COMPUTED_VALUE"""),30750.0)</f>
        <v>30750</v>
      </c>
      <c r="E2564" s="1">
        <f>IFERROR(__xludf.DUMMYFUNCTION("""COMPUTED_VALUE"""),30800.0)</f>
        <v>30800</v>
      </c>
      <c r="F2564" s="1">
        <f>IFERROR(__xludf.DUMMYFUNCTION("""COMPUTED_VALUE"""),62152.0)</f>
        <v>62152</v>
      </c>
    </row>
    <row r="2565">
      <c r="A2565" s="2">
        <f>IFERROR(__xludf.DUMMYFUNCTION("""COMPUTED_VALUE"""),44721.64583333333)</f>
        <v>44721.64583</v>
      </c>
      <c r="B2565" s="1">
        <f>IFERROR(__xludf.DUMMYFUNCTION("""COMPUTED_VALUE"""),30800.0)</f>
        <v>30800</v>
      </c>
      <c r="C2565" s="1">
        <f>IFERROR(__xludf.DUMMYFUNCTION("""COMPUTED_VALUE"""),33850.0)</f>
        <v>33850</v>
      </c>
      <c r="D2565" s="1">
        <f>IFERROR(__xludf.DUMMYFUNCTION("""COMPUTED_VALUE"""),29850.0)</f>
        <v>29850</v>
      </c>
      <c r="E2565" s="1">
        <f>IFERROR(__xludf.DUMMYFUNCTION("""COMPUTED_VALUE"""),31600.0)</f>
        <v>31600</v>
      </c>
      <c r="F2565" s="1">
        <f>IFERROR(__xludf.DUMMYFUNCTION("""COMPUTED_VALUE"""),488258.0)</f>
        <v>488258</v>
      </c>
    </row>
    <row r="2566">
      <c r="A2566" s="2">
        <f>IFERROR(__xludf.DUMMYFUNCTION("""COMPUTED_VALUE"""),44722.64583333333)</f>
        <v>44722.64583</v>
      </c>
      <c r="B2566" s="1">
        <f>IFERROR(__xludf.DUMMYFUNCTION("""COMPUTED_VALUE"""),31200.0)</f>
        <v>31200</v>
      </c>
      <c r="C2566" s="1">
        <f>IFERROR(__xludf.DUMMYFUNCTION("""COMPUTED_VALUE"""),31800.0)</f>
        <v>31800</v>
      </c>
      <c r="D2566" s="1">
        <f>IFERROR(__xludf.DUMMYFUNCTION("""COMPUTED_VALUE"""),31050.0)</f>
        <v>31050</v>
      </c>
      <c r="E2566" s="1">
        <f>IFERROR(__xludf.DUMMYFUNCTION("""COMPUTED_VALUE"""),31050.0)</f>
        <v>31050</v>
      </c>
      <c r="F2566" s="1">
        <f>IFERROR(__xludf.DUMMYFUNCTION("""COMPUTED_VALUE"""),62725.0)</f>
        <v>62725</v>
      </c>
    </row>
    <row r="2567">
      <c r="A2567" s="2">
        <f>IFERROR(__xludf.DUMMYFUNCTION("""COMPUTED_VALUE"""),44725.64583333333)</f>
        <v>44725.64583</v>
      </c>
      <c r="B2567" s="1">
        <f>IFERROR(__xludf.DUMMYFUNCTION("""COMPUTED_VALUE"""),30100.0)</f>
        <v>30100</v>
      </c>
      <c r="C2567" s="1">
        <f>IFERROR(__xludf.DUMMYFUNCTION("""COMPUTED_VALUE"""),30600.0)</f>
        <v>30600</v>
      </c>
      <c r="D2567" s="1">
        <f>IFERROR(__xludf.DUMMYFUNCTION("""COMPUTED_VALUE"""),28950.0)</f>
        <v>28950</v>
      </c>
      <c r="E2567" s="1">
        <f>IFERROR(__xludf.DUMMYFUNCTION("""COMPUTED_VALUE"""),29000.0)</f>
        <v>29000</v>
      </c>
      <c r="F2567" s="1">
        <f>IFERROR(__xludf.DUMMYFUNCTION("""COMPUTED_VALUE"""),82677.0)</f>
        <v>82677</v>
      </c>
    </row>
    <row r="2568">
      <c r="A2568" s="2">
        <f>IFERROR(__xludf.DUMMYFUNCTION("""COMPUTED_VALUE"""),44726.64583333333)</f>
        <v>44726.64583</v>
      </c>
      <c r="B2568" s="1">
        <f>IFERROR(__xludf.DUMMYFUNCTION("""COMPUTED_VALUE"""),28300.0)</f>
        <v>28300</v>
      </c>
      <c r="C2568" s="1">
        <f>IFERROR(__xludf.DUMMYFUNCTION("""COMPUTED_VALUE"""),28900.0)</f>
        <v>28900</v>
      </c>
      <c r="D2568" s="1">
        <f>IFERROR(__xludf.DUMMYFUNCTION("""COMPUTED_VALUE"""),27500.0)</f>
        <v>27500</v>
      </c>
      <c r="E2568" s="1">
        <f>IFERROR(__xludf.DUMMYFUNCTION("""COMPUTED_VALUE"""),28050.0)</f>
        <v>28050</v>
      </c>
      <c r="F2568" s="1">
        <f>IFERROR(__xludf.DUMMYFUNCTION("""COMPUTED_VALUE"""),96145.0)</f>
        <v>96145</v>
      </c>
    </row>
    <row r="2569">
      <c r="A2569" s="2">
        <f>IFERROR(__xludf.DUMMYFUNCTION("""COMPUTED_VALUE"""),44727.64583333333)</f>
        <v>44727.64583</v>
      </c>
      <c r="B2569" s="1">
        <f>IFERROR(__xludf.DUMMYFUNCTION("""COMPUTED_VALUE"""),27700.0)</f>
        <v>27700</v>
      </c>
      <c r="C2569" s="1">
        <f>IFERROR(__xludf.DUMMYFUNCTION("""COMPUTED_VALUE"""),28150.0)</f>
        <v>28150</v>
      </c>
      <c r="D2569" s="1">
        <f>IFERROR(__xludf.DUMMYFUNCTION("""COMPUTED_VALUE"""),26450.0)</f>
        <v>26450</v>
      </c>
      <c r="E2569" s="1">
        <f>IFERROR(__xludf.DUMMYFUNCTION("""COMPUTED_VALUE"""),26650.0)</f>
        <v>26650</v>
      </c>
      <c r="F2569" s="1">
        <f>IFERROR(__xludf.DUMMYFUNCTION("""COMPUTED_VALUE"""),72772.0)</f>
        <v>72772</v>
      </c>
    </row>
    <row r="2570">
      <c r="A2570" s="2">
        <f>IFERROR(__xludf.DUMMYFUNCTION("""COMPUTED_VALUE"""),44728.64583333333)</f>
        <v>44728.64583</v>
      </c>
      <c r="B2570" s="1">
        <f>IFERROR(__xludf.DUMMYFUNCTION("""COMPUTED_VALUE"""),27000.0)</f>
        <v>27000</v>
      </c>
      <c r="C2570" s="1">
        <f>IFERROR(__xludf.DUMMYFUNCTION("""COMPUTED_VALUE"""),27800.0)</f>
        <v>27800</v>
      </c>
      <c r="D2570" s="1">
        <f>IFERROR(__xludf.DUMMYFUNCTION("""COMPUTED_VALUE"""),26600.0)</f>
        <v>26600</v>
      </c>
      <c r="E2570" s="1">
        <f>IFERROR(__xludf.DUMMYFUNCTION("""COMPUTED_VALUE"""),26700.0)</f>
        <v>26700</v>
      </c>
      <c r="F2570" s="1">
        <f>IFERROR(__xludf.DUMMYFUNCTION("""COMPUTED_VALUE"""),54985.0)</f>
        <v>54985</v>
      </c>
    </row>
    <row r="2571">
      <c r="A2571" s="2">
        <f>IFERROR(__xludf.DUMMYFUNCTION("""COMPUTED_VALUE"""),44729.64583333333)</f>
        <v>44729.64583</v>
      </c>
      <c r="B2571" s="1">
        <f>IFERROR(__xludf.DUMMYFUNCTION("""COMPUTED_VALUE"""),25900.0)</f>
        <v>25900</v>
      </c>
      <c r="C2571" s="1">
        <f>IFERROR(__xludf.DUMMYFUNCTION("""COMPUTED_VALUE"""),27450.0)</f>
        <v>27450</v>
      </c>
      <c r="D2571" s="1">
        <f>IFERROR(__xludf.DUMMYFUNCTION("""COMPUTED_VALUE"""),25800.0)</f>
        <v>25800</v>
      </c>
      <c r="E2571" s="1">
        <f>IFERROR(__xludf.DUMMYFUNCTION("""COMPUTED_VALUE"""),27200.0)</f>
        <v>27200</v>
      </c>
      <c r="F2571" s="1">
        <f>IFERROR(__xludf.DUMMYFUNCTION("""COMPUTED_VALUE"""),55723.0)</f>
        <v>55723</v>
      </c>
    </row>
    <row r="2572">
      <c r="A2572" s="2">
        <f>IFERROR(__xludf.DUMMYFUNCTION("""COMPUTED_VALUE"""),44732.64583333333)</f>
        <v>44732.64583</v>
      </c>
      <c r="B2572" s="1">
        <f>IFERROR(__xludf.DUMMYFUNCTION("""COMPUTED_VALUE"""),27200.0)</f>
        <v>27200</v>
      </c>
      <c r="C2572" s="1">
        <f>IFERROR(__xludf.DUMMYFUNCTION("""COMPUTED_VALUE"""),27300.0)</f>
        <v>27300</v>
      </c>
      <c r="D2572" s="1">
        <f>IFERROR(__xludf.DUMMYFUNCTION("""COMPUTED_VALUE"""),25150.0)</f>
        <v>25150</v>
      </c>
      <c r="E2572" s="1">
        <f>IFERROR(__xludf.DUMMYFUNCTION("""COMPUTED_VALUE"""),25400.0)</f>
        <v>25400</v>
      </c>
      <c r="F2572" s="1">
        <f>IFERROR(__xludf.DUMMYFUNCTION("""COMPUTED_VALUE"""),74293.0)</f>
        <v>74293</v>
      </c>
    </row>
    <row r="2573">
      <c r="A2573" s="2">
        <f>IFERROR(__xludf.DUMMYFUNCTION("""COMPUTED_VALUE"""),44733.64583333333)</f>
        <v>44733.64583</v>
      </c>
      <c r="B2573" s="1">
        <f>IFERROR(__xludf.DUMMYFUNCTION("""COMPUTED_VALUE"""),25550.0)</f>
        <v>25550</v>
      </c>
      <c r="C2573" s="1">
        <f>IFERROR(__xludf.DUMMYFUNCTION("""COMPUTED_VALUE"""),25950.0)</f>
        <v>25950</v>
      </c>
      <c r="D2573" s="1">
        <f>IFERROR(__xludf.DUMMYFUNCTION("""COMPUTED_VALUE"""),25100.0)</f>
        <v>25100</v>
      </c>
      <c r="E2573" s="1">
        <f>IFERROR(__xludf.DUMMYFUNCTION("""COMPUTED_VALUE"""),25700.0)</f>
        <v>25700</v>
      </c>
      <c r="F2573" s="1">
        <f>IFERROR(__xludf.DUMMYFUNCTION("""COMPUTED_VALUE"""),48654.0)</f>
        <v>48654</v>
      </c>
    </row>
    <row r="2574">
      <c r="A2574" s="2">
        <f>IFERROR(__xludf.DUMMYFUNCTION("""COMPUTED_VALUE"""),44734.64583333333)</f>
        <v>44734.64583</v>
      </c>
      <c r="B2574" s="1">
        <f>IFERROR(__xludf.DUMMYFUNCTION("""COMPUTED_VALUE"""),25650.0)</f>
        <v>25650</v>
      </c>
      <c r="C2574" s="1">
        <f>IFERROR(__xludf.DUMMYFUNCTION("""COMPUTED_VALUE"""),26600.0)</f>
        <v>26600</v>
      </c>
      <c r="D2574" s="1">
        <f>IFERROR(__xludf.DUMMYFUNCTION("""COMPUTED_VALUE"""),24400.0)</f>
        <v>24400</v>
      </c>
      <c r="E2574" s="1">
        <f>IFERROR(__xludf.DUMMYFUNCTION("""COMPUTED_VALUE"""),24450.0)</f>
        <v>24450</v>
      </c>
      <c r="F2574" s="1">
        <f>IFERROR(__xludf.DUMMYFUNCTION("""COMPUTED_VALUE"""),91114.0)</f>
        <v>91114</v>
      </c>
    </row>
    <row r="2575">
      <c r="A2575" s="2">
        <f>IFERROR(__xludf.DUMMYFUNCTION("""COMPUTED_VALUE"""),44735.64583333333)</f>
        <v>44735.64583</v>
      </c>
      <c r="B2575" s="1">
        <f>IFERROR(__xludf.DUMMYFUNCTION("""COMPUTED_VALUE"""),24500.0)</f>
        <v>24500</v>
      </c>
      <c r="C2575" s="1">
        <f>IFERROR(__xludf.DUMMYFUNCTION("""COMPUTED_VALUE"""),24750.0)</f>
        <v>24750</v>
      </c>
      <c r="D2575" s="1">
        <f>IFERROR(__xludf.DUMMYFUNCTION("""COMPUTED_VALUE"""),22800.0)</f>
        <v>22800</v>
      </c>
      <c r="E2575" s="1">
        <f>IFERROR(__xludf.DUMMYFUNCTION("""COMPUTED_VALUE"""),22850.0)</f>
        <v>22850</v>
      </c>
      <c r="F2575" s="1">
        <f>IFERROR(__xludf.DUMMYFUNCTION("""COMPUTED_VALUE"""),92540.0)</f>
        <v>92540</v>
      </c>
    </row>
    <row r="2576">
      <c r="A2576" s="2">
        <f>IFERROR(__xludf.DUMMYFUNCTION("""COMPUTED_VALUE"""),44736.64583333333)</f>
        <v>44736.64583</v>
      </c>
      <c r="B2576" s="1">
        <f>IFERROR(__xludf.DUMMYFUNCTION("""COMPUTED_VALUE"""),22500.0)</f>
        <v>22500</v>
      </c>
      <c r="C2576" s="1">
        <f>IFERROR(__xludf.DUMMYFUNCTION("""COMPUTED_VALUE"""),24350.0)</f>
        <v>24350</v>
      </c>
      <c r="D2576" s="1">
        <f>IFERROR(__xludf.DUMMYFUNCTION("""COMPUTED_VALUE"""),22500.0)</f>
        <v>22500</v>
      </c>
      <c r="E2576" s="1">
        <f>IFERROR(__xludf.DUMMYFUNCTION("""COMPUTED_VALUE"""),24000.0)</f>
        <v>24000</v>
      </c>
      <c r="F2576" s="1">
        <f>IFERROR(__xludf.DUMMYFUNCTION("""COMPUTED_VALUE"""),76095.0)</f>
        <v>76095</v>
      </c>
    </row>
    <row r="2577">
      <c r="A2577" s="2">
        <f>IFERROR(__xludf.DUMMYFUNCTION("""COMPUTED_VALUE"""),44739.64583333333)</f>
        <v>44739.64583</v>
      </c>
      <c r="B2577" s="1">
        <f>IFERROR(__xludf.DUMMYFUNCTION("""COMPUTED_VALUE"""),24350.0)</f>
        <v>24350</v>
      </c>
      <c r="C2577" s="1">
        <f>IFERROR(__xludf.DUMMYFUNCTION("""COMPUTED_VALUE"""),25200.0)</f>
        <v>25200</v>
      </c>
      <c r="D2577" s="1">
        <f>IFERROR(__xludf.DUMMYFUNCTION("""COMPUTED_VALUE"""),24250.0)</f>
        <v>24250</v>
      </c>
      <c r="E2577" s="1">
        <f>IFERROR(__xludf.DUMMYFUNCTION("""COMPUTED_VALUE"""),24950.0)</f>
        <v>24950</v>
      </c>
      <c r="F2577" s="1">
        <f>IFERROR(__xludf.DUMMYFUNCTION("""COMPUTED_VALUE"""),37765.0)</f>
        <v>37765</v>
      </c>
    </row>
    <row r="2578">
      <c r="A2578" s="2">
        <f>IFERROR(__xludf.DUMMYFUNCTION("""COMPUTED_VALUE"""),44740.64583333333)</f>
        <v>44740.64583</v>
      </c>
      <c r="B2578" s="1">
        <f>IFERROR(__xludf.DUMMYFUNCTION("""COMPUTED_VALUE"""),24750.0)</f>
        <v>24750</v>
      </c>
      <c r="C2578" s="1">
        <f>IFERROR(__xludf.DUMMYFUNCTION("""COMPUTED_VALUE"""),25600.0)</f>
        <v>25600</v>
      </c>
      <c r="D2578" s="1">
        <f>IFERROR(__xludf.DUMMYFUNCTION("""COMPUTED_VALUE"""),24750.0)</f>
        <v>24750</v>
      </c>
      <c r="E2578" s="1">
        <f>IFERROR(__xludf.DUMMYFUNCTION("""COMPUTED_VALUE"""),25150.0)</f>
        <v>25150</v>
      </c>
      <c r="F2578" s="1">
        <f>IFERROR(__xludf.DUMMYFUNCTION("""COMPUTED_VALUE"""),29292.0)</f>
        <v>29292</v>
      </c>
    </row>
    <row r="2579">
      <c r="A2579" s="2">
        <f>IFERROR(__xludf.DUMMYFUNCTION("""COMPUTED_VALUE"""),44741.64583333333)</f>
        <v>44741.64583</v>
      </c>
      <c r="B2579" s="1">
        <f>IFERROR(__xludf.DUMMYFUNCTION("""COMPUTED_VALUE"""),24800.0)</f>
        <v>24800</v>
      </c>
      <c r="C2579" s="1">
        <f>IFERROR(__xludf.DUMMYFUNCTION("""COMPUTED_VALUE"""),25300.0)</f>
        <v>25300</v>
      </c>
      <c r="D2579" s="1">
        <f>IFERROR(__xludf.DUMMYFUNCTION("""COMPUTED_VALUE"""),24400.0)</f>
        <v>24400</v>
      </c>
      <c r="E2579" s="1">
        <f>IFERROR(__xludf.DUMMYFUNCTION("""COMPUTED_VALUE"""),24900.0)</f>
        <v>24900</v>
      </c>
      <c r="F2579" s="1">
        <f>IFERROR(__xludf.DUMMYFUNCTION("""COMPUTED_VALUE"""),32442.0)</f>
        <v>32442</v>
      </c>
    </row>
    <row r="2580">
      <c r="A2580" s="2">
        <f>IFERROR(__xludf.DUMMYFUNCTION("""COMPUTED_VALUE"""),44742.64583333333)</f>
        <v>44742.64583</v>
      </c>
      <c r="B2580" s="1">
        <f>IFERROR(__xludf.DUMMYFUNCTION("""COMPUTED_VALUE"""),25000.0)</f>
        <v>25000</v>
      </c>
      <c r="C2580" s="1">
        <f>IFERROR(__xludf.DUMMYFUNCTION("""COMPUTED_VALUE"""),25200.0)</f>
        <v>25200</v>
      </c>
      <c r="D2580" s="1">
        <f>IFERROR(__xludf.DUMMYFUNCTION("""COMPUTED_VALUE"""),24150.0)</f>
        <v>24150</v>
      </c>
      <c r="E2580" s="1">
        <f>IFERROR(__xludf.DUMMYFUNCTION("""COMPUTED_VALUE"""),24150.0)</f>
        <v>24150</v>
      </c>
      <c r="F2580" s="1">
        <f>IFERROR(__xludf.DUMMYFUNCTION("""COMPUTED_VALUE"""),26035.0)</f>
        <v>26035</v>
      </c>
    </row>
    <row r="2581">
      <c r="A2581" s="2">
        <f>IFERROR(__xludf.DUMMYFUNCTION("""COMPUTED_VALUE"""),44743.64583333333)</f>
        <v>44743.64583</v>
      </c>
      <c r="B2581" s="1">
        <f>IFERROR(__xludf.DUMMYFUNCTION("""COMPUTED_VALUE"""),24050.0)</f>
        <v>24050</v>
      </c>
      <c r="C2581" s="1">
        <f>IFERROR(__xludf.DUMMYFUNCTION("""COMPUTED_VALUE"""),24650.0)</f>
        <v>24650</v>
      </c>
      <c r="D2581" s="1">
        <f>IFERROR(__xludf.DUMMYFUNCTION("""COMPUTED_VALUE"""),23350.0)</f>
        <v>23350</v>
      </c>
      <c r="E2581" s="1">
        <f>IFERROR(__xludf.DUMMYFUNCTION("""COMPUTED_VALUE"""),23700.0)</f>
        <v>23700</v>
      </c>
      <c r="F2581" s="1">
        <f>IFERROR(__xludf.DUMMYFUNCTION("""COMPUTED_VALUE"""),19244.0)</f>
        <v>19244</v>
      </c>
    </row>
    <row r="2582">
      <c r="A2582" s="2">
        <f>IFERROR(__xludf.DUMMYFUNCTION("""COMPUTED_VALUE"""),44746.64583333333)</f>
        <v>44746.64583</v>
      </c>
      <c r="B2582" s="1">
        <f>IFERROR(__xludf.DUMMYFUNCTION("""COMPUTED_VALUE"""),23500.0)</f>
        <v>23500</v>
      </c>
      <c r="C2582" s="1">
        <f>IFERROR(__xludf.DUMMYFUNCTION("""COMPUTED_VALUE"""),24000.0)</f>
        <v>24000</v>
      </c>
      <c r="D2582" s="1">
        <f>IFERROR(__xludf.DUMMYFUNCTION("""COMPUTED_VALUE"""),22600.0)</f>
        <v>22600</v>
      </c>
      <c r="E2582" s="1">
        <f>IFERROR(__xludf.DUMMYFUNCTION("""COMPUTED_VALUE"""),23000.0)</f>
        <v>23000</v>
      </c>
      <c r="F2582" s="1">
        <f>IFERROR(__xludf.DUMMYFUNCTION("""COMPUTED_VALUE"""),39063.0)</f>
        <v>39063</v>
      </c>
    </row>
    <row r="2583">
      <c r="A2583" s="2">
        <f>IFERROR(__xludf.DUMMYFUNCTION("""COMPUTED_VALUE"""),44747.64583333333)</f>
        <v>44747.64583</v>
      </c>
      <c r="B2583" s="1">
        <f>IFERROR(__xludf.DUMMYFUNCTION("""COMPUTED_VALUE"""),23500.0)</f>
        <v>23500</v>
      </c>
      <c r="C2583" s="1">
        <f>IFERROR(__xludf.DUMMYFUNCTION("""COMPUTED_VALUE"""),24000.0)</f>
        <v>24000</v>
      </c>
      <c r="D2583" s="1">
        <f>IFERROR(__xludf.DUMMYFUNCTION("""COMPUTED_VALUE"""),23200.0)</f>
        <v>23200</v>
      </c>
      <c r="E2583" s="1">
        <f>IFERROR(__xludf.DUMMYFUNCTION("""COMPUTED_VALUE"""),24000.0)</f>
        <v>24000</v>
      </c>
      <c r="F2583" s="1">
        <f>IFERROR(__xludf.DUMMYFUNCTION("""COMPUTED_VALUE"""),22249.0)</f>
        <v>22249</v>
      </c>
    </row>
    <row r="2584">
      <c r="A2584" s="2">
        <f>IFERROR(__xludf.DUMMYFUNCTION("""COMPUTED_VALUE"""),44748.64583333333)</f>
        <v>44748.64583</v>
      </c>
      <c r="B2584" s="1">
        <f>IFERROR(__xludf.DUMMYFUNCTION("""COMPUTED_VALUE"""),24000.0)</f>
        <v>24000</v>
      </c>
      <c r="C2584" s="1">
        <f>IFERROR(__xludf.DUMMYFUNCTION("""COMPUTED_VALUE"""),24550.0)</f>
        <v>24550</v>
      </c>
      <c r="D2584" s="1">
        <f>IFERROR(__xludf.DUMMYFUNCTION("""COMPUTED_VALUE"""),23700.0)</f>
        <v>23700</v>
      </c>
      <c r="E2584" s="1">
        <f>IFERROR(__xludf.DUMMYFUNCTION("""COMPUTED_VALUE"""),24000.0)</f>
        <v>24000</v>
      </c>
      <c r="F2584" s="1">
        <f>IFERROR(__xludf.DUMMYFUNCTION("""COMPUTED_VALUE"""),24187.0)</f>
        <v>24187</v>
      </c>
    </row>
    <row r="2585">
      <c r="A2585" s="2">
        <f>IFERROR(__xludf.DUMMYFUNCTION("""COMPUTED_VALUE"""),44749.64583333333)</f>
        <v>44749.64583</v>
      </c>
      <c r="B2585" s="1">
        <f>IFERROR(__xludf.DUMMYFUNCTION("""COMPUTED_VALUE"""),24050.0)</f>
        <v>24050</v>
      </c>
      <c r="C2585" s="1">
        <f>IFERROR(__xludf.DUMMYFUNCTION("""COMPUTED_VALUE"""),24900.0)</f>
        <v>24900</v>
      </c>
      <c r="D2585" s="1">
        <f>IFERROR(__xludf.DUMMYFUNCTION("""COMPUTED_VALUE"""),24050.0)</f>
        <v>24050</v>
      </c>
      <c r="E2585" s="1">
        <f>IFERROR(__xludf.DUMMYFUNCTION("""COMPUTED_VALUE"""),24500.0)</f>
        <v>24500</v>
      </c>
      <c r="F2585" s="1">
        <f>IFERROR(__xludf.DUMMYFUNCTION("""COMPUTED_VALUE"""),26405.0)</f>
        <v>26405</v>
      </c>
    </row>
    <row r="2586">
      <c r="A2586" s="2">
        <f>IFERROR(__xludf.DUMMYFUNCTION("""COMPUTED_VALUE"""),44750.64583333333)</f>
        <v>44750.64583</v>
      </c>
      <c r="B2586" s="1">
        <f>IFERROR(__xludf.DUMMYFUNCTION("""COMPUTED_VALUE"""),25100.0)</f>
        <v>25100</v>
      </c>
      <c r="C2586" s="1">
        <f>IFERROR(__xludf.DUMMYFUNCTION("""COMPUTED_VALUE"""),27950.0)</f>
        <v>27950</v>
      </c>
      <c r="D2586" s="1">
        <f>IFERROR(__xludf.DUMMYFUNCTION("""COMPUTED_VALUE"""),24650.0)</f>
        <v>24650</v>
      </c>
      <c r="E2586" s="1">
        <f>IFERROR(__xludf.DUMMYFUNCTION("""COMPUTED_VALUE"""),25550.0)</f>
        <v>25550</v>
      </c>
      <c r="F2586" s="1">
        <f>IFERROR(__xludf.DUMMYFUNCTION("""COMPUTED_VALUE"""),382123.0)</f>
        <v>382123</v>
      </c>
    </row>
    <row r="2587">
      <c r="A2587" s="2">
        <f>IFERROR(__xludf.DUMMYFUNCTION("""COMPUTED_VALUE"""),44753.64583333333)</f>
        <v>44753.64583</v>
      </c>
      <c r="B2587" s="1">
        <f>IFERROR(__xludf.DUMMYFUNCTION("""COMPUTED_VALUE"""),25500.0)</f>
        <v>25500</v>
      </c>
      <c r="C2587" s="1">
        <f>IFERROR(__xludf.DUMMYFUNCTION("""COMPUTED_VALUE"""),25800.0)</f>
        <v>25800</v>
      </c>
      <c r="D2587" s="1">
        <f>IFERROR(__xludf.DUMMYFUNCTION("""COMPUTED_VALUE"""),25200.0)</f>
        <v>25200</v>
      </c>
      <c r="E2587" s="1">
        <f>IFERROR(__xludf.DUMMYFUNCTION("""COMPUTED_VALUE"""),25500.0)</f>
        <v>25500</v>
      </c>
      <c r="F2587" s="1">
        <f>IFERROR(__xludf.DUMMYFUNCTION("""COMPUTED_VALUE"""),41960.0)</f>
        <v>41960</v>
      </c>
    </row>
    <row r="2588">
      <c r="A2588" s="2">
        <f>IFERROR(__xludf.DUMMYFUNCTION("""COMPUTED_VALUE"""),44754.64583333333)</f>
        <v>44754.64583</v>
      </c>
      <c r="B2588" s="1">
        <f>IFERROR(__xludf.DUMMYFUNCTION("""COMPUTED_VALUE"""),25100.0)</f>
        <v>25100</v>
      </c>
      <c r="C2588" s="1">
        <f>IFERROR(__xludf.DUMMYFUNCTION("""COMPUTED_VALUE"""),26150.0)</f>
        <v>26150</v>
      </c>
      <c r="D2588" s="1">
        <f>IFERROR(__xludf.DUMMYFUNCTION("""COMPUTED_VALUE"""),24700.0)</f>
        <v>24700</v>
      </c>
      <c r="E2588" s="1">
        <f>IFERROR(__xludf.DUMMYFUNCTION("""COMPUTED_VALUE"""),25150.0)</f>
        <v>25150</v>
      </c>
      <c r="F2588" s="1">
        <f>IFERROR(__xludf.DUMMYFUNCTION("""COMPUTED_VALUE"""),65576.0)</f>
        <v>65576</v>
      </c>
    </row>
    <row r="2589">
      <c r="A2589" s="2">
        <f>IFERROR(__xludf.DUMMYFUNCTION("""COMPUTED_VALUE"""),44755.64583333333)</f>
        <v>44755.64583</v>
      </c>
      <c r="B2589" s="1">
        <f>IFERROR(__xludf.DUMMYFUNCTION("""COMPUTED_VALUE"""),24950.0)</f>
        <v>24950</v>
      </c>
      <c r="C2589" s="1">
        <f>IFERROR(__xludf.DUMMYFUNCTION("""COMPUTED_VALUE"""),27250.0)</f>
        <v>27250</v>
      </c>
      <c r="D2589" s="1">
        <f>IFERROR(__xludf.DUMMYFUNCTION("""COMPUTED_VALUE"""),24900.0)</f>
        <v>24900</v>
      </c>
      <c r="E2589" s="1">
        <f>IFERROR(__xludf.DUMMYFUNCTION("""COMPUTED_VALUE"""),25600.0)</f>
        <v>25600</v>
      </c>
      <c r="F2589" s="1">
        <f>IFERROR(__xludf.DUMMYFUNCTION("""COMPUTED_VALUE"""),202991.0)</f>
        <v>202991</v>
      </c>
    </row>
    <row r="2590">
      <c r="A2590" s="2">
        <f>IFERROR(__xludf.DUMMYFUNCTION("""COMPUTED_VALUE"""),44756.64583333333)</f>
        <v>44756.64583</v>
      </c>
      <c r="B2590" s="1">
        <f>IFERROR(__xludf.DUMMYFUNCTION("""COMPUTED_VALUE"""),25250.0)</f>
        <v>25250</v>
      </c>
      <c r="C2590" s="1">
        <f>IFERROR(__xludf.DUMMYFUNCTION("""COMPUTED_VALUE"""),26100.0)</f>
        <v>26100</v>
      </c>
      <c r="D2590" s="1">
        <f>IFERROR(__xludf.DUMMYFUNCTION("""COMPUTED_VALUE"""),25200.0)</f>
        <v>25200</v>
      </c>
      <c r="E2590" s="1">
        <f>IFERROR(__xludf.DUMMYFUNCTION("""COMPUTED_VALUE"""),25500.0)</f>
        <v>25500</v>
      </c>
      <c r="F2590" s="1">
        <f>IFERROR(__xludf.DUMMYFUNCTION("""COMPUTED_VALUE"""),40819.0)</f>
        <v>40819</v>
      </c>
    </row>
    <row r="2591">
      <c r="A2591" s="2">
        <f>IFERROR(__xludf.DUMMYFUNCTION("""COMPUTED_VALUE"""),44757.64583333333)</f>
        <v>44757.64583</v>
      </c>
      <c r="B2591" s="1">
        <f>IFERROR(__xludf.DUMMYFUNCTION("""COMPUTED_VALUE"""),25650.0)</f>
        <v>25650</v>
      </c>
      <c r="C2591" s="1">
        <f>IFERROR(__xludf.DUMMYFUNCTION("""COMPUTED_VALUE"""),27100.0)</f>
        <v>27100</v>
      </c>
      <c r="D2591" s="1">
        <f>IFERROR(__xludf.DUMMYFUNCTION("""COMPUTED_VALUE"""),25650.0)</f>
        <v>25650</v>
      </c>
      <c r="E2591" s="1">
        <f>IFERROR(__xludf.DUMMYFUNCTION("""COMPUTED_VALUE"""),26050.0)</f>
        <v>26050</v>
      </c>
      <c r="F2591" s="1">
        <f>IFERROR(__xludf.DUMMYFUNCTION("""COMPUTED_VALUE"""),169739.0)</f>
        <v>169739</v>
      </c>
    </row>
    <row r="2592">
      <c r="A2592" s="2">
        <f>IFERROR(__xludf.DUMMYFUNCTION("""COMPUTED_VALUE"""),44760.64583333333)</f>
        <v>44760.64583</v>
      </c>
      <c r="B2592" s="1">
        <f>IFERROR(__xludf.DUMMYFUNCTION("""COMPUTED_VALUE"""),26250.0)</f>
        <v>26250</v>
      </c>
      <c r="C2592" s="1">
        <f>IFERROR(__xludf.DUMMYFUNCTION("""COMPUTED_VALUE"""),26450.0)</f>
        <v>26450</v>
      </c>
      <c r="D2592" s="1">
        <f>IFERROR(__xludf.DUMMYFUNCTION("""COMPUTED_VALUE"""),25900.0)</f>
        <v>25900</v>
      </c>
      <c r="E2592" s="1">
        <f>IFERROR(__xludf.DUMMYFUNCTION("""COMPUTED_VALUE"""),26450.0)</f>
        <v>26450</v>
      </c>
      <c r="F2592" s="1">
        <f>IFERROR(__xludf.DUMMYFUNCTION("""COMPUTED_VALUE"""),47663.0)</f>
        <v>47663</v>
      </c>
    </row>
    <row r="2593">
      <c r="A2593" s="2">
        <f>IFERROR(__xludf.DUMMYFUNCTION("""COMPUTED_VALUE"""),44761.64583333333)</f>
        <v>44761.64583</v>
      </c>
      <c r="B2593" s="1">
        <f>IFERROR(__xludf.DUMMYFUNCTION("""COMPUTED_VALUE"""),26250.0)</f>
        <v>26250</v>
      </c>
      <c r="C2593" s="1">
        <f>IFERROR(__xludf.DUMMYFUNCTION("""COMPUTED_VALUE"""),26450.0)</f>
        <v>26450</v>
      </c>
      <c r="D2593" s="1">
        <f>IFERROR(__xludf.DUMMYFUNCTION("""COMPUTED_VALUE"""),26000.0)</f>
        <v>26000</v>
      </c>
      <c r="E2593" s="1">
        <f>IFERROR(__xludf.DUMMYFUNCTION("""COMPUTED_VALUE"""),26150.0)</f>
        <v>26150</v>
      </c>
      <c r="F2593" s="1">
        <f>IFERROR(__xludf.DUMMYFUNCTION("""COMPUTED_VALUE"""),26371.0)</f>
        <v>26371</v>
      </c>
    </row>
    <row r="2594">
      <c r="A2594" s="2">
        <f>IFERROR(__xludf.DUMMYFUNCTION("""COMPUTED_VALUE"""),44762.64583333333)</f>
        <v>44762.64583</v>
      </c>
      <c r="B2594" s="1">
        <f>IFERROR(__xludf.DUMMYFUNCTION("""COMPUTED_VALUE"""),26400.0)</f>
        <v>26400</v>
      </c>
      <c r="C2594" s="1">
        <f>IFERROR(__xludf.DUMMYFUNCTION("""COMPUTED_VALUE"""),26700.0)</f>
        <v>26700</v>
      </c>
      <c r="D2594" s="1">
        <f>IFERROR(__xludf.DUMMYFUNCTION("""COMPUTED_VALUE"""),26150.0)</f>
        <v>26150</v>
      </c>
      <c r="E2594" s="1">
        <f>IFERROR(__xludf.DUMMYFUNCTION("""COMPUTED_VALUE"""),26550.0)</f>
        <v>26550</v>
      </c>
      <c r="F2594" s="1">
        <f>IFERROR(__xludf.DUMMYFUNCTION("""COMPUTED_VALUE"""),40155.0)</f>
        <v>40155</v>
      </c>
    </row>
    <row r="2595">
      <c r="A2595" s="2">
        <f>IFERROR(__xludf.DUMMYFUNCTION("""COMPUTED_VALUE"""),44763.64583333333)</f>
        <v>44763.64583</v>
      </c>
      <c r="B2595" s="1">
        <f>IFERROR(__xludf.DUMMYFUNCTION("""COMPUTED_VALUE"""),26700.0)</f>
        <v>26700</v>
      </c>
      <c r="C2595" s="1">
        <f>IFERROR(__xludf.DUMMYFUNCTION("""COMPUTED_VALUE"""),28150.0)</f>
        <v>28150</v>
      </c>
      <c r="D2595" s="1">
        <f>IFERROR(__xludf.DUMMYFUNCTION("""COMPUTED_VALUE"""),26500.0)</f>
        <v>26500</v>
      </c>
      <c r="E2595" s="1">
        <f>IFERROR(__xludf.DUMMYFUNCTION("""COMPUTED_VALUE"""),27300.0)</f>
        <v>27300</v>
      </c>
      <c r="F2595" s="1">
        <f>IFERROR(__xludf.DUMMYFUNCTION("""COMPUTED_VALUE"""),212800.0)</f>
        <v>212800</v>
      </c>
    </row>
    <row r="2596">
      <c r="A2596" s="2">
        <f>IFERROR(__xludf.DUMMYFUNCTION("""COMPUTED_VALUE"""),44764.64583333333)</f>
        <v>44764.64583</v>
      </c>
      <c r="B2596" s="1">
        <f>IFERROR(__xludf.DUMMYFUNCTION("""COMPUTED_VALUE"""),27400.0)</f>
        <v>27400</v>
      </c>
      <c r="C2596" s="1">
        <f>IFERROR(__xludf.DUMMYFUNCTION("""COMPUTED_VALUE"""),27600.0)</f>
        <v>27600</v>
      </c>
      <c r="D2596" s="1">
        <f>IFERROR(__xludf.DUMMYFUNCTION("""COMPUTED_VALUE"""),27150.0)</f>
        <v>27150</v>
      </c>
      <c r="E2596" s="1">
        <f>IFERROR(__xludf.DUMMYFUNCTION("""COMPUTED_VALUE"""),27300.0)</f>
        <v>27300</v>
      </c>
      <c r="F2596" s="1">
        <f>IFERROR(__xludf.DUMMYFUNCTION("""COMPUTED_VALUE"""),38734.0)</f>
        <v>38734</v>
      </c>
    </row>
    <row r="2597">
      <c r="A2597" s="2">
        <f>IFERROR(__xludf.DUMMYFUNCTION("""COMPUTED_VALUE"""),44767.64583333333)</f>
        <v>44767.64583</v>
      </c>
      <c r="B2597" s="1">
        <f>IFERROR(__xludf.DUMMYFUNCTION("""COMPUTED_VALUE"""),27200.0)</f>
        <v>27200</v>
      </c>
      <c r="C2597" s="1">
        <f>IFERROR(__xludf.DUMMYFUNCTION("""COMPUTED_VALUE"""),27250.0)</f>
        <v>27250</v>
      </c>
      <c r="D2597" s="1">
        <f>IFERROR(__xludf.DUMMYFUNCTION("""COMPUTED_VALUE"""),26400.0)</f>
        <v>26400</v>
      </c>
      <c r="E2597" s="1">
        <f>IFERROR(__xludf.DUMMYFUNCTION("""COMPUTED_VALUE"""),26700.0)</f>
        <v>26700</v>
      </c>
      <c r="F2597" s="1">
        <f>IFERROR(__xludf.DUMMYFUNCTION("""COMPUTED_VALUE"""),36075.0)</f>
        <v>36075</v>
      </c>
    </row>
    <row r="2598">
      <c r="A2598" s="2">
        <f>IFERROR(__xludf.DUMMYFUNCTION("""COMPUTED_VALUE"""),44768.64583333333)</f>
        <v>44768.64583</v>
      </c>
      <c r="B2598" s="1">
        <f>IFERROR(__xludf.DUMMYFUNCTION("""COMPUTED_VALUE"""),26500.0)</f>
        <v>26500</v>
      </c>
      <c r="C2598" s="1">
        <f>IFERROR(__xludf.DUMMYFUNCTION("""COMPUTED_VALUE"""),27000.0)</f>
        <v>27000</v>
      </c>
      <c r="D2598" s="1">
        <f>IFERROR(__xludf.DUMMYFUNCTION("""COMPUTED_VALUE"""),26500.0)</f>
        <v>26500</v>
      </c>
      <c r="E2598" s="1">
        <f>IFERROR(__xludf.DUMMYFUNCTION("""COMPUTED_VALUE"""),26900.0)</f>
        <v>26900</v>
      </c>
      <c r="F2598" s="1">
        <f>IFERROR(__xludf.DUMMYFUNCTION("""COMPUTED_VALUE"""),21347.0)</f>
        <v>21347</v>
      </c>
    </row>
    <row r="2599">
      <c r="A2599" s="2">
        <f>IFERROR(__xludf.DUMMYFUNCTION("""COMPUTED_VALUE"""),44769.64583333333)</f>
        <v>44769.64583</v>
      </c>
      <c r="B2599" s="1">
        <f>IFERROR(__xludf.DUMMYFUNCTION("""COMPUTED_VALUE"""),26600.0)</f>
        <v>26600</v>
      </c>
      <c r="C2599" s="1">
        <f>IFERROR(__xludf.DUMMYFUNCTION("""COMPUTED_VALUE"""),27300.0)</f>
        <v>27300</v>
      </c>
      <c r="D2599" s="1">
        <f>IFERROR(__xludf.DUMMYFUNCTION("""COMPUTED_VALUE"""),26600.0)</f>
        <v>26600</v>
      </c>
      <c r="E2599" s="1">
        <f>IFERROR(__xludf.DUMMYFUNCTION("""COMPUTED_VALUE"""),26950.0)</f>
        <v>26950</v>
      </c>
      <c r="F2599" s="1">
        <f>IFERROR(__xludf.DUMMYFUNCTION("""COMPUTED_VALUE"""),27685.0)</f>
        <v>27685</v>
      </c>
    </row>
    <row r="2600">
      <c r="A2600" s="2">
        <f>IFERROR(__xludf.DUMMYFUNCTION("""COMPUTED_VALUE"""),44770.64583333333)</f>
        <v>44770.64583</v>
      </c>
      <c r="B2600" s="1">
        <f>IFERROR(__xludf.DUMMYFUNCTION("""COMPUTED_VALUE"""),27250.0)</f>
        <v>27250</v>
      </c>
      <c r="C2600" s="1">
        <f>IFERROR(__xludf.DUMMYFUNCTION("""COMPUTED_VALUE"""),27350.0)</f>
        <v>27350</v>
      </c>
      <c r="D2600" s="1">
        <f>IFERROR(__xludf.DUMMYFUNCTION("""COMPUTED_VALUE"""),26750.0)</f>
        <v>26750</v>
      </c>
      <c r="E2600" s="1">
        <f>IFERROR(__xludf.DUMMYFUNCTION("""COMPUTED_VALUE"""),26850.0)</f>
        <v>26850</v>
      </c>
      <c r="F2600" s="1">
        <f>IFERROR(__xludf.DUMMYFUNCTION("""COMPUTED_VALUE"""),21217.0)</f>
        <v>21217</v>
      </c>
    </row>
    <row r="2601">
      <c r="A2601" s="2">
        <f>IFERROR(__xludf.DUMMYFUNCTION("""COMPUTED_VALUE"""),44771.64583333333)</f>
        <v>44771.64583</v>
      </c>
      <c r="B2601" s="1">
        <f>IFERROR(__xludf.DUMMYFUNCTION("""COMPUTED_VALUE"""),26850.0)</f>
        <v>26850</v>
      </c>
      <c r="C2601" s="1">
        <f>IFERROR(__xludf.DUMMYFUNCTION("""COMPUTED_VALUE"""),27100.0)</f>
        <v>27100</v>
      </c>
      <c r="D2601" s="1">
        <f>IFERROR(__xludf.DUMMYFUNCTION("""COMPUTED_VALUE"""),26450.0)</f>
        <v>26450</v>
      </c>
      <c r="E2601" s="1">
        <f>IFERROR(__xludf.DUMMYFUNCTION("""COMPUTED_VALUE"""),26450.0)</f>
        <v>26450</v>
      </c>
      <c r="F2601" s="1">
        <f>IFERROR(__xludf.DUMMYFUNCTION("""COMPUTED_VALUE"""),22255.0)</f>
        <v>22255</v>
      </c>
    </row>
    <row r="2602">
      <c r="A2602" s="2">
        <f>IFERROR(__xludf.DUMMYFUNCTION("""COMPUTED_VALUE"""),44774.64583333333)</f>
        <v>44774.64583</v>
      </c>
      <c r="B2602" s="1">
        <f>IFERROR(__xludf.DUMMYFUNCTION("""COMPUTED_VALUE"""),26500.0)</f>
        <v>26500</v>
      </c>
      <c r="C2602" s="1">
        <f>IFERROR(__xludf.DUMMYFUNCTION("""COMPUTED_VALUE"""),27150.0)</f>
        <v>27150</v>
      </c>
      <c r="D2602" s="1">
        <f>IFERROR(__xludf.DUMMYFUNCTION("""COMPUTED_VALUE"""),26500.0)</f>
        <v>26500</v>
      </c>
      <c r="E2602" s="1">
        <f>IFERROR(__xludf.DUMMYFUNCTION("""COMPUTED_VALUE"""),26650.0)</f>
        <v>26650</v>
      </c>
      <c r="F2602" s="1">
        <f>IFERROR(__xludf.DUMMYFUNCTION("""COMPUTED_VALUE"""),16584.0)</f>
        <v>16584</v>
      </c>
    </row>
    <row r="2603">
      <c r="A2603" s="2">
        <f>IFERROR(__xludf.DUMMYFUNCTION("""COMPUTED_VALUE"""),44775.64583333333)</f>
        <v>44775.64583</v>
      </c>
      <c r="B2603" s="1">
        <f>IFERROR(__xludf.DUMMYFUNCTION("""COMPUTED_VALUE"""),26600.0)</f>
        <v>26600</v>
      </c>
      <c r="C2603" s="1">
        <f>IFERROR(__xludf.DUMMYFUNCTION("""COMPUTED_VALUE"""),27750.0)</f>
        <v>27750</v>
      </c>
      <c r="D2603" s="1">
        <f>IFERROR(__xludf.DUMMYFUNCTION("""COMPUTED_VALUE"""),26600.0)</f>
        <v>26600</v>
      </c>
      <c r="E2603" s="1">
        <f>IFERROR(__xludf.DUMMYFUNCTION("""COMPUTED_VALUE"""),27050.0)</f>
        <v>27050</v>
      </c>
      <c r="F2603" s="1">
        <f>IFERROR(__xludf.DUMMYFUNCTION("""COMPUTED_VALUE"""),42492.0)</f>
        <v>42492</v>
      </c>
    </row>
    <row r="2604">
      <c r="A2604" s="2">
        <f>IFERROR(__xludf.DUMMYFUNCTION("""COMPUTED_VALUE"""),44776.64583333333)</f>
        <v>44776.64583</v>
      </c>
      <c r="B2604" s="1">
        <f>IFERROR(__xludf.DUMMYFUNCTION("""COMPUTED_VALUE"""),27000.0)</f>
        <v>27000</v>
      </c>
      <c r="C2604" s="1">
        <f>IFERROR(__xludf.DUMMYFUNCTION("""COMPUTED_VALUE"""),28600.0)</f>
        <v>28600</v>
      </c>
      <c r="D2604" s="1">
        <f>IFERROR(__xludf.DUMMYFUNCTION("""COMPUTED_VALUE"""),26950.0)</f>
        <v>26950</v>
      </c>
      <c r="E2604" s="1">
        <f>IFERROR(__xludf.DUMMYFUNCTION("""COMPUTED_VALUE"""),27650.0)</f>
        <v>27650</v>
      </c>
      <c r="F2604" s="1">
        <f>IFERROR(__xludf.DUMMYFUNCTION("""COMPUTED_VALUE"""),113475.0)</f>
        <v>113475</v>
      </c>
    </row>
    <row r="2605">
      <c r="A2605" s="2">
        <f>IFERROR(__xludf.DUMMYFUNCTION("""COMPUTED_VALUE"""),44777.64583333333)</f>
        <v>44777.64583</v>
      </c>
      <c r="B2605" s="1">
        <f>IFERROR(__xludf.DUMMYFUNCTION("""COMPUTED_VALUE"""),27700.0)</f>
        <v>27700</v>
      </c>
      <c r="C2605" s="1">
        <f>IFERROR(__xludf.DUMMYFUNCTION("""COMPUTED_VALUE"""),29200.0)</f>
        <v>29200</v>
      </c>
      <c r="D2605" s="1">
        <f>IFERROR(__xludf.DUMMYFUNCTION("""COMPUTED_VALUE"""),27300.0)</f>
        <v>27300</v>
      </c>
      <c r="E2605" s="1">
        <f>IFERROR(__xludf.DUMMYFUNCTION("""COMPUTED_VALUE"""),27600.0)</f>
        <v>27600</v>
      </c>
      <c r="F2605" s="1">
        <f>IFERROR(__xludf.DUMMYFUNCTION("""COMPUTED_VALUE"""),216481.0)</f>
        <v>216481</v>
      </c>
    </row>
    <row r="2606">
      <c r="A2606" s="2">
        <f>IFERROR(__xludf.DUMMYFUNCTION("""COMPUTED_VALUE"""),44778.64583333333)</f>
        <v>44778.64583</v>
      </c>
      <c r="B2606" s="1">
        <f>IFERROR(__xludf.DUMMYFUNCTION("""COMPUTED_VALUE"""),27600.0)</f>
        <v>27600</v>
      </c>
      <c r="C2606" s="1">
        <f>IFERROR(__xludf.DUMMYFUNCTION("""COMPUTED_VALUE"""),27850.0)</f>
        <v>27850</v>
      </c>
      <c r="D2606" s="1">
        <f>IFERROR(__xludf.DUMMYFUNCTION("""COMPUTED_VALUE"""),27500.0)</f>
        <v>27500</v>
      </c>
      <c r="E2606" s="1">
        <f>IFERROR(__xludf.DUMMYFUNCTION("""COMPUTED_VALUE"""),27550.0)</f>
        <v>27550</v>
      </c>
      <c r="F2606" s="1">
        <f>IFERROR(__xludf.DUMMYFUNCTION("""COMPUTED_VALUE"""),28652.0)</f>
        <v>28652</v>
      </c>
    </row>
    <row r="2607">
      <c r="A2607" s="2">
        <f>IFERROR(__xludf.DUMMYFUNCTION("""COMPUTED_VALUE"""),44781.64583333333)</f>
        <v>44781.64583</v>
      </c>
      <c r="B2607" s="1">
        <f>IFERROR(__xludf.DUMMYFUNCTION("""COMPUTED_VALUE"""),27900.0)</f>
        <v>27900</v>
      </c>
      <c r="C2607" s="1">
        <f>IFERROR(__xludf.DUMMYFUNCTION("""COMPUTED_VALUE"""),27900.0)</f>
        <v>27900</v>
      </c>
      <c r="D2607" s="1">
        <f>IFERROR(__xludf.DUMMYFUNCTION("""COMPUTED_VALUE"""),27350.0)</f>
        <v>27350</v>
      </c>
      <c r="E2607" s="1">
        <f>IFERROR(__xludf.DUMMYFUNCTION("""COMPUTED_VALUE"""),27500.0)</f>
        <v>27500</v>
      </c>
      <c r="F2607" s="1">
        <f>IFERROR(__xludf.DUMMYFUNCTION("""COMPUTED_VALUE"""),19958.0)</f>
        <v>19958</v>
      </c>
    </row>
    <row r="2608">
      <c r="A2608" s="2">
        <f>IFERROR(__xludf.DUMMYFUNCTION("""COMPUTED_VALUE"""),44782.64583333333)</f>
        <v>44782.64583</v>
      </c>
      <c r="B2608" s="1">
        <f>IFERROR(__xludf.DUMMYFUNCTION("""COMPUTED_VALUE"""),27450.0)</f>
        <v>27450</v>
      </c>
      <c r="C2608" s="1">
        <f>IFERROR(__xludf.DUMMYFUNCTION("""COMPUTED_VALUE"""),27650.0)</f>
        <v>27650</v>
      </c>
      <c r="D2608" s="1">
        <f>IFERROR(__xludf.DUMMYFUNCTION("""COMPUTED_VALUE"""),27300.0)</f>
        <v>27300</v>
      </c>
      <c r="E2608" s="1">
        <f>IFERROR(__xludf.DUMMYFUNCTION("""COMPUTED_VALUE"""),27600.0)</f>
        <v>27600</v>
      </c>
      <c r="F2608" s="1">
        <f>IFERROR(__xludf.DUMMYFUNCTION("""COMPUTED_VALUE"""),23837.0)</f>
        <v>23837</v>
      </c>
    </row>
    <row r="2609">
      <c r="A2609" s="2">
        <f>IFERROR(__xludf.DUMMYFUNCTION("""COMPUTED_VALUE"""),44783.64583333333)</f>
        <v>44783.64583</v>
      </c>
      <c r="B2609" s="1">
        <f>IFERROR(__xludf.DUMMYFUNCTION("""COMPUTED_VALUE"""),27700.0)</f>
        <v>27700</v>
      </c>
      <c r="C2609" s="1">
        <f>IFERROR(__xludf.DUMMYFUNCTION("""COMPUTED_VALUE"""),28400.0)</f>
        <v>28400</v>
      </c>
      <c r="D2609" s="1">
        <f>IFERROR(__xludf.DUMMYFUNCTION("""COMPUTED_VALUE"""),27500.0)</f>
        <v>27500</v>
      </c>
      <c r="E2609" s="1">
        <f>IFERROR(__xludf.DUMMYFUNCTION("""COMPUTED_VALUE"""),27700.0)</f>
        <v>27700</v>
      </c>
      <c r="F2609" s="1">
        <f>IFERROR(__xludf.DUMMYFUNCTION("""COMPUTED_VALUE"""),51956.0)</f>
        <v>51956</v>
      </c>
    </row>
    <row r="2610">
      <c r="A2610" s="2">
        <f>IFERROR(__xludf.DUMMYFUNCTION("""COMPUTED_VALUE"""),44784.64583333333)</f>
        <v>44784.64583</v>
      </c>
      <c r="B2610" s="1">
        <f>IFERROR(__xludf.DUMMYFUNCTION("""COMPUTED_VALUE"""),27800.0)</f>
        <v>27800</v>
      </c>
      <c r="C2610" s="1">
        <f>IFERROR(__xludf.DUMMYFUNCTION("""COMPUTED_VALUE"""),28150.0)</f>
        <v>28150</v>
      </c>
      <c r="D2610" s="1">
        <f>IFERROR(__xludf.DUMMYFUNCTION("""COMPUTED_VALUE"""),27500.0)</f>
        <v>27500</v>
      </c>
      <c r="E2610" s="1">
        <f>IFERROR(__xludf.DUMMYFUNCTION("""COMPUTED_VALUE"""),27700.0)</f>
        <v>27700</v>
      </c>
      <c r="F2610" s="1">
        <f>IFERROR(__xludf.DUMMYFUNCTION("""COMPUTED_VALUE"""),31518.0)</f>
        <v>31518</v>
      </c>
    </row>
    <row r="2611">
      <c r="A2611" s="2">
        <f>IFERROR(__xludf.DUMMYFUNCTION("""COMPUTED_VALUE"""),44785.64583333333)</f>
        <v>44785.64583</v>
      </c>
      <c r="B2611" s="1">
        <f>IFERROR(__xludf.DUMMYFUNCTION("""COMPUTED_VALUE"""),27550.0)</f>
        <v>27550</v>
      </c>
      <c r="C2611" s="1">
        <f>IFERROR(__xludf.DUMMYFUNCTION("""COMPUTED_VALUE"""),28600.0)</f>
        <v>28600</v>
      </c>
      <c r="D2611" s="1">
        <f>IFERROR(__xludf.DUMMYFUNCTION("""COMPUTED_VALUE"""),27550.0)</f>
        <v>27550</v>
      </c>
      <c r="E2611" s="1">
        <f>IFERROR(__xludf.DUMMYFUNCTION("""COMPUTED_VALUE"""),27950.0)</f>
        <v>27950</v>
      </c>
      <c r="F2611" s="1">
        <f>IFERROR(__xludf.DUMMYFUNCTION("""COMPUTED_VALUE"""),67739.0)</f>
        <v>67739</v>
      </c>
    </row>
    <row r="2612">
      <c r="A2612" s="2">
        <f>IFERROR(__xludf.DUMMYFUNCTION("""COMPUTED_VALUE"""),44789.64583333333)</f>
        <v>44789.64583</v>
      </c>
      <c r="B2612" s="1">
        <f>IFERROR(__xludf.DUMMYFUNCTION("""COMPUTED_VALUE"""),28050.0)</f>
        <v>28050</v>
      </c>
      <c r="C2612" s="1">
        <f>IFERROR(__xludf.DUMMYFUNCTION("""COMPUTED_VALUE"""),30850.0)</f>
        <v>30850</v>
      </c>
      <c r="D2612" s="1">
        <f>IFERROR(__xludf.DUMMYFUNCTION("""COMPUTED_VALUE"""),27950.0)</f>
        <v>27950</v>
      </c>
      <c r="E2612" s="1">
        <f>IFERROR(__xludf.DUMMYFUNCTION("""COMPUTED_VALUE"""),28650.0)</f>
        <v>28650</v>
      </c>
      <c r="F2612" s="1">
        <f>IFERROR(__xludf.DUMMYFUNCTION("""COMPUTED_VALUE"""),720468.0)</f>
        <v>720468</v>
      </c>
    </row>
    <row r="2613">
      <c r="A2613" s="2">
        <f>IFERROR(__xludf.DUMMYFUNCTION("""COMPUTED_VALUE"""),44790.64583333333)</f>
        <v>44790.64583</v>
      </c>
      <c r="B2613" s="1">
        <f>IFERROR(__xludf.DUMMYFUNCTION("""COMPUTED_VALUE"""),28650.0)</f>
        <v>28650</v>
      </c>
      <c r="C2613" s="1">
        <f>IFERROR(__xludf.DUMMYFUNCTION("""COMPUTED_VALUE"""),28800.0)</f>
        <v>28800</v>
      </c>
      <c r="D2613" s="1">
        <f>IFERROR(__xludf.DUMMYFUNCTION("""COMPUTED_VALUE"""),28100.0)</f>
        <v>28100</v>
      </c>
      <c r="E2613" s="1">
        <f>IFERROR(__xludf.DUMMYFUNCTION("""COMPUTED_VALUE"""),28350.0)</f>
        <v>28350</v>
      </c>
      <c r="F2613" s="1">
        <f>IFERROR(__xludf.DUMMYFUNCTION("""COMPUTED_VALUE"""),81043.0)</f>
        <v>81043</v>
      </c>
    </row>
    <row r="2614">
      <c r="A2614" s="2">
        <f>IFERROR(__xludf.DUMMYFUNCTION("""COMPUTED_VALUE"""),44791.64583333333)</f>
        <v>44791.64583</v>
      </c>
      <c r="B2614" s="1">
        <f>IFERROR(__xludf.DUMMYFUNCTION("""COMPUTED_VALUE"""),28100.0)</f>
        <v>28100</v>
      </c>
      <c r="C2614" s="1">
        <f>IFERROR(__xludf.DUMMYFUNCTION("""COMPUTED_VALUE"""),30900.0)</f>
        <v>30900</v>
      </c>
      <c r="D2614" s="1">
        <f>IFERROR(__xludf.DUMMYFUNCTION("""COMPUTED_VALUE"""),28000.0)</f>
        <v>28000</v>
      </c>
      <c r="E2614" s="1">
        <f>IFERROR(__xludf.DUMMYFUNCTION("""COMPUTED_VALUE"""),29250.0)</f>
        <v>29250</v>
      </c>
      <c r="F2614" s="1">
        <f>IFERROR(__xludf.DUMMYFUNCTION("""COMPUTED_VALUE"""),787189.0)</f>
        <v>787189</v>
      </c>
    </row>
    <row r="2615">
      <c r="A2615" s="2">
        <f>IFERROR(__xludf.DUMMYFUNCTION("""COMPUTED_VALUE"""),44792.64583333333)</f>
        <v>44792.64583</v>
      </c>
      <c r="B2615" s="1">
        <f>IFERROR(__xludf.DUMMYFUNCTION("""COMPUTED_VALUE"""),29350.0)</f>
        <v>29350</v>
      </c>
      <c r="C2615" s="1">
        <f>IFERROR(__xludf.DUMMYFUNCTION("""COMPUTED_VALUE"""),30400.0)</f>
        <v>30400</v>
      </c>
      <c r="D2615" s="1">
        <f>IFERROR(__xludf.DUMMYFUNCTION("""COMPUTED_VALUE"""),28950.0)</f>
        <v>28950</v>
      </c>
      <c r="E2615" s="1">
        <f>IFERROR(__xludf.DUMMYFUNCTION("""COMPUTED_VALUE"""),30200.0)</f>
        <v>30200</v>
      </c>
      <c r="F2615" s="1">
        <f>IFERROR(__xludf.DUMMYFUNCTION("""COMPUTED_VALUE"""),292448.0)</f>
        <v>292448</v>
      </c>
    </row>
    <row r="2616">
      <c r="A2616" s="2">
        <f>IFERROR(__xludf.DUMMYFUNCTION("""COMPUTED_VALUE"""),44795.64583333333)</f>
        <v>44795.64583</v>
      </c>
      <c r="B2616" s="1">
        <f>IFERROR(__xludf.DUMMYFUNCTION("""COMPUTED_VALUE"""),29800.0)</f>
        <v>29800</v>
      </c>
      <c r="C2616" s="1">
        <f>IFERROR(__xludf.DUMMYFUNCTION("""COMPUTED_VALUE"""),29950.0)</f>
        <v>29950</v>
      </c>
      <c r="D2616" s="1">
        <f>IFERROR(__xludf.DUMMYFUNCTION("""COMPUTED_VALUE"""),28950.0)</f>
        <v>28950</v>
      </c>
      <c r="E2616" s="1">
        <f>IFERROR(__xludf.DUMMYFUNCTION("""COMPUTED_VALUE"""),29100.0)</f>
        <v>29100</v>
      </c>
      <c r="F2616" s="1">
        <f>IFERROR(__xludf.DUMMYFUNCTION("""COMPUTED_VALUE"""),95242.0)</f>
        <v>95242</v>
      </c>
    </row>
    <row r="2617">
      <c r="A2617" s="2">
        <f>IFERROR(__xludf.DUMMYFUNCTION("""COMPUTED_VALUE"""),44796.64583333333)</f>
        <v>44796.64583</v>
      </c>
      <c r="B2617" s="1">
        <f>IFERROR(__xludf.DUMMYFUNCTION("""COMPUTED_VALUE"""),29200.0)</f>
        <v>29200</v>
      </c>
      <c r="C2617" s="1">
        <f>IFERROR(__xludf.DUMMYFUNCTION("""COMPUTED_VALUE"""),29200.0)</f>
        <v>29200</v>
      </c>
      <c r="D2617" s="1">
        <f>IFERROR(__xludf.DUMMYFUNCTION("""COMPUTED_VALUE"""),28000.0)</f>
        <v>28000</v>
      </c>
      <c r="E2617" s="1">
        <f>IFERROR(__xludf.DUMMYFUNCTION("""COMPUTED_VALUE"""),28150.0)</f>
        <v>28150</v>
      </c>
      <c r="F2617" s="1">
        <f>IFERROR(__xludf.DUMMYFUNCTION("""COMPUTED_VALUE"""),67358.0)</f>
        <v>67358</v>
      </c>
    </row>
    <row r="2618">
      <c r="A2618" s="2">
        <f>IFERROR(__xludf.DUMMYFUNCTION("""COMPUTED_VALUE"""),44797.64583333333)</f>
        <v>44797.64583</v>
      </c>
      <c r="B2618" s="1">
        <f>IFERROR(__xludf.DUMMYFUNCTION("""COMPUTED_VALUE"""),28150.0)</f>
        <v>28150</v>
      </c>
      <c r="C2618" s="1">
        <f>IFERROR(__xludf.DUMMYFUNCTION("""COMPUTED_VALUE"""),28500.0)</f>
        <v>28500</v>
      </c>
      <c r="D2618" s="1">
        <f>IFERROR(__xludf.DUMMYFUNCTION("""COMPUTED_VALUE"""),27750.0)</f>
        <v>27750</v>
      </c>
      <c r="E2618" s="1">
        <f>IFERROR(__xludf.DUMMYFUNCTION("""COMPUTED_VALUE"""),27950.0)</f>
        <v>27950</v>
      </c>
      <c r="F2618" s="1">
        <f>IFERROR(__xludf.DUMMYFUNCTION("""COMPUTED_VALUE"""),38583.0)</f>
        <v>38583</v>
      </c>
    </row>
    <row r="2619">
      <c r="A2619" s="2">
        <f>IFERROR(__xludf.DUMMYFUNCTION("""COMPUTED_VALUE"""),44798.64583333333)</f>
        <v>44798.64583</v>
      </c>
      <c r="B2619" s="1">
        <f>IFERROR(__xludf.DUMMYFUNCTION("""COMPUTED_VALUE"""),27950.0)</f>
        <v>27950</v>
      </c>
      <c r="C2619" s="1">
        <f>IFERROR(__xludf.DUMMYFUNCTION("""COMPUTED_VALUE"""),28800.0)</f>
        <v>28800</v>
      </c>
      <c r="D2619" s="1">
        <f>IFERROR(__xludf.DUMMYFUNCTION("""COMPUTED_VALUE"""),27950.0)</f>
        <v>27950</v>
      </c>
      <c r="E2619" s="1">
        <f>IFERROR(__xludf.DUMMYFUNCTION("""COMPUTED_VALUE"""),28100.0)</f>
        <v>28100</v>
      </c>
      <c r="F2619" s="1">
        <f>IFERROR(__xludf.DUMMYFUNCTION("""COMPUTED_VALUE"""),75094.0)</f>
        <v>75094</v>
      </c>
    </row>
    <row r="2620">
      <c r="A2620" s="2">
        <f>IFERROR(__xludf.DUMMYFUNCTION("""COMPUTED_VALUE"""),44799.64583333333)</f>
        <v>44799.64583</v>
      </c>
      <c r="B2620" s="1">
        <f>IFERROR(__xludf.DUMMYFUNCTION("""COMPUTED_VALUE"""),28200.0)</f>
        <v>28200</v>
      </c>
      <c r="C2620" s="1">
        <f>IFERROR(__xludf.DUMMYFUNCTION("""COMPUTED_VALUE"""),29050.0)</f>
        <v>29050</v>
      </c>
      <c r="D2620" s="1">
        <f>IFERROR(__xludf.DUMMYFUNCTION("""COMPUTED_VALUE"""),28100.0)</f>
        <v>28100</v>
      </c>
      <c r="E2620" s="1">
        <f>IFERROR(__xludf.DUMMYFUNCTION("""COMPUTED_VALUE"""),28150.0)</f>
        <v>28150</v>
      </c>
      <c r="F2620" s="1">
        <f>IFERROR(__xludf.DUMMYFUNCTION("""COMPUTED_VALUE"""),48999.0)</f>
        <v>48999</v>
      </c>
    </row>
    <row r="2621">
      <c r="A2621" s="2">
        <f>IFERROR(__xludf.DUMMYFUNCTION("""COMPUTED_VALUE"""),44802.64583333333)</f>
        <v>44802.64583</v>
      </c>
      <c r="B2621" s="1">
        <f>IFERROR(__xludf.DUMMYFUNCTION("""COMPUTED_VALUE"""),27200.0)</f>
        <v>27200</v>
      </c>
      <c r="C2621" s="1">
        <f>IFERROR(__xludf.DUMMYFUNCTION("""COMPUTED_VALUE"""),27500.0)</f>
        <v>27500</v>
      </c>
      <c r="D2621" s="1">
        <f>IFERROR(__xludf.DUMMYFUNCTION("""COMPUTED_VALUE"""),26650.0)</f>
        <v>26650</v>
      </c>
      <c r="E2621" s="1">
        <f>IFERROR(__xludf.DUMMYFUNCTION("""COMPUTED_VALUE"""),26800.0)</f>
        <v>26800</v>
      </c>
      <c r="F2621" s="1">
        <f>IFERROR(__xludf.DUMMYFUNCTION("""COMPUTED_VALUE"""),59072.0)</f>
        <v>59072</v>
      </c>
    </row>
    <row r="2622">
      <c r="A2622" s="2">
        <f>IFERROR(__xludf.DUMMYFUNCTION("""COMPUTED_VALUE"""),44803.64583333333)</f>
        <v>44803.64583</v>
      </c>
      <c r="B2622" s="1">
        <f>IFERROR(__xludf.DUMMYFUNCTION("""COMPUTED_VALUE"""),26850.0)</f>
        <v>26850</v>
      </c>
      <c r="C2622" s="1">
        <f>IFERROR(__xludf.DUMMYFUNCTION("""COMPUTED_VALUE"""),27200.0)</f>
        <v>27200</v>
      </c>
      <c r="D2622" s="1">
        <f>IFERROR(__xludf.DUMMYFUNCTION("""COMPUTED_VALUE"""),26850.0)</f>
        <v>26850</v>
      </c>
      <c r="E2622" s="1">
        <f>IFERROR(__xludf.DUMMYFUNCTION("""COMPUTED_VALUE"""),27050.0)</f>
        <v>27050</v>
      </c>
      <c r="F2622" s="1">
        <f>IFERROR(__xludf.DUMMYFUNCTION("""COMPUTED_VALUE"""),21488.0)</f>
        <v>21488</v>
      </c>
    </row>
    <row r="2623">
      <c r="A2623" s="2">
        <f>IFERROR(__xludf.DUMMYFUNCTION("""COMPUTED_VALUE"""),44804.64583333333)</f>
        <v>44804.64583</v>
      </c>
      <c r="B2623" s="1">
        <f>IFERROR(__xludf.DUMMYFUNCTION("""COMPUTED_VALUE"""),26700.0)</f>
        <v>26700</v>
      </c>
      <c r="C2623" s="1">
        <f>IFERROR(__xludf.DUMMYFUNCTION("""COMPUTED_VALUE"""),27600.0)</f>
        <v>27600</v>
      </c>
      <c r="D2623" s="1">
        <f>IFERROR(__xludf.DUMMYFUNCTION("""COMPUTED_VALUE"""),26700.0)</f>
        <v>26700</v>
      </c>
      <c r="E2623" s="1">
        <f>IFERROR(__xludf.DUMMYFUNCTION("""COMPUTED_VALUE"""),27550.0)</f>
        <v>27550</v>
      </c>
      <c r="F2623" s="1">
        <f>IFERROR(__xludf.DUMMYFUNCTION("""COMPUTED_VALUE"""),21643.0)</f>
        <v>21643</v>
      </c>
    </row>
    <row r="2624">
      <c r="A2624" s="2">
        <f>IFERROR(__xludf.DUMMYFUNCTION("""COMPUTED_VALUE"""),44805.64583333333)</f>
        <v>44805.64583</v>
      </c>
      <c r="B2624" s="1">
        <f>IFERROR(__xludf.DUMMYFUNCTION("""COMPUTED_VALUE"""),27350.0)</f>
        <v>27350</v>
      </c>
      <c r="C2624" s="1">
        <f>IFERROR(__xludf.DUMMYFUNCTION("""COMPUTED_VALUE"""),27850.0)</f>
        <v>27850</v>
      </c>
      <c r="D2624" s="1">
        <f>IFERROR(__xludf.DUMMYFUNCTION("""COMPUTED_VALUE"""),26950.0)</f>
        <v>26950</v>
      </c>
      <c r="E2624" s="1">
        <f>IFERROR(__xludf.DUMMYFUNCTION("""COMPUTED_VALUE"""),27050.0)</f>
        <v>27050</v>
      </c>
      <c r="F2624" s="1">
        <f>IFERROR(__xludf.DUMMYFUNCTION("""COMPUTED_VALUE"""),21875.0)</f>
        <v>21875</v>
      </c>
    </row>
    <row r="2625">
      <c r="A2625" s="2">
        <f>IFERROR(__xludf.DUMMYFUNCTION("""COMPUTED_VALUE"""),44806.64583333333)</f>
        <v>44806.64583</v>
      </c>
      <c r="B2625" s="1">
        <f>IFERROR(__xludf.DUMMYFUNCTION("""COMPUTED_VALUE"""),27300.0)</f>
        <v>27300</v>
      </c>
      <c r="C2625" s="1">
        <f>IFERROR(__xludf.DUMMYFUNCTION("""COMPUTED_VALUE"""),27350.0)</f>
        <v>27350</v>
      </c>
      <c r="D2625" s="1">
        <f>IFERROR(__xludf.DUMMYFUNCTION("""COMPUTED_VALUE"""),26700.0)</f>
        <v>26700</v>
      </c>
      <c r="E2625" s="1">
        <f>IFERROR(__xludf.DUMMYFUNCTION("""COMPUTED_VALUE"""),26750.0)</f>
        <v>26750</v>
      </c>
      <c r="F2625" s="1">
        <f>IFERROR(__xludf.DUMMYFUNCTION("""COMPUTED_VALUE"""),23406.0)</f>
        <v>23406</v>
      </c>
    </row>
    <row r="2626">
      <c r="A2626" s="2">
        <f>IFERROR(__xludf.DUMMYFUNCTION("""COMPUTED_VALUE"""),44809.64583333333)</f>
        <v>44809.64583</v>
      </c>
      <c r="B2626" s="1">
        <f>IFERROR(__xludf.DUMMYFUNCTION("""COMPUTED_VALUE"""),26300.0)</f>
        <v>26300</v>
      </c>
      <c r="C2626" s="1">
        <f>IFERROR(__xludf.DUMMYFUNCTION("""COMPUTED_VALUE"""),26900.0)</f>
        <v>26900</v>
      </c>
      <c r="D2626" s="1">
        <f>IFERROR(__xludf.DUMMYFUNCTION("""COMPUTED_VALUE"""),26200.0)</f>
        <v>26200</v>
      </c>
      <c r="E2626" s="1">
        <f>IFERROR(__xludf.DUMMYFUNCTION("""COMPUTED_VALUE"""),26200.0)</f>
        <v>26200</v>
      </c>
      <c r="F2626" s="1">
        <f>IFERROR(__xludf.DUMMYFUNCTION("""COMPUTED_VALUE"""),34937.0)</f>
        <v>34937</v>
      </c>
    </row>
    <row r="2627">
      <c r="A2627" s="2">
        <f>IFERROR(__xludf.DUMMYFUNCTION("""COMPUTED_VALUE"""),44810.64583333333)</f>
        <v>44810.64583</v>
      </c>
      <c r="B2627" s="1">
        <f>IFERROR(__xludf.DUMMYFUNCTION("""COMPUTED_VALUE"""),26350.0)</f>
        <v>26350</v>
      </c>
      <c r="C2627" s="1">
        <f>IFERROR(__xludf.DUMMYFUNCTION("""COMPUTED_VALUE"""),26550.0)</f>
        <v>26550</v>
      </c>
      <c r="D2627" s="1">
        <f>IFERROR(__xludf.DUMMYFUNCTION("""COMPUTED_VALUE"""),26150.0)</f>
        <v>26150</v>
      </c>
      <c r="E2627" s="1">
        <f>IFERROR(__xludf.DUMMYFUNCTION("""COMPUTED_VALUE"""),26350.0)</f>
        <v>26350</v>
      </c>
      <c r="F2627" s="1">
        <f>IFERROR(__xludf.DUMMYFUNCTION("""COMPUTED_VALUE"""),18224.0)</f>
        <v>18224</v>
      </c>
    </row>
    <row r="2628">
      <c r="A2628" s="2">
        <f>IFERROR(__xludf.DUMMYFUNCTION("""COMPUTED_VALUE"""),44811.64583333333)</f>
        <v>44811.64583</v>
      </c>
      <c r="B2628" s="1">
        <f>IFERROR(__xludf.DUMMYFUNCTION("""COMPUTED_VALUE"""),26150.0)</f>
        <v>26150</v>
      </c>
      <c r="C2628" s="1">
        <f>IFERROR(__xludf.DUMMYFUNCTION("""COMPUTED_VALUE"""),26350.0)</f>
        <v>26350</v>
      </c>
      <c r="D2628" s="1">
        <f>IFERROR(__xludf.DUMMYFUNCTION("""COMPUTED_VALUE"""),24950.0)</f>
        <v>24950</v>
      </c>
      <c r="E2628" s="1">
        <f>IFERROR(__xludf.DUMMYFUNCTION("""COMPUTED_VALUE"""),25100.0)</f>
        <v>25100</v>
      </c>
      <c r="F2628" s="1">
        <f>IFERROR(__xludf.DUMMYFUNCTION("""COMPUTED_VALUE"""),39707.0)</f>
        <v>39707</v>
      </c>
    </row>
    <row r="2629">
      <c r="A2629" s="2">
        <f>IFERROR(__xludf.DUMMYFUNCTION("""COMPUTED_VALUE"""),44812.64583333333)</f>
        <v>44812.64583</v>
      </c>
      <c r="B2629" s="1">
        <f>IFERROR(__xludf.DUMMYFUNCTION("""COMPUTED_VALUE"""),25150.0)</f>
        <v>25150</v>
      </c>
      <c r="C2629" s="1">
        <f>IFERROR(__xludf.DUMMYFUNCTION("""COMPUTED_VALUE"""),25750.0)</f>
        <v>25750</v>
      </c>
      <c r="D2629" s="1">
        <f>IFERROR(__xludf.DUMMYFUNCTION("""COMPUTED_VALUE"""),25050.0)</f>
        <v>25050</v>
      </c>
      <c r="E2629" s="1">
        <f>IFERROR(__xludf.DUMMYFUNCTION("""COMPUTED_VALUE"""),25350.0)</f>
        <v>25350</v>
      </c>
      <c r="F2629" s="1">
        <f>IFERROR(__xludf.DUMMYFUNCTION("""COMPUTED_VALUE"""),18660.0)</f>
        <v>18660</v>
      </c>
    </row>
    <row r="2630">
      <c r="A2630" s="2">
        <f>IFERROR(__xludf.DUMMYFUNCTION("""COMPUTED_VALUE"""),44817.64583333333)</f>
        <v>44817.64583</v>
      </c>
      <c r="B2630" s="1">
        <f>IFERROR(__xludf.DUMMYFUNCTION("""COMPUTED_VALUE"""),25500.0)</f>
        <v>25500</v>
      </c>
      <c r="C2630" s="1">
        <f>IFERROR(__xludf.DUMMYFUNCTION("""COMPUTED_VALUE"""),26050.0)</f>
        <v>26050</v>
      </c>
      <c r="D2630" s="1">
        <f>IFERROR(__xludf.DUMMYFUNCTION("""COMPUTED_VALUE"""),25500.0)</f>
        <v>25500</v>
      </c>
      <c r="E2630" s="1">
        <f>IFERROR(__xludf.DUMMYFUNCTION("""COMPUTED_VALUE"""),25950.0)</f>
        <v>25950</v>
      </c>
      <c r="F2630" s="1">
        <f>IFERROR(__xludf.DUMMYFUNCTION("""COMPUTED_VALUE"""),21361.0)</f>
        <v>21361</v>
      </c>
    </row>
    <row r="2631">
      <c r="A2631" s="2">
        <f>IFERROR(__xludf.DUMMYFUNCTION("""COMPUTED_VALUE"""),44818.64583333333)</f>
        <v>44818.64583</v>
      </c>
      <c r="B2631" s="1">
        <f>IFERROR(__xludf.DUMMYFUNCTION("""COMPUTED_VALUE"""),25300.0)</f>
        <v>25300</v>
      </c>
      <c r="C2631" s="1">
        <f>IFERROR(__xludf.DUMMYFUNCTION("""COMPUTED_VALUE"""),25600.0)</f>
        <v>25600</v>
      </c>
      <c r="D2631" s="1">
        <f>IFERROR(__xludf.DUMMYFUNCTION("""COMPUTED_VALUE"""),25000.0)</f>
        <v>25000</v>
      </c>
      <c r="E2631" s="1">
        <f>IFERROR(__xludf.DUMMYFUNCTION("""COMPUTED_VALUE"""),25600.0)</f>
        <v>25600</v>
      </c>
      <c r="F2631" s="1">
        <f>IFERROR(__xludf.DUMMYFUNCTION("""COMPUTED_VALUE"""),13287.0)</f>
        <v>13287</v>
      </c>
    </row>
    <row r="2632">
      <c r="A2632" s="2">
        <f>IFERROR(__xludf.DUMMYFUNCTION("""COMPUTED_VALUE"""),44819.64583333333)</f>
        <v>44819.64583</v>
      </c>
      <c r="B2632" s="1">
        <f>IFERROR(__xludf.DUMMYFUNCTION("""COMPUTED_VALUE"""),25600.0)</f>
        <v>25600</v>
      </c>
      <c r="C2632" s="1">
        <f>IFERROR(__xludf.DUMMYFUNCTION("""COMPUTED_VALUE"""),25800.0)</f>
        <v>25800</v>
      </c>
      <c r="D2632" s="1">
        <f>IFERROR(__xludf.DUMMYFUNCTION("""COMPUTED_VALUE"""),25250.0)</f>
        <v>25250</v>
      </c>
      <c r="E2632" s="1">
        <f>IFERROR(__xludf.DUMMYFUNCTION("""COMPUTED_VALUE"""),25450.0)</f>
        <v>25450</v>
      </c>
      <c r="F2632" s="1">
        <f>IFERROR(__xludf.DUMMYFUNCTION("""COMPUTED_VALUE"""),11020.0)</f>
        <v>11020</v>
      </c>
    </row>
    <row r="2633">
      <c r="A2633" s="2">
        <f>IFERROR(__xludf.DUMMYFUNCTION("""COMPUTED_VALUE"""),44820.64583333333)</f>
        <v>44820.64583</v>
      </c>
      <c r="B2633" s="1">
        <f>IFERROR(__xludf.DUMMYFUNCTION("""COMPUTED_VALUE"""),25000.0)</f>
        <v>25000</v>
      </c>
      <c r="C2633" s="1">
        <f>IFERROR(__xludf.DUMMYFUNCTION("""COMPUTED_VALUE"""),25800.0)</f>
        <v>25800</v>
      </c>
      <c r="D2633" s="1">
        <f>IFERROR(__xludf.DUMMYFUNCTION("""COMPUTED_VALUE"""),25000.0)</f>
        <v>25000</v>
      </c>
      <c r="E2633" s="1">
        <f>IFERROR(__xludf.DUMMYFUNCTION("""COMPUTED_VALUE"""),25000.0)</f>
        <v>25000</v>
      </c>
      <c r="F2633" s="1">
        <f>IFERROR(__xludf.DUMMYFUNCTION("""COMPUTED_VALUE"""),14767.0)</f>
        <v>14767</v>
      </c>
    </row>
    <row r="2634">
      <c r="A2634" s="2">
        <f>IFERROR(__xludf.DUMMYFUNCTION("""COMPUTED_VALUE"""),44823.64583333333)</f>
        <v>44823.64583</v>
      </c>
      <c r="B2634" s="1">
        <f>IFERROR(__xludf.DUMMYFUNCTION("""COMPUTED_VALUE"""),25000.0)</f>
        <v>25000</v>
      </c>
      <c r="C2634" s="1">
        <f>IFERROR(__xludf.DUMMYFUNCTION("""COMPUTED_VALUE"""),25350.0)</f>
        <v>25350</v>
      </c>
      <c r="D2634" s="1">
        <f>IFERROR(__xludf.DUMMYFUNCTION("""COMPUTED_VALUE"""),24150.0)</f>
        <v>24150</v>
      </c>
      <c r="E2634" s="1">
        <f>IFERROR(__xludf.DUMMYFUNCTION("""COMPUTED_VALUE"""),24150.0)</f>
        <v>24150</v>
      </c>
      <c r="F2634" s="1">
        <f>IFERROR(__xludf.DUMMYFUNCTION("""COMPUTED_VALUE"""),27416.0)</f>
        <v>27416</v>
      </c>
    </row>
    <row r="2635">
      <c r="A2635" s="2">
        <f>IFERROR(__xludf.DUMMYFUNCTION("""COMPUTED_VALUE"""),44824.64583333333)</f>
        <v>44824.64583</v>
      </c>
      <c r="B2635" s="1">
        <f>IFERROR(__xludf.DUMMYFUNCTION("""COMPUTED_VALUE"""),24050.0)</f>
        <v>24050</v>
      </c>
      <c r="C2635" s="1">
        <f>IFERROR(__xludf.DUMMYFUNCTION("""COMPUTED_VALUE"""),24800.0)</f>
        <v>24800</v>
      </c>
      <c r="D2635" s="1">
        <f>IFERROR(__xludf.DUMMYFUNCTION("""COMPUTED_VALUE"""),24050.0)</f>
        <v>24050</v>
      </c>
      <c r="E2635" s="1">
        <f>IFERROR(__xludf.DUMMYFUNCTION("""COMPUTED_VALUE"""),24250.0)</f>
        <v>24250</v>
      </c>
      <c r="F2635" s="1">
        <f>IFERROR(__xludf.DUMMYFUNCTION("""COMPUTED_VALUE"""),15597.0)</f>
        <v>15597</v>
      </c>
    </row>
    <row r="2636">
      <c r="A2636" s="2">
        <f>IFERROR(__xludf.DUMMYFUNCTION("""COMPUTED_VALUE"""),44825.64583333333)</f>
        <v>44825.64583</v>
      </c>
      <c r="B2636" s="1">
        <f>IFERROR(__xludf.DUMMYFUNCTION("""COMPUTED_VALUE"""),23900.0)</f>
        <v>23900</v>
      </c>
      <c r="C2636" s="1">
        <f>IFERROR(__xludf.DUMMYFUNCTION("""COMPUTED_VALUE"""),24600.0)</f>
        <v>24600</v>
      </c>
      <c r="D2636" s="1">
        <f>IFERROR(__xludf.DUMMYFUNCTION("""COMPUTED_VALUE"""),23850.0)</f>
        <v>23850</v>
      </c>
      <c r="E2636" s="1">
        <f>IFERROR(__xludf.DUMMYFUNCTION("""COMPUTED_VALUE"""),24000.0)</f>
        <v>24000</v>
      </c>
      <c r="F2636" s="1">
        <f>IFERROR(__xludf.DUMMYFUNCTION("""COMPUTED_VALUE"""),15659.0)</f>
        <v>15659</v>
      </c>
    </row>
    <row r="2637">
      <c r="A2637" s="2">
        <f>IFERROR(__xludf.DUMMYFUNCTION("""COMPUTED_VALUE"""),44826.64583333333)</f>
        <v>44826.64583</v>
      </c>
      <c r="B2637" s="1">
        <f>IFERROR(__xludf.DUMMYFUNCTION("""COMPUTED_VALUE"""),24000.0)</f>
        <v>24000</v>
      </c>
      <c r="C2637" s="1">
        <f>IFERROR(__xludf.DUMMYFUNCTION("""COMPUTED_VALUE"""),24200.0)</f>
        <v>24200</v>
      </c>
      <c r="D2637" s="1">
        <f>IFERROR(__xludf.DUMMYFUNCTION("""COMPUTED_VALUE"""),22850.0)</f>
        <v>22850</v>
      </c>
      <c r="E2637" s="1">
        <f>IFERROR(__xludf.DUMMYFUNCTION("""COMPUTED_VALUE"""),23600.0)</f>
        <v>23600</v>
      </c>
      <c r="F2637" s="1">
        <f>IFERROR(__xludf.DUMMYFUNCTION("""COMPUTED_VALUE"""),27651.0)</f>
        <v>27651</v>
      </c>
    </row>
    <row r="2638">
      <c r="A2638" s="2">
        <f>IFERROR(__xludf.DUMMYFUNCTION("""COMPUTED_VALUE"""),44827.64583333333)</f>
        <v>44827.64583</v>
      </c>
      <c r="B2638" s="1">
        <f>IFERROR(__xludf.DUMMYFUNCTION("""COMPUTED_VALUE"""),23400.0)</f>
        <v>23400</v>
      </c>
      <c r="C2638" s="1">
        <f>IFERROR(__xludf.DUMMYFUNCTION("""COMPUTED_VALUE"""),23800.0)</f>
        <v>23800</v>
      </c>
      <c r="D2638" s="1">
        <f>IFERROR(__xludf.DUMMYFUNCTION("""COMPUTED_VALUE"""),23000.0)</f>
        <v>23000</v>
      </c>
      <c r="E2638" s="1">
        <f>IFERROR(__xludf.DUMMYFUNCTION("""COMPUTED_VALUE"""),23100.0)</f>
        <v>23100</v>
      </c>
      <c r="F2638" s="1">
        <f>IFERROR(__xludf.DUMMYFUNCTION("""COMPUTED_VALUE"""),17954.0)</f>
        <v>17954</v>
      </c>
    </row>
    <row r="2639">
      <c r="A2639" s="2">
        <f>IFERROR(__xludf.DUMMYFUNCTION("""COMPUTED_VALUE"""),44830.64583333333)</f>
        <v>44830.64583</v>
      </c>
      <c r="B2639" s="1">
        <f>IFERROR(__xludf.DUMMYFUNCTION("""COMPUTED_VALUE"""),22600.0)</f>
        <v>22600</v>
      </c>
      <c r="C2639" s="1">
        <f>IFERROR(__xludf.DUMMYFUNCTION("""COMPUTED_VALUE"""),22850.0)</f>
        <v>22850</v>
      </c>
      <c r="D2639" s="1">
        <f>IFERROR(__xludf.DUMMYFUNCTION("""COMPUTED_VALUE"""),21450.0)</f>
        <v>21450</v>
      </c>
      <c r="E2639" s="1">
        <f>IFERROR(__xludf.DUMMYFUNCTION("""COMPUTED_VALUE"""),21450.0)</f>
        <v>21450</v>
      </c>
      <c r="F2639" s="1">
        <f>IFERROR(__xludf.DUMMYFUNCTION("""COMPUTED_VALUE"""),50050.0)</f>
        <v>50050</v>
      </c>
    </row>
    <row r="2640">
      <c r="A2640" s="2">
        <f>IFERROR(__xludf.DUMMYFUNCTION("""COMPUTED_VALUE"""),44831.64583333333)</f>
        <v>44831.64583</v>
      </c>
      <c r="B2640" s="1">
        <f>IFERROR(__xludf.DUMMYFUNCTION("""COMPUTED_VALUE"""),21450.0)</f>
        <v>21450</v>
      </c>
      <c r="C2640" s="1">
        <f>IFERROR(__xludf.DUMMYFUNCTION("""COMPUTED_VALUE"""),23300.0)</f>
        <v>23300</v>
      </c>
      <c r="D2640" s="1">
        <f>IFERROR(__xludf.DUMMYFUNCTION("""COMPUTED_VALUE"""),20950.0)</f>
        <v>20950</v>
      </c>
      <c r="E2640" s="1">
        <f>IFERROR(__xludf.DUMMYFUNCTION("""COMPUTED_VALUE"""),21650.0)</f>
        <v>21650</v>
      </c>
      <c r="F2640" s="1">
        <f>IFERROR(__xludf.DUMMYFUNCTION("""COMPUTED_VALUE"""),107473.0)</f>
        <v>107473</v>
      </c>
    </row>
    <row r="2641">
      <c r="A2641" s="2">
        <f>IFERROR(__xludf.DUMMYFUNCTION("""COMPUTED_VALUE"""),44832.64583333333)</f>
        <v>44832.64583</v>
      </c>
      <c r="B2641" s="1">
        <f>IFERROR(__xludf.DUMMYFUNCTION("""COMPUTED_VALUE"""),21600.0)</f>
        <v>21600</v>
      </c>
      <c r="C2641" s="1">
        <f>IFERROR(__xludf.DUMMYFUNCTION("""COMPUTED_VALUE"""),22250.0)</f>
        <v>22250</v>
      </c>
      <c r="D2641" s="1">
        <f>IFERROR(__xludf.DUMMYFUNCTION("""COMPUTED_VALUE"""),20700.0)</f>
        <v>20700</v>
      </c>
      <c r="E2641" s="1">
        <f>IFERROR(__xludf.DUMMYFUNCTION("""COMPUTED_VALUE"""),20950.0)</f>
        <v>20950</v>
      </c>
      <c r="F2641" s="1">
        <f>IFERROR(__xludf.DUMMYFUNCTION("""COMPUTED_VALUE"""),53885.0)</f>
        <v>53885</v>
      </c>
    </row>
    <row r="2642">
      <c r="A2642" s="2">
        <f>IFERROR(__xludf.DUMMYFUNCTION("""COMPUTED_VALUE"""),44833.64583333333)</f>
        <v>44833.64583</v>
      </c>
      <c r="B2642" s="1">
        <f>IFERROR(__xludf.DUMMYFUNCTION("""COMPUTED_VALUE"""),21000.0)</f>
        <v>21000</v>
      </c>
      <c r="C2642" s="1">
        <f>IFERROR(__xludf.DUMMYFUNCTION("""COMPUTED_VALUE"""),21650.0)</f>
        <v>21650</v>
      </c>
      <c r="D2642" s="1">
        <f>IFERROR(__xludf.DUMMYFUNCTION("""COMPUTED_VALUE"""),20700.0)</f>
        <v>20700</v>
      </c>
      <c r="E2642" s="1">
        <f>IFERROR(__xludf.DUMMYFUNCTION("""COMPUTED_VALUE"""),20700.0)</f>
        <v>20700</v>
      </c>
      <c r="F2642" s="1">
        <f>IFERROR(__xludf.DUMMYFUNCTION("""COMPUTED_VALUE"""),41716.0)</f>
        <v>41716</v>
      </c>
    </row>
    <row r="2643">
      <c r="A2643" s="2">
        <f>IFERROR(__xludf.DUMMYFUNCTION("""COMPUTED_VALUE"""),44834.64583333333)</f>
        <v>44834.64583</v>
      </c>
      <c r="B2643" s="1">
        <f>IFERROR(__xludf.DUMMYFUNCTION("""COMPUTED_VALUE"""),20500.0)</f>
        <v>20500</v>
      </c>
      <c r="C2643" s="1">
        <f>IFERROR(__xludf.DUMMYFUNCTION("""COMPUTED_VALUE"""),21200.0)</f>
        <v>21200</v>
      </c>
      <c r="D2643" s="1">
        <f>IFERROR(__xludf.DUMMYFUNCTION("""COMPUTED_VALUE"""),20150.0)</f>
        <v>20150</v>
      </c>
      <c r="E2643" s="1">
        <f>IFERROR(__xludf.DUMMYFUNCTION("""COMPUTED_VALUE"""),20800.0)</f>
        <v>20800</v>
      </c>
      <c r="F2643" s="1">
        <f>IFERROR(__xludf.DUMMYFUNCTION("""COMPUTED_VALUE"""),34374.0)</f>
        <v>34374</v>
      </c>
    </row>
    <row r="2644">
      <c r="A2644" s="2">
        <f>IFERROR(__xludf.DUMMYFUNCTION("""COMPUTED_VALUE"""),44838.64583333333)</f>
        <v>44838.64583</v>
      </c>
      <c r="B2644" s="1">
        <f>IFERROR(__xludf.DUMMYFUNCTION("""COMPUTED_VALUE"""),21050.0)</f>
        <v>21050</v>
      </c>
      <c r="C2644" s="1">
        <f>IFERROR(__xludf.DUMMYFUNCTION("""COMPUTED_VALUE"""),26000.0)</f>
        <v>26000</v>
      </c>
      <c r="D2644" s="1">
        <f>IFERROR(__xludf.DUMMYFUNCTION("""COMPUTED_VALUE"""),21050.0)</f>
        <v>21050</v>
      </c>
      <c r="E2644" s="1">
        <f>IFERROR(__xludf.DUMMYFUNCTION("""COMPUTED_VALUE"""),24500.0)</f>
        <v>24500</v>
      </c>
      <c r="F2644" s="1">
        <f>IFERROR(__xludf.DUMMYFUNCTION("""COMPUTED_VALUE"""),748319.0)</f>
        <v>748319</v>
      </c>
    </row>
    <row r="2645">
      <c r="A2645" s="2">
        <f>IFERROR(__xludf.DUMMYFUNCTION("""COMPUTED_VALUE"""),44839.64583333333)</f>
        <v>44839.64583</v>
      </c>
      <c r="B2645" s="1">
        <f>IFERROR(__xludf.DUMMYFUNCTION("""COMPUTED_VALUE"""),24350.0)</f>
        <v>24350</v>
      </c>
      <c r="C2645" s="1">
        <f>IFERROR(__xludf.DUMMYFUNCTION("""COMPUTED_VALUE"""),24950.0)</f>
        <v>24950</v>
      </c>
      <c r="D2645" s="1">
        <f>IFERROR(__xludf.DUMMYFUNCTION("""COMPUTED_VALUE"""),22950.0)</f>
        <v>22950</v>
      </c>
      <c r="E2645" s="1">
        <f>IFERROR(__xludf.DUMMYFUNCTION("""COMPUTED_VALUE"""),23300.0)</f>
        <v>23300</v>
      </c>
      <c r="F2645" s="1">
        <f>IFERROR(__xludf.DUMMYFUNCTION("""COMPUTED_VALUE"""),149429.0)</f>
        <v>149429</v>
      </c>
    </row>
    <row r="2646">
      <c r="A2646" s="2">
        <f>IFERROR(__xludf.DUMMYFUNCTION("""COMPUTED_VALUE"""),44840.64583333333)</f>
        <v>44840.64583</v>
      </c>
      <c r="B2646" s="1">
        <f>IFERROR(__xludf.DUMMYFUNCTION("""COMPUTED_VALUE"""),23300.0)</f>
        <v>23300</v>
      </c>
      <c r="C2646" s="1">
        <f>IFERROR(__xludf.DUMMYFUNCTION("""COMPUTED_VALUE"""),23600.0)</f>
        <v>23600</v>
      </c>
      <c r="D2646" s="1">
        <f>IFERROR(__xludf.DUMMYFUNCTION("""COMPUTED_VALUE"""),22850.0)</f>
        <v>22850</v>
      </c>
      <c r="E2646" s="1">
        <f>IFERROR(__xludf.DUMMYFUNCTION("""COMPUTED_VALUE"""),23300.0)</f>
        <v>23300</v>
      </c>
      <c r="F2646" s="1">
        <f>IFERROR(__xludf.DUMMYFUNCTION("""COMPUTED_VALUE"""),67242.0)</f>
        <v>67242</v>
      </c>
    </row>
    <row r="2647">
      <c r="A2647" s="2">
        <f>IFERROR(__xludf.DUMMYFUNCTION("""COMPUTED_VALUE"""),44841.64583333333)</f>
        <v>44841.64583</v>
      </c>
      <c r="B2647" s="1">
        <f>IFERROR(__xludf.DUMMYFUNCTION("""COMPUTED_VALUE"""),23150.0)</f>
        <v>23150</v>
      </c>
      <c r="C2647" s="1">
        <f>IFERROR(__xludf.DUMMYFUNCTION("""COMPUTED_VALUE"""),28100.0)</f>
        <v>28100</v>
      </c>
      <c r="D2647" s="1">
        <f>IFERROR(__xludf.DUMMYFUNCTION("""COMPUTED_VALUE"""),23150.0)</f>
        <v>23150</v>
      </c>
      <c r="E2647" s="1">
        <f>IFERROR(__xludf.DUMMYFUNCTION("""COMPUTED_VALUE"""),25600.0)</f>
        <v>25600</v>
      </c>
      <c r="F2647" s="1">
        <f>IFERROR(__xludf.DUMMYFUNCTION("""COMPUTED_VALUE"""),1431495.0)</f>
        <v>1431495</v>
      </c>
    </row>
    <row r="2648">
      <c r="A2648" s="2">
        <f>IFERROR(__xludf.DUMMYFUNCTION("""COMPUTED_VALUE"""),44845.64583333333)</f>
        <v>44845.64583</v>
      </c>
      <c r="B2648" s="1">
        <f>IFERROR(__xludf.DUMMYFUNCTION("""COMPUTED_VALUE"""),25500.0)</f>
        <v>25500</v>
      </c>
      <c r="C2648" s="1">
        <f>IFERROR(__xludf.DUMMYFUNCTION("""COMPUTED_VALUE"""),26000.0)</f>
        <v>26000</v>
      </c>
      <c r="D2648" s="1">
        <f>IFERROR(__xludf.DUMMYFUNCTION("""COMPUTED_VALUE"""),24250.0)</f>
        <v>24250</v>
      </c>
      <c r="E2648" s="1">
        <f>IFERROR(__xludf.DUMMYFUNCTION("""COMPUTED_VALUE"""),24400.0)</f>
        <v>24400</v>
      </c>
      <c r="F2648" s="1">
        <f>IFERROR(__xludf.DUMMYFUNCTION("""COMPUTED_VALUE"""),184792.0)</f>
        <v>184792</v>
      </c>
    </row>
    <row r="2649">
      <c r="A2649" s="2">
        <f>IFERROR(__xludf.DUMMYFUNCTION("""COMPUTED_VALUE"""),44846.64583333333)</f>
        <v>44846.64583</v>
      </c>
      <c r="B2649" s="1">
        <f>IFERROR(__xludf.DUMMYFUNCTION("""COMPUTED_VALUE"""),24050.0)</f>
        <v>24050</v>
      </c>
      <c r="C2649" s="1">
        <f>IFERROR(__xludf.DUMMYFUNCTION("""COMPUTED_VALUE"""),25550.0)</f>
        <v>25550</v>
      </c>
      <c r="D2649" s="1">
        <f>IFERROR(__xludf.DUMMYFUNCTION("""COMPUTED_VALUE"""),24050.0)</f>
        <v>24050</v>
      </c>
      <c r="E2649" s="1">
        <f>IFERROR(__xludf.DUMMYFUNCTION("""COMPUTED_VALUE"""),24600.0)</f>
        <v>24600</v>
      </c>
      <c r="F2649" s="1">
        <f>IFERROR(__xludf.DUMMYFUNCTION("""COMPUTED_VALUE"""),161366.0)</f>
        <v>161366</v>
      </c>
    </row>
    <row r="2650">
      <c r="A2650" s="2">
        <f>IFERROR(__xludf.DUMMYFUNCTION("""COMPUTED_VALUE"""),44847.64583333333)</f>
        <v>44847.64583</v>
      </c>
      <c r="B2650" s="1">
        <f>IFERROR(__xludf.DUMMYFUNCTION("""COMPUTED_VALUE"""),24800.0)</f>
        <v>24800</v>
      </c>
      <c r="C2650" s="1">
        <f>IFERROR(__xludf.DUMMYFUNCTION("""COMPUTED_VALUE"""),24800.0)</f>
        <v>24800</v>
      </c>
      <c r="D2650" s="1">
        <f>IFERROR(__xludf.DUMMYFUNCTION("""COMPUTED_VALUE"""),22750.0)</f>
        <v>22750</v>
      </c>
      <c r="E2650" s="1">
        <f>IFERROR(__xludf.DUMMYFUNCTION("""COMPUTED_VALUE"""),22800.0)</f>
        <v>22800</v>
      </c>
      <c r="F2650" s="1">
        <f>IFERROR(__xludf.DUMMYFUNCTION("""COMPUTED_VALUE"""),106345.0)</f>
        <v>106345</v>
      </c>
    </row>
    <row r="2651">
      <c r="A2651" s="2">
        <f>IFERROR(__xludf.DUMMYFUNCTION("""COMPUTED_VALUE"""),44848.64583333333)</f>
        <v>44848.64583</v>
      </c>
      <c r="B2651" s="1">
        <f>IFERROR(__xludf.DUMMYFUNCTION("""COMPUTED_VALUE"""),23300.0)</f>
        <v>23300</v>
      </c>
      <c r="C2651" s="1">
        <f>IFERROR(__xludf.DUMMYFUNCTION("""COMPUTED_VALUE"""),24050.0)</f>
        <v>24050</v>
      </c>
      <c r="D2651" s="1">
        <f>IFERROR(__xludf.DUMMYFUNCTION("""COMPUTED_VALUE"""),23150.0)</f>
        <v>23150</v>
      </c>
      <c r="E2651" s="1">
        <f>IFERROR(__xludf.DUMMYFUNCTION("""COMPUTED_VALUE"""),23650.0)</f>
        <v>23650</v>
      </c>
      <c r="F2651" s="1">
        <f>IFERROR(__xludf.DUMMYFUNCTION("""COMPUTED_VALUE"""),69349.0)</f>
        <v>69349</v>
      </c>
    </row>
    <row r="2652">
      <c r="A2652" s="2">
        <f>IFERROR(__xludf.DUMMYFUNCTION("""COMPUTED_VALUE"""),44851.64583333333)</f>
        <v>44851.64583</v>
      </c>
      <c r="B2652" s="1">
        <f>IFERROR(__xludf.DUMMYFUNCTION("""COMPUTED_VALUE"""),23450.0)</f>
        <v>23450</v>
      </c>
      <c r="C2652" s="1">
        <f>IFERROR(__xludf.DUMMYFUNCTION("""COMPUTED_VALUE"""),24500.0)</f>
        <v>24500</v>
      </c>
      <c r="D2652" s="1">
        <f>IFERROR(__xludf.DUMMYFUNCTION("""COMPUTED_VALUE"""),23100.0)</f>
        <v>23100</v>
      </c>
      <c r="E2652" s="1">
        <f>IFERROR(__xludf.DUMMYFUNCTION("""COMPUTED_VALUE"""),24100.0)</f>
        <v>24100</v>
      </c>
      <c r="F2652" s="1">
        <f>IFERROR(__xludf.DUMMYFUNCTION("""COMPUTED_VALUE"""),55160.0)</f>
        <v>55160</v>
      </c>
    </row>
    <row r="2653">
      <c r="A2653" s="2">
        <f>IFERROR(__xludf.DUMMYFUNCTION("""COMPUTED_VALUE"""),44852.64583333333)</f>
        <v>44852.64583</v>
      </c>
      <c r="B2653" s="1">
        <f>IFERROR(__xludf.DUMMYFUNCTION("""COMPUTED_VALUE"""),24400.0)</f>
        <v>24400</v>
      </c>
      <c r="C2653" s="1">
        <f>IFERROR(__xludf.DUMMYFUNCTION("""COMPUTED_VALUE"""),26000.0)</f>
        <v>26000</v>
      </c>
      <c r="D2653" s="1">
        <f>IFERROR(__xludf.DUMMYFUNCTION("""COMPUTED_VALUE"""),23900.0)</f>
        <v>23900</v>
      </c>
      <c r="E2653" s="1">
        <f>IFERROR(__xludf.DUMMYFUNCTION("""COMPUTED_VALUE"""),25000.0)</f>
        <v>25000</v>
      </c>
      <c r="F2653" s="1">
        <f>IFERROR(__xludf.DUMMYFUNCTION("""COMPUTED_VALUE"""),190512.0)</f>
        <v>190512</v>
      </c>
    </row>
    <row r="2654">
      <c r="A2654" s="2">
        <f>IFERROR(__xludf.DUMMYFUNCTION("""COMPUTED_VALUE"""),44853.64583333333)</f>
        <v>44853.64583</v>
      </c>
      <c r="B2654" s="1">
        <f>IFERROR(__xludf.DUMMYFUNCTION("""COMPUTED_VALUE"""),25300.0)</f>
        <v>25300</v>
      </c>
      <c r="C2654" s="1">
        <f>IFERROR(__xludf.DUMMYFUNCTION("""COMPUTED_VALUE"""),25600.0)</f>
        <v>25600</v>
      </c>
      <c r="D2654" s="1">
        <f>IFERROR(__xludf.DUMMYFUNCTION("""COMPUTED_VALUE"""),24350.0)</f>
        <v>24350</v>
      </c>
      <c r="E2654" s="1">
        <f>IFERROR(__xludf.DUMMYFUNCTION("""COMPUTED_VALUE"""),24550.0)</f>
        <v>24550</v>
      </c>
      <c r="F2654" s="1">
        <f>IFERROR(__xludf.DUMMYFUNCTION("""COMPUTED_VALUE"""),91691.0)</f>
        <v>91691</v>
      </c>
    </row>
    <row r="2655">
      <c r="A2655" s="2">
        <f>IFERROR(__xludf.DUMMYFUNCTION("""COMPUTED_VALUE"""),44854.64583333333)</f>
        <v>44854.64583</v>
      </c>
      <c r="B2655" s="1">
        <f>IFERROR(__xludf.DUMMYFUNCTION("""COMPUTED_VALUE"""),24550.0)</f>
        <v>24550</v>
      </c>
      <c r="C2655" s="1">
        <f>IFERROR(__xludf.DUMMYFUNCTION("""COMPUTED_VALUE"""),25100.0)</f>
        <v>25100</v>
      </c>
      <c r="D2655" s="1">
        <f>IFERROR(__xludf.DUMMYFUNCTION("""COMPUTED_VALUE"""),23900.0)</f>
        <v>23900</v>
      </c>
      <c r="E2655" s="1">
        <f>IFERROR(__xludf.DUMMYFUNCTION("""COMPUTED_VALUE"""),23900.0)</f>
        <v>23900</v>
      </c>
      <c r="F2655" s="1">
        <f>IFERROR(__xludf.DUMMYFUNCTION("""COMPUTED_VALUE"""),27243.0)</f>
        <v>27243</v>
      </c>
    </row>
    <row r="2656">
      <c r="A2656" s="2">
        <f>IFERROR(__xludf.DUMMYFUNCTION("""COMPUTED_VALUE"""),44855.64583333333)</f>
        <v>44855.64583</v>
      </c>
      <c r="B2656" s="1">
        <f>IFERROR(__xludf.DUMMYFUNCTION("""COMPUTED_VALUE"""),23700.0)</f>
        <v>23700</v>
      </c>
      <c r="C2656" s="1">
        <f>IFERROR(__xludf.DUMMYFUNCTION("""COMPUTED_VALUE"""),27400.0)</f>
        <v>27400</v>
      </c>
      <c r="D2656" s="1">
        <f>IFERROR(__xludf.DUMMYFUNCTION("""COMPUTED_VALUE"""),23700.0)</f>
        <v>23700</v>
      </c>
      <c r="E2656" s="1">
        <f>IFERROR(__xludf.DUMMYFUNCTION("""COMPUTED_VALUE"""),24450.0)</f>
        <v>24450</v>
      </c>
      <c r="F2656" s="1">
        <f>IFERROR(__xludf.DUMMYFUNCTION("""COMPUTED_VALUE"""),686490.0)</f>
        <v>686490</v>
      </c>
    </row>
    <row r="2657">
      <c r="A2657" s="2">
        <f>IFERROR(__xludf.DUMMYFUNCTION("""COMPUTED_VALUE"""),44858.64583333333)</f>
        <v>44858.64583</v>
      </c>
      <c r="B2657" s="1">
        <f>IFERROR(__xludf.DUMMYFUNCTION("""COMPUTED_VALUE"""),24600.0)</f>
        <v>24600</v>
      </c>
      <c r="C2657" s="1">
        <f>IFERROR(__xludf.DUMMYFUNCTION("""COMPUTED_VALUE"""),25900.0)</f>
        <v>25900</v>
      </c>
      <c r="D2657" s="1">
        <f>IFERROR(__xludf.DUMMYFUNCTION("""COMPUTED_VALUE"""),24550.0)</f>
        <v>24550</v>
      </c>
      <c r="E2657" s="1">
        <f>IFERROR(__xludf.DUMMYFUNCTION("""COMPUTED_VALUE"""),24600.0)</f>
        <v>24600</v>
      </c>
      <c r="F2657" s="1">
        <f>IFERROR(__xludf.DUMMYFUNCTION("""COMPUTED_VALUE"""),104769.0)</f>
        <v>104769</v>
      </c>
    </row>
    <row r="2658">
      <c r="A2658" s="2">
        <f>IFERROR(__xludf.DUMMYFUNCTION("""COMPUTED_VALUE"""),44859.64583333333)</f>
        <v>44859.64583</v>
      </c>
      <c r="B2658" s="1">
        <f>IFERROR(__xludf.DUMMYFUNCTION("""COMPUTED_VALUE"""),24850.0)</f>
        <v>24850</v>
      </c>
      <c r="C2658" s="1">
        <f>IFERROR(__xludf.DUMMYFUNCTION("""COMPUTED_VALUE"""),24850.0)</f>
        <v>24850</v>
      </c>
      <c r="D2658" s="1">
        <f>IFERROR(__xludf.DUMMYFUNCTION("""COMPUTED_VALUE"""),24350.0)</f>
        <v>24350</v>
      </c>
      <c r="E2658" s="1">
        <f>IFERROR(__xludf.DUMMYFUNCTION("""COMPUTED_VALUE"""),24650.0)</f>
        <v>24650</v>
      </c>
      <c r="F2658" s="1">
        <f>IFERROR(__xludf.DUMMYFUNCTION("""COMPUTED_VALUE"""),69155.0)</f>
        <v>69155</v>
      </c>
    </row>
    <row r="2659">
      <c r="A2659" s="2">
        <f>IFERROR(__xludf.DUMMYFUNCTION("""COMPUTED_VALUE"""),44860.64583333333)</f>
        <v>44860.64583</v>
      </c>
      <c r="B2659" s="1">
        <f>IFERROR(__xludf.DUMMYFUNCTION("""COMPUTED_VALUE"""),24650.0)</f>
        <v>24650</v>
      </c>
      <c r="C2659" s="1">
        <f>IFERROR(__xludf.DUMMYFUNCTION("""COMPUTED_VALUE"""),25750.0)</f>
        <v>25750</v>
      </c>
      <c r="D2659" s="1">
        <f>IFERROR(__xludf.DUMMYFUNCTION("""COMPUTED_VALUE"""),24650.0)</f>
        <v>24650</v>
      </c>
      <c r="E2659" s="1">
        <f>IFERROR(__xludf.DUMMYFUNCTION("""COMPUTED_VALUE"""),24950.0)</f>
        <v>24950</v>
      </c>
      <c r="F2659" s="1">
        <f>IFERROR(__xludf.DUMMYFUNCTION("""COMPUTED_VALUE"""),123308.0)</f>
        <v>123308</v>
      </c>
    </row>
    <row r="2660">
      <c r="A2660" s="2">
        <f>IFERROR(__xludf.DUMMYFUNCTION("""COMPUTED_VALUE"""),44861.64583333333)</f>
        <v>44861.64583</v>
      </c>
      <c r="B2660" s="1">
        <f>IFERROR(__xludf.DUMMYFUNCTION("""COMPUTED_VALUE"""),25150.0)</f>
        <v>25150</v>
      </c>
      <c r="C2660" s="1">
        <f>IFERROR(__xludf.DUMMYFUNCTION("""COMPUTED_VALUE"""),25350.0)</f>
        <v>25350</v>
      </c>
      <c r="D2660" s="1">
        <f>IFERROR(__xludf.DUMMYFUNCTION("""COMPUTED_VALUE"""),24800.0)</f>
        <v>24800</v>
      </c>
      <c r="E2660" s="1">
        <f>IFERROR(__xludf.DUMMYFUNCTION("""COMPUTED_VALUE"""),24900.0)</f>
        <v>24900</v>
      </c>
      <c r="F2660" s="1">
        <f>IFERROR(__xludf.DUMMYFUNCTION("""COMPUTED_VALUE"""),48553.0)</f>
        <v>48553</v>
      </c>
    </row>
    <row r="2661">
      <c r="A2661" s="2">
        <f>IFERROR(__xludf.DUMMYFUNCTION("""COMPUTED_VALUE"""),44862.64583333333)</f>
        <v>44862.64583</v>
      </c>
      <c r="B2661" s="1">
        <f>IFERROR(__xludf.DUMMYFUNCTION("""COMPUTED_VALUE"""),24700.0)</f>
        <v>24700</v>
      </c>
      <c r="C2661" s="1">
        <f>IFERROR(__xludf.DUMMYFUNCTION("""COMPUTED_VALUE"""),25100.0)</f>
        <v>25100</v>
      </c>
      <c r="D2661" s="1">
        <f>IFERROR(__xludf.DUMMYFUNCTION("""COMPUTED_VALUE"""),24550.0)</f>
        <v>24550</v>
      </c>
      <c r="E2661" s="1">
        <f>IFERROR(__xludf.DUMMYFUNCTION("""COMPUTED_VALUE"""),24950.0)</f>
        <v>24950</v>
      </c>
      <c r="F2661" s="1">
        <f>IFERROR(__xludf.DUMMYFUNCTION("""COMPUTED_VALUE"""),54193.0)</f>
        <v>54193</v>
      </c>
    </row>
    <row r="2662">
      <c r="A2662" s="2">
        <f>IFERROR(__xludf.DUMMYFUNCTION("""COMPUTED_VALUE"""),44865.64583333333)</f>
        <v>44865.64583</v>
      </c>
      <c r="B2662" s="1">
        <f>IFERROR(__xludf.DUMMYFUNCTION("""COMPUTED_VALUE"""),25100.0)</f>
        <v>25100</v>
      </c>
      <c r="C2662" s="1">
        <f>IFERROR(__xludf.DUMMYFUNCTION("""COMPUTED_VALUE"""),25300.0)</f>
        <v>25300</v>
      </c>
      <c r="D2662" s="1">
        <f>IFERROR(__xludf.DUMMYFUNCTION("""COMPUTED_VALUE"""),24850.0)</f>
        <v>24850</v>
      </c>
      <c r="E2662" s="1">
        <f>IFERROR(__xludf.DUMMYFUNCTION("""COMPUTED_VALUE"""),24850.0)</f>
        <v>24850</v>
      </c>
      <c r="F2662" s="1">
        <f>IFERROR(__xludf.DUMMYFUNCTION("""COMPUTED_VALUE"""),43924.0)</f>
        <v>43924</v>
      </c>
    </row>
    <row r="2663">
      <c r="A2663" s="2">
        <f>IFERROR(__xludf.DUMMYFUNCTION("""COMPUTED_VALUE"""),44866.64583333333)</f>
        <v>44866.64583</v>
      </c>
      <c r="B2663" s="1">
        <f>IFERROR(__xludf.DUMMYFUNCTION("""COMPUTED_VALUE"""),24900.0)</f>
        <v>24900</v>
      </c>
      <c r="C2663" s="1">
        <f>IFERROR(__xludf.DUMMYFUNCTION("""COMPUTED_VALUE"""),25150.0)</f>
        <v>25150</v>
      </c>
      <c r="D2663" s="1">
        <f>IFERROR(__xludf.DUMMYFUNCTION("""COMPUTED_VALUE"""),24650.0)</f>
        <v>24650</v>
      </c>
      <c r="E2663" s="1">
        <f>IFERROR(__xludf.DUMMYFUNCTION("""COMPUTED_VALUE"""),24850.0)</f>
        <v>24850</v>
      </c>
      <c r="F2663" s="1">
        <f>IFERROR(__xludf.DUMMYFUNCTION("""COMPUTED_VALUE"""),27189.0)</f>
        <v>27189</v>
      </c>
    </row>
    <row r="2664">
      <c r="A2664" s="2">
        <f>IFERROR(__xludf.DUMMYFUNCTION("""COMPUTED_VALUE"""),44867.64583333333)</f>
        <v>44867.64583</v>
      </c>
      <c r="B2664" s="1">
        <f>IFERROR(__xludf.DUMMYFUNCTION("""COMPUTED_VALUE"""),25150.0)</f>
        <v>25150</v>
      </c>
      <c r="C2664" s="1">
        <f>IFERROR(__xludf.DUMMYFUNCTION("""COMPUTED_VALUE"""),25450.0)</f>
        <v>25450</v>
      </c>
      <c r="D2664" s="1">
        <f>IFERROR(__xludf.DUMMYFUNCTION("""COMPUTED_VALUE"""),24550.0)</f>
        <v>24550</v>
      </c>
      <c r="E2664" s="1">
        <f>IFERROR(__xludf.DUMMYFUNCTION("""COMPUTED_VALUE"""),25300.0)</f>
        <v>25300</v>
      </c>
      <c r="F2664" s="1">
        <f>IFERROR(__xludf.DUMMYFUNCTION("""COMPUTED_VALUE"""),61865.0)</f>
        <v>61865</v>
      </c>
    </row>
    <row r="2665">
      <c r="A2665" s="2">
        <f>IFERROR(__xludf.DUMMYFUNCTION("""COMPUTED_VALUE"""),44868.64583333333)</f>
        <v>44868.64583</v>
      </c>
      <c r="B2665" s="1">
        <f>IFERROR(__xludf.DUMMYFUNCTION("""COMPUTED_VALUE"""),24800.0)</f>
        <v>24800</v>
      </c>
      <c r="C2665" s="1">
        <f>IFERROR(__xludf.DUMMYFUNCTION("""COMPUTED_VALUE"""),25250.0)</f>
        <v>25250</v>
      </c>
      <c r="D2665" s="1">
        <f>IFERROR(__xludf.DUMMYFUNCTION("""COMPUTED_VALUE"""),24800.0)</f>
        <v>24800</v>
      </c>
      <c r="E2665" s="1">
        <f>IFERROR(__xludf.DUMMYFUNCTION("""COMPUTED_VALUE"""),25150.0)</f>
        <v>25150</v>
      </c>
      <c r="F2665" s="1">
        <f>IFERROR(__xludf.DUMMYFUNCTION("""COMPUTED_VALUE"""),52931.0)</f>
        <v>52931</v>
      </c>
    </row>
    <row r="2666">
      <c r="A2666" s="2">
        <f>IFERROR(__xludf.DUMMYFUNCTION("""COMPUTED_VALUE"""),44869.64583333333)</f>
        <v>44869.64583</v>
      </c>
      <c r="B2666" s="1">
        <f>IFERROR(__xludf.DUMMYFUNCTION("""COMPUTED_VALUE"""),25150.0)</f>
        <v>25150</v>
      </c>
      <c r="C2666" s="1">
        <f>IFERROR(__xludf.DUMMYFUNCTION("""COMPUTED_VALUE"""),25700.0)</f>
        <v>25700</v>
      </c>
      <c r="D2666" s="1">
        <f>IFERROR(__xludf.DUMMYFUNCTION("""COMPUTED_VALUE"""),24950.0)</f>
        <v>24950</v>
      </c>
      <c r="E2666" s="1">
        <f>IFERROR(__xludf.DUMMYFUNCTION("""COMPUTED_VALUE"""),25150.0)</f>
        <v>25150</v>
      </c>
      <c r="F2666" s="1">
        <f>IFERROR(__xludf.DUMMYFUNCTION("""COMPUTED_VALUE"""),76371.0)</f>
        <v>76371</v>
      </c>
    </row>
    <row r="2667">
      <c r="A2667" s="2">
        <f>IFERROR(__xludf.DUMMYFUNCTION("""COMPUTED_VALUE"""),44872.64583333333)</f>
        <v>44872.64583</v>
      </c>
      <c r="B2667" s="1">
        <f>IFERROR(__xludf.DUMMYFUNCTION("""COMPUTED_VALUE"""),25200.0)</f>
        <v>25200</v>
      </c>
      <c r="C2667" s="1">
        <f>IFERROR(__xludf.DUMMYFUNCTION("""COMPUTED_VALUE"""),25450.0)</f>
        <v>25450</v>
      </c>
      <c r="D2667" s="1">
        <f>IFERROR(__xludf.DUMMYFUNCTION("""COMPUTED_VALUE"""),25000.0)</f>
        <v>25000</v>
      </c>
      <c r="E2667" s="1">
        <f>IFERROR(__xludf.DUMMYFUNCTION("""COMPUTED_VALUE"""),25150.0)</f>
        <v>25150</v>
      </c>
      <c r="F2667" s="1">
        <f>IFERROR(__xludf.DUMMYFUNCTION("""COMPUTED_VALUE"""),26439.0)</f>
        <v>26439</v>
      </c>
    </row>
    <row r="2668">
      <c r="A2668" s="2">
        <f>IFERROR(__xludf.DUMMYFUNCTION("""COMPUTED_VALUE"""),44873.64583333333)</f>
        <v>44873.64583</v>
      </c>
      <c r="B2668" s="1">
        <f>IFERROR(__xludf.DUMMYFUNCTION("""COMPUTED_VALUE"""),25350.0)</f>
        <v>25350</v>
      </c>
      <c r="C2668" s="1">
        <f>IFERROR(__xludf.DUMMYFUNCTION("""COMPUTED_VALUE"""),25750.0)</f>
        <v>25750</v>
      </c>
      <c r="D2668" s="1">
        <f>IFERROR(__xludf.DUMMYFUNCTION("""COMPUTED_VALUE"""),25100.0)</f>
        <v>25100</v>
      </c>
      <c r="E2668" s="1">
        <f>IFERROR(__xludf.DUMMYFUNCTION("""COMPUTED_VALUE"""),25700.0)</f>
        <v>25700</v>
      </c>
      <c r="F2668" s="1">
        <f>IFERROR(__xludf.DUMMYFUNCTION("""COMPUTED_VALUE"""),67843.0)</f>
        <v>67843</v>
      </c>
    </row>
    <row r="2669">
      <c r="A2669" s="2">
        <f>IFERROR(__xludf.DUMMYFUNCTION("""COMPUTED_VALUE"""),44874.64583333333)</f>
        <v>44874.64583</v>
      </c>
      <c r="B2669" s="1">
        <f>IFERROR(__xludf.DUMMYFUNCTION("""COMPUTED_VALUE"""),26000.0)</f>
        <v>26000</v>
      </c>
      <c r="C2669" s="1">
        <f>IFERROR(__xludf.DUMMYFUNCTION("""COMPUTED_VALUE"""),27400.0)</f>
        <v>27400</v>
      </c>
      <c r="D2669" s="1">
        <f>IFERROR(__xludf.DUMMYFUNCTION("""COMPUTED_VALUE"""),25450.0)</f>
        <v>25450</v>
      </c>
      <c r="E2669" s="1">
        <f>IFERROR(__xludf.DUMMYFUNCTION("""COMPUTED_VALUE"""),25850.0)</f>
        <v>25850</v>
      </c>
      <c r="F2669" s="1">
        <f>IFERROR(__xludf.DUMMYFUNCTION("""COMPUTED_VALUE"""),353572.0)</f>
        <v>353572</v>
      </c>
    </row>
    <row r="2670">
      <c r="A2670" s="2">
        <f>IFERROR(__xludf.DUMMYFUNCTION("""COMPUTED_VALUE"""),44875.64583333333)</f>
        <v>44875.64583</v>
      </c>
      <c r="B2670" s="1">
        <f>IFERROR(__xludf.DUMMYFUNCTION("""COMPUTED_VALUE"""),25500.0)</f>
        <v>25500</v>
      </c>
      <c r="C2670" s="1">
        <f>IFERROR(__xludf.DUMMYFUNCTION("""COMPUTED_VALUE"""),25800.0)</f>
        <v>25800</v>
      </c>
      <c r="D2670" s="1">
        <f>IFERROR(__xludf.DUMMYFUNCTION("""COMPUTED_VALUE"""),25350.0)</f>
        <v>25350</v>
      </c>
      <c r="E2670" s="1">
        <f>IFERROR(__xludf.DUMMYFUNCTION("""COMPUTED_VALUE"""),25450.0)</f>
        <v>25450</v>
      </c>
      <c r="F2670" s="1">
        <f>IFERROR(__xludf.DUMMYFUNCTION("""COMPUTED_VALUE"""),43240.0)</f>
        <v>43240</v>
      </c>
    </row>
    <row r="2671">
      <c r="A2671" s="2">
        <f>IFERROR(__xludf.DUMMYFUNCTION("""COMPUTED_VALUE"""),44876.64583333333)</f>
        <v>44876.64583</v>
      </c>
      <c r="B2671" s="1">
        <f>IFERROR(__xludf.DUMMYFUNCTION("""COMPUTED_VALUE"""),26000.0)</f>
        <v>26000</v>
      </c>
      <c r="C2671" s="1">
        <f>IFERROR(__xludf.DUMMYFUNCTION("""COMPUTED_VALUE"""),28550.0)</f>
        <v>28550</v>
      </c>
      <c r="D2671" s="1">
        <f>IFERROR(__xludf.DUMMYFUNCTION("""COMPUTED_VALUE"""),25850.0)</f>
        <v>25850</v>
      </c>
      <c r="E2671" s="1">
        <f>IFERROR(__xludf.DUMMYFUNCTION("""COMPUTED_VALUE"""),26600.0)</f>
        <v>26600</v>
      </c>
      <c r="F2671" s="1">
        <f>IFERROR(__xludf.DUMMYFUNCTION("""COMPUTED_VALUE"""),827828.0)</f>
        <v>827828</v>
      </c>
    </row>
    <row r="2672">
      <c r="A2672" s="2">
        <f>IFERROR(__xludf.DUMMYFUNCTION("""COMPUTED_VALUE"""),44879.64583333333)</f>
        <v>44879.64583</v>
      </c>
      <c r="B2672" s="1">
        <f>IFERROR(__xludf.DUMMYFUNCTION("""COMPUTED_VALUE"""),26750.0)</f>
        <v>26750</v>
      </c>
      <c r="C2672" s="1">
        <f>IFERROR(__xludf.DUMMYFUNCTION("""COMPUTED_VALUE"""),27250.0)</f>
        <v>27250</v>
      </c>
      <c r="D2672" s="1">
        <f>IFERROR(__xludf.DUMMYFUNCTION("""COMPUTED_VALUE"""),26350.0)</f>
        <v>26350</v>
      </c>
      <c r="E2672" s="1">
        <f>IFERROR(__xludf.DUMMYFUNCTION("""COMPUTED_VALUE"""),26750.0)</f>
        <v>26750</v>
      </c>
      <c r="F2672" s="1">
        <f>IFERROR(__xludf.DUMMYFUNCTION("""COMPUTED_VALUE"""),129622.0)</f>
        <v>129622</v>
      </c>
    </row>
    <row r="2673">
      <c r="A2673" s="2">
        <f>IFERROR(__xludf.DUMMYFUNCTION("""COMPUTED_VALUE"""),44880.64583333333)</f>
        <v>44880.64583</v>
      </c>
      <c r="B2673" s="1">
        <f>IFERROR(__xludf.DUMMYFUNCTION("""COMPUTED_VALUE"""),27000.0)</f>
        <v>27000</v>
      </c>
      <c r="C2673" s="1">
        <f>IFERROR(__xludf.DUMMYFUNCTION("""COMPUTED_VALUE"""),27200.0)</f>
        <v>27200</v>
      </c>
      <c r="D2673" s="1">
        <f>IFERROR(__xludf.DUMMYFUNCTION("""COMPUTED_VALUE"""),26600.0)</f>
        <v>26600</v>
      </c>
      <c r="E2673" s="1">
        <f>IFERROR(__xludf.DUMMYFUNCTION("""COMPUTED_VALUE"""),27050.0)</f>
        <v>27050</v>
      </c>
      <c r="F2673" s="1">
        <f>IFERROR(__xludf.DUMMYFUNCTION("""COMPUTED_VALUE"""),80946.0)</f>
        <v>80946</v>
      </c>
    </row>
    <row r="2674">
      <c r="A2674" s="2">
        <f>IFERROR(__xludf.DUMMYFUNCTION("""COMPUTED_VALUE"""),44881.64583333333)</f>
        <v>44881.64583</v>
      </c>
      <c r="B2674" s="1">
        <f>IFERROR(__xludf.DUMMYFUNCTION("""COMPUTED_VALUE"""),27300.0)</f>
        <v>27300</v>
      </c>
      <c r="C2674" s="1">
        <f>IFERROR(__xludf.DUMMYFUNCTION("""COMPUTED_VALUE"""),27300.0)</f>
        <v>27300</v>
      </c>
      <c r="D2674" s="1">
        <f>IFERROR(__xludf.DUMMYFUNCTION("""COMPUTED_VALUE"""),26450.0)</f>
        <v>26450</v>
      </c>
      <c r="E2674" s="1">
        <f>IFERROR(__xludf.DUMMYFUNCTION("""COMPUTED_VALUE"""),27100.0)</f>
        <v>27100</v>
      </c>
      <c r="F2674" s="1">
        <f>IFERROR(__xludf.DUMMYFUNCTION("""COMPUTED_VALUE"""),66015.0)</f>
        <v>66015</v>
      </c>
    </row>
    <row r="2675">
      <c r="A2675" s="2">
        <f>IFERROR(__xludf.DUMMYFUNCTION("""COMPUTED_VALUE"""),44882.64583333333)</f>
        <v>44882.64583</v>
      </c>
      <c r="B2675" s="1">
        <f>IFERROR(__xludf.DUMMYFUNCTION("""COMPUTED_VALUE"""),27100.0)</f>
        <v>27100</v>
      </c>
      <c r="C2675" s="1">
        <f>IFERROR(__xludf.DUMMYFUNCTION("""COMPUTED_VALUE"""),27400.0)</f>
        <v>27400</v>
      </c>
      <c r="D2675" s="1">
        <f>IFERROR(__xludf.DUMMYFUNCTION("""COMPUTED_VALUE"""),26600.0)</f>
        <v>26600</v>
      </c>
      <c r="E2675" s="1">
        <f>IFERROR(__xludf.DUMMYFUNCTION("""COMPUTED_VALUE"""),26850.0)</f>
        <v>26850</v>
      </c>
      <c r="F2675" s="1">
        <f>IFERROR(__xludf.DUMMYFUNCTION("""COMPUTED_VALUE"""),54173.0)</f>
        <v>54173</v>
      </c>
    </row>
    <row r="2676">
      <c r="A2676" s="2">
        <f>IFERROR(__xludf.DUMMYFUNCTION("""COMPUTED_VALUE"""),44883.64583333333)</f>
        <v>44883.64583</v>
      </c>
      <c r="B2676" s="1">
        <f>IFERROR(__xludf.DUMMYFUNCTION("""COMPUTED_VALUE"""),26600.0)</f>
        <v>26600</v>
      </c>
      <c r="C2676" s="1">
        <f>IFERROR(__xludf.DUMMYFUNCTION("""COMPUTED_VALUE"""),27150.0)</f>
        <v>27150</v>
      </c>
      <c r="D2676" s="1">
        <f>IFERROR(__xludf.DUMMYFUNCTION("""COMPUTED_VALUE"""),26400.0)</f>
        <v>26400</v>
      </c>
      <c r="E2676" s="1">
        <f>IFERROR(__xludf.DUMMYFUNCTION("""COMPUTED_VALUE"""),26400.0)</f>
        <v>26400</v>
      </c>
      <c r="F2676" s="1">
        <f>IFERROR(__xludf.DUMMYFUNCTION("""COMPUTED_VALUE"""),38411.0)</f>
        <v>38411</v>
      </c>
    </row>
    <row r="2677">
      <c r="A2677" s="2">
        <f>IFERROR(__xludf.DUMMYFUNCTION("""COMPUTED_VALUE"""),44886.64583333333)</f>
        <v>44886.64583</v>
      </c>
      <c r="B2677" s="1">
        <f>IFERROR(__xludf.DUMMYFUNCTION("""COMPUTED_VALUE"""),26400.0)</f>
        <v>26400</v>
      </c>
      <c r="C2677" s="1">
        <f>IFERROR(__xludf.DUMMYFUNCTION("""COMPUTED_VALUE"""),26550.0)</f>
        <v>26550</v>
      </c>
      <c r="D2677" s="1">
        <f>IFERROR(__xludf.DUMMYFUNCTION("""COMPUTED_VALUE"""),25550.0)</f>
        <v>25550</v>
      </c>
      <c r="E2677" s="1">
        <f>IFERROR(__xludf.DUMMYFUNCTION("""COMPUTED_VALUE"""),25600.0)</f>
        <v>25600</v>
      </c>
      <c r="F2677" s="1">
        <f>IFERROR(__xludf.DUMMYFUNCTION("""COMPUTED_VALUE"""),36461.0)</f>
        <v>36461</v>
      </c>
    </row>
    <row r="2678">
      <c r="A2678" s="2">
        <f>IFERROR(__xludf.DUMMYFUNCTION("""COMPUTED_VALUE"""),44887.64583333333)</f>
        <v>44887.64583</v>
      </c>
      <c r="B2678" s="1">
        <f>IFERROR(__xludf.DUMMYFUNCTION("""COMPUTED_VALUE"""),25650.0)</f>
        <v>25650</v>
      </c>
      <c r="C2678" s="1">
        <f>IFERROR(__xludf.DUMMYFUNCTION("""COMPUTED_VALUE"""),26050.0)</f>
        <v>26050</v>
      </c>
      <c r="D2678" s="1">
        <f>IFERROR(__xludf.DUMMYFUNCTION("""COMPUTED_VALUE"""),25550.0)</f>
        <v>25550</v>
      </c>
      <c r="E2678" s="1">
        <f>IFERROR(__xludf.DUMMYFUNCTION("""COMPUTED_VALUE"""),25600.0)</f>
        <v>25600</v>
      </c>
      <c r="F2678" s="1">
        <f>IFERROR(__xludf.DUMMYFUNCTION("""COMPUTED_VALUE"""),29151.0)</f>
        <v>29151</v>
      </c>
    </row>
    <row r="2679">
      <c r="A2679" s="2">
        <f>IFERROR(__xludf.DUMMYFUNCTION("""COMPUTED_VALUE"""),44888.64583333333)</f>
        <v>44888.64583</v>
      </c>
      <c r="B2679" s="1">
        <f>IFERROR(__xludf.DUMMYFUNCTION("""COMPUTED_VALUE"""),25700.0)</f>
        <v>25700</v>
      </c>
      <c r="C2679" s="1">
        <f>IFERROR(__xludf.DUMMYFUNCTION("""COMPUTED_VALUE"""),26750.0)</f>
        <v>26750</v>
      </c>
      <c r="D2679" s="1">
        <f>IFERROR(__xludf.DUMMYFUNCTION("""COMPUTED_VALUE"""),25700.0)</f>
        <v>25700</v>
      </c>
      <c r="E2679" s="1">
        <f>IFERROR(__xludf.DUMMYFUNCTION("""COMPUTED_VALUE"""),26150.0)</f>
        <v>26150</v>
      </c>
      <c r="F2679" s="1">
        <f>IFERROR(__xludf.DUMMYFUNCTION("""COMPUTED_VALUE"""),54966.0)</f>
        <v>54966</v>
      </c>
    </row>
    <row r="2680">
      <c r="A2680" s="2">
        <f>IFERROR(__xludf.DUMMYFUNCTION("""COMPUTED_VALUE"""),44889.64583333333)</f>
        <v>44889.64583</v>
      </c>
      <c r="B2680" s="1">
        <f>IFERROR(__xludf.DUMMYFUNCTION("""COMPUTED_VALUE"""),26600.0)</f>
        <v>26600</v>
      </c>
      <c r="C2680" s="1">
        <f>IFERROR(__xludf.DUMMYFUNCTION("""COMPUTED_VALUE"""),26600.0)</f>
        <v>26600</v>
      </c>
      <c r="D2680" s="1">
        <f>IFERROR(__xludf.DUMMYFUNCTION("""COMPUTED_VALUE"""),26000.0)</f>
        <v>26000</v>
      </c>
      <c r="E2680" s="1">
        <f>IFERROR(__xludf.DUMMYFUNCTION("""COMPUTED_VALUE"""),26400.0)</f>
        <v>26400</v>
      </c>
      <c r="F2680" s="1">
        <f>IFERROR(__xludf.DUMMYFUNCTION("""COMPUTED_VALUE"""),33348.0)</f>
        <v>33348</v>
      </c>
    </row>
    <row r="2681">
      <c r="A2681" s="2">
        <f>IFERROR(__xludf.DUMMYFUNCTION("""COMPUTED_VALUE"""),44890.64583333333)</f>
        <v>44890.64583</v>
      </c>
      <c r="B2681" s="1">
        <f>IFERROR(__xludf.DUMMYFUNCTION("""COMPUTED_VALUE"""),26600.0)</f>
        <v>26600</v>
      </c>
      <c r="C2681" s="1">
        <f>IFERROR(__xludf.DUMMYFUNCTION("""COMPUTED_VALUE"""),27250.0)</f>
        <v>27250</v>
      </c>
      <c r="D2681" s="1">
        <f>IFERROR(__xludf.DUMMYFUNCTION("""COMPUTED_VALUE"""),26300.0)</f>
        <v>26300</v>
      </c>
      <c r="E2681" s="1">
        <f>IFERROR(__xludf.DUMMYFUNCTION("""COMPUTED_VALUE"""),26550.0)</f>
        <v>26550</v>
      </c>
      <c r="F2681" s="1">
        <f>IFERROR(__xludf.DUMMYFUNCTION("""COMPUTED_VALUE"""),76586.0)</f>
        <v>76586</v>
      </c>
    </row>
    <row r="2682">
      <c r="A2682" s="2">
        <f>IFERROR(__xludf.DUMMYFUNCTION("""COMPUTED_VALUE"""),44893.64583333333)</f>
        <v>44893.64583</v>
      </c>
      <c r="B2682" s="1">
        <f>IFERROR(__xludf.DUMMYFUNCTION("""COMPUTED_VALUE"""),27050.0)</f>
        <v>27050</v>
      </c>
      <c r="C2682" s="1">
        <f>IFERROR(__xludf.DUMMYFUNCTION("""COMPUTED_VALUE"""),27550.0)</f>
        <v>27550</v>
      </c>
      <c r="D2682" s="1">
        <f>IFERROR(__xludf.DUMMYFUNCTION("""COMPUTED_VALUE"""),26600.0)</f>
        <v>26600</v>
      </c>
      <c r="E2682" s="1">
        <f>IFERROR(__xludf.DUMMYFUNCTION("""COMPUTED_VALUE"""),26700.0)</f>
        <v>26700</v>
      </c>
      <c r="F2682" s="1">
        <f>IFERROR(__xludf.DUMMYFUNCTION("""COMPUTED_VALUE"""),177386.0)</f>
        <v>177386</v>
      </c>
    </row>
    <row r="2683">
      <c r="A2683" s="2">
        <f>IFERROR(__xludf.DUMMYFUNCTION("""COMPUTED_VALUE"""),44894.64583333333)</f>
        <v>44894.64583</v>
      </c>
      <c r="B2683" s="1">
        <f>IFERROR(__xludf.DUMMYFUNCTION("""COMPUTED_VALUE"""),27150.0)</f>
        <v>27150</v>
      </c>
      <c r="C2683" s="1">
        <f>IFERROR(__xludf.DUMMYFUNCTION("""COMPUTED_VALUE"""),27250.0)</f>
        <v>27250</v>
      </c>
      <c r="D2683" s="1">
        <f>IFERROR(__xludf.DUMMYFUNCTION("""COMPUTED_VALUE"""),26600.0)</f>
        <v>26600</v>
      </c>
      <c r="E2683" s="1">
        <f>IFERROR(__xludf.DUMMYFUNCTION("""COMPUTED_VALUE"""),26950.0)</f>
        <v>26950</v>
      </c>
      <c r="F2683" s="1">
        <f>IFERROR(__xludf.DUMMYFUNCTION("""COMPUTED_VALUE"""),70637.0)</f>
        <v>70637</v>
      </c>
    </row>
    <row r="2684">
      <c r="A2684" s="2">
        <f>IFERROR(__xludf.DUMMYFUNCTION("""COMPUTED_VALUE"""),44895.64583333333)</f>
        <v>44895.64583</v>
      </c>
      <c r="B2684" s="1">
        <f>IFERROR(__xludf.DUMMYFUNCTION("""COMPUTED_VALUE"""),27050.0)</f>
        <v>27050</v>
      </c>
      <c r="C2684" s="1">
        <f>IFERROR(__xludf.DUMMYFUNCTION("""COMPUTED_VALUE"""),28800.0)</f>
        <v>28800</v>
      </c>
      <c r="D2684" s="1">
        <f>IFERROR(__xludf.DUMMYFUNCTION("""COMPUTED_VALUE"""),26600.0)</f>
        <v>26600</v>
      </c>
      <c r="E2684" s="1">
        <f>IFERROR(__xludf.DUMMYFUNCTION("""COMPUTED_VALUE"""),27700.0)</f>
        <v>27700</v>
      </c>
      <c r="F2684" s="1">
        <f>IFERROR(__xludf.DUMMYFUNCTION("""COMPUTED_VALUE"""),687981.0)</f>
        <v>687981</v>
      </c>
    </row>
    <row r="2685">
      <c r="A2685" s="2">
        <f>IFERROR(__xludf.DUMMYFUNCTION("""COMPUTED_VALUE"""),44896.64583333333)</f>
        <v>44896.64583</v>
      </c>
      <c r="B2685" s="1">
        <f>IFERROR(__xludf.DUMMYFUNCTION("""COMPUTED_VALUE"""),27900.0)</f>
        <v>27900</v>
      </c>
      <c r="C2685" s="1">
        <f>IFERROR(__xludf.DUMMYFUNCTION("""COMPUTED_VALUE"""),28300.0)</f>
        <v>28300</v>
      </c>
      <c r="D2685" s="1">
        <f>IFERROR(__xludf.DUMMYFUNCTION("""COMPUTED_VALUE"""),27350.0)</f>
        <v>27350</v>
      </c>
      <c r="E2685" s="1">
        <f>IFERROR(__xludf.DUMMYFUNCTION("""COMPUTED_VALUE"""),27600.0)</f>
        <v>27600</v>
      </c>
      <c r="F2685" s="1">
        <f>IFERROR(__xludf.DUMMYFUNCTION("""COMPUTED_VALUE"""),148586.0)</f>
        <v>148586</v>
      </c>
    </row>
    <row r="2686">
      <c r="A2686" s="2">
        <f>IFERROR(__xludf.DUMMYFUNCTION("""COMPUTED_VALUE"""),44897.64583333333)</f>
        <v>44897.64583</v>
      </c>
      <c r="B2686" s="1">
        <f>IFERROR(__xludf.DUMMYFUNCTION("""COMPUTED_VALUE"""),27600.0)</f>
        <v>27600</v>
      </c>
      <c r="C2686" s="1">
        <f>IFERROR(__xludf.DUMMYFUNCTION("""COMPUTED_VALUE"""),27600.0)</f>
        <v>27600</v>
      </c>
      <c r="D2686" s="1">
        <f>IFERROR(__xludf.DUMMYFUNCTION("""COMPUTED_VALUE"""),26850.0)</f>
        <v>26850</v>
      </c>
      <c r="E2686" s="1">
        <f>IFERROR(__xludf.DUMMYFUNCTION("""COMPUTED_VALUE"""),26850.0)</f>
        <v>26850</v>
      </c>
      <c r="F2686" s="1">
        <f>IFERROR(__xludf.DUMMYFUNCTION("""COMPUTED_VALUE"""),91112.0)</f>
        <v>91112</v>
      </c>
    </row>
    <row r="2687">
      <c r="A2687" s="2">
        <f>IFERROR(__xludf.DUMMYFUNCTION("""COMPUTED_VALUE"""),44900.64583333333)</f>
        <v>44900.64583</v>
      </c>
      <c r="B2687" s="1">
        <f>IFERROR(__xludf.DUMMYFUNCTION("""COMPUTED_VALUE"""),26850.0)</f>
        <v>26850</v>
      </c>
      <c r="C2687" s="1">
        <f>IFERROR(__xludf.DUMMYFUNCTION("""COMPUTED_VALUE"""),27150.0)</f>
        <v>27150</v>
      </c>
      <c r="D2687" s="1">
        <f>IFERROR(__xludf.DUMMYFUNCTION("""COMPUTED_VALUE"""),26550.0)</f>
        <v>26550</v>
      </c>
      <c r="E2687" s="1">
        <f>IFERROR(__xludf.DUMMYFUNCTION("""COMPUTED_VALUE"""),27100.0)</f>
        <v>27100</v>
      </c>
      <c r="F2687" s="1">
        <f>IFERROR(__xludf.DUMMYFUNCTION("""COMPUTED_VALUE"""),61782.0)</f>
        <v>61782</v>
      </c>
    </row>
    <row r="2688">
      <c r="A2688" s="2">
        <f>IFERROR(__xludf.DUMMYFUNCTION("""COMPUTED_VALUE"""),44901.64583333333)</f>
        <v>44901.64583</v>
      </c>
      <c r="B2688" s="1">
        <f>IFERROR(__xludf.DUMMYFUNCTION("""COMPUTED_VALUE"""),26750.0)</f>
        <v>26750</v>
      </c>
      <c r="C2688" s="1">
        <f>IFERROR(__xludf.DUMMYFUNCTION("""COMPUTED_VALUE"""),26950.0)</f>
        <v>26950</v>
      </c>
      <c r="D2688" s="1">
        <f>IFERROR(__xludf.DUMMYFUNCTION("""COMPUTED_VALUE"""),26050.0)</f>
        <v>26050</v>
      </c>
      <c r="E2688" s="1">
        <f>IFERROR(__xludf.DUMMYFUNCTION("""COMPUTED_VALUE"""),26100.0)</f>
        <v>26100</v>
      </c>
      <c r="F2688" s="1">
        <f>IFERROR(__xludf.DUMMYFUNCTION("""COMPUTED_VALUE"""),59250.0)</f>
        <v>59250</v>
      </c>
    </row>
    <row r="2689">
      <c r="A2689" s="2">
        <f>IFERROR(__xludf.DUMMYFUNCTION("""COMPUTED_VALUE"""),44902.64583333333)</f>
        <v>44902.64583</v>
      </c>
      <c r="B2689" s="1">
        <f>IFERROR(__xludf.DUMMYFUNCTION("""COMPUTED_VALUE"""),25950.0)</f>
        <v>25950</v>
      </c>
      <c r="C2689" s="1">
        <f>IFERROR(__xludf.DUMMYFUNCTION("""COMPUTED_VALUE"""),26350.0)</f>
        <v>26350</v>
      </c>
      <c r="D2689" s="1">
        <f>IFERROR(__xludf.DUMMYFUNCTION("""COMPUTED_VALUE"""),25500.0)</f>
        <v>25500</v>
      </c>
      <c r="E2689" s="1">
        <f>IFERROR(__xludf.DUMMYFUNCTION("""COMPUTED_VALUE"""),25850.0)</f>
        <v>25850</v>
      </c>
      <c r="F2689" s="1">
        <f>IFERROR(__xludf.DUMMYFUNCTION("""COMPUTED_VALUE"""),39831.0)</f>
        <v>39831</v>
      </c>
    </row>
    <row r="2690">
      <c r="A2690" s="2">
        <f>IFERROR(__xludf.DUMMYFUNCTION("""COMPUTED_VALUE"""),44903.64583333333)</f>
        <v>44903.64583</v>
      </c>
      <c r="B2690" s="1">
        <f>IFERROR(__xludf.DUMMYFUNCTION("""COMPUTED_VALUE"""),25950.0)</f>
        <v>25950</v>
      </c>
      <c r="C2690" s="1">
        <f>IFERROR(__xludf.DUMMYFUNCTION("""COMPUTED_VALUE"""),26050.0)</f>
        <v>26050</v>
      </c>
      <c r="D2690" s="1">
        <f>IFERROR(__xludf.DUMMYFUNCTION("""COMPUTED_VALUE"""),25550.0)</f>
        <v>25550</v>
      </c>
      <c r="E2690" s="1">
        <f>IFERROR(__xludf.DUMMYFUNCTION("""COMPUTED_VALUE"""),25650.0)</f>
        <v>25650</v>
      </c>
      <c r="F2690" s="1">
        <f>IFERROR(__xludf.DUMMYFUNCTION("""COMPUTED_VALUE"""),24660.0)</f>
        <v>24660</v>
      </c>
    </row>
    <row r="2691">
      <c r="A2691" s="2">
        <f>IFERROR(__xludf.DUMMYFUNCTION("""COMPUTED_VALUE"""),44904.64583333333)</f>
        <v>44904.64583</v>
      </c>
      <c r="B2691" s="1">
        <f>IFERROR(__xludf.DUMMYFUNCTION("""COMPUTED_VALUE"""),25800.0)</f>
        <v>25800</v>
      </c>
      <c r="C2691" s="1">
        <f>IFERROR(__xludf.DUMMYFUNCTION("""COMPUTED_VALUE"""),26350.0)</f>
        <v>26350</v>
      </c>
      <c r="D2691" s="1">
        <f>IFERROR(__xludf.DUMMYFUNCTION("""COMPUTED_VALUE"""),25800.0)</f>
        <v>25800</v>
      </c>
      <c r="E2691" s="1">
        <f>IFERROR(__xludf.DUMMYFUNCTION("""COMPUTED_VALUE"""),26000.0)</f>
        <v>26000</v>
      </c>
      <c r="F2691" s="1">
        <f>IFERROR(__xludf.DUMMYFUNCTION("""COMPUTED_VALUE"""),28163.0)</f>
        <v>28163</v>
      </c>
    </row>
    <row r="2692">
      <c r="A2692" s="2">
        <f>IFERROR(__xludf.DUMMYFUNCTION("""COMPUTED_VALUE"""),44907.64583333333)</f>
        <v>44907.64583</v>
      </c>
      <c r="B2692" s="1">
        <f>IFERROR(__xludf.DUMMYFUNCTION("""COMPUTED_VALUE"""),25700.0)</f>
        <v>25700</v>
      </c>
      <c r="C2692" s="1">
        <f>IFERROR(__xludf.DUMMYFUNCTION("""COMPUTED_VALUE"""),26350.0)</f>
        <v>26350</v>
      </c>
      <c r="D2692" s="1">
        <f>IFERROR(__xludf.DUMMYFUNCTION("""COMPUTED_VALUE"""),25700.0)</f>
        <v>25700</v>
      </c>
      <c r="E2692" s="1">
        <f>IFERROR(__xludf.DUMMYFUNCTION("""COMPUTED_VALUE"""),26000.0)</f>
        <v>26000</v>
      </c>
      <c r="F2692" s="1">
        <f>IFERROR(__xludf.DUMMYFUNCTION("""COMPUTED_VALUE"""),24113.0)</f>
        <v>24113</v>
      </c>
    </row>
    <row r="2693">
      <c r="A2693" s="2">
        <f>IFERROR(__xludf.DUMMYFUNCTION("""COMPUTED_VALUE"""),44908.64583333333)</f>
        <v>44908.64583</v>
      </c>
      <c r="B2693" s="1">
        <f>IFERROR(__xludf.DUMMYFUNCTION("""COMPUTED_VALUE"""),26050.0)</f>
        <v>26050</v>
      </c>
      <c r="C2693" s="1">
        <f>IFERROR(__xludf.DUMMYFUNCTION("""COMPUTED_VALUE"""),26250.0)</f>
        <v>26250</v>
      </c>
      <c r="D2693" s="1">
        <f>IFERROR(__xludf.DUMMYFUNCTION("""COMPUTED_VALUE"""),25850.0)</f>
        <v>25850</v>
      </c>
      <c r="E2693" s="1">
        <f>IFERROR(__xludf.DUMMYFUNCTION("""COMPUTED_VALUE"""),26050.0)</f>
        <v>26050</v>
      </c>
      <c r="F2693" s="1">
        <f>IFERROR(__xludf.DUMMYFUNCTION("""COMPUTED_VALUE"""),24821.0)</f>
        <v>24821</v>
      </c>
    </row>
    <row r="2694">
      <c r="A2694" s="2">
        <f>IFERROR(__xludf.DUMMYFUNCTION("""COMPUTED_VALUE"""),44909.64583333333)</f>
        <v>44909.64583</v>
      </c>
      <c r="B2694" s="1">
        <f>IFERROR(__xludf.DUMMYFUNCTION("""COMPUTED_VALUE"""),26050.0)</f>
        <v>26050</v>
      </c>
      <c r="C2694" s="1">
        <f>IFERROR(__xludf.DUMMYFUNCTION("""COMPUTED_VALUE"""),26300.0)</f>
        <v>26300</v>
      </c>
      <c r="D2694" s="1">
        <f>IFERROR(__xludf.DUMMYFUNCTION("""COMPUTED_VALUE"""),26000.0)</f>
        <v>26000</v>
      </c>
      <c r="E2694" s="1">
        <f>IFERROR(__xludf.DUMMYFUNCTION("""COMPUTED_VALUE"""),26300.0)</f>
        <v>26300</v>
      </c>
      <c r="F2694" s="1">
        <f>IFERROR(__xludf.DUMMYFUNCTION("""COMPUTED_VALUE"""),19856.0)</f>
        <v>19856</v>
      </c>
    </row>
    <row r="2695">
      <c r="A2695" s="2">
        <f>IFERROR(__xludf.DUMMYFUNCTION("""COMPUTED_VALUE"""),44910.64583333333)</f>
        <v>44910.64583</v>
      </c>
      <c r="B2695" s="1">
        <f>IFERROR(__xludf.DUMMYFUNCTION("""COMPUTED_VALUE"""),26600.0)</f>
        <v>26600</v>
      </c>
      <c r="C2695" s="1">
        <f>IFERROR(__xludf.DUMMYFUNCTION("""COMPUTED_VALUE"""),27900.0)</f>
        <v>27900</v>
      </c>
      <c r="D2695" s="1">
        <f>IFERROR(__xludf.DUMMYFUNCTION("""COMPUTED_VALUE"""),26250.0)</f>
        <v>26250</v>
      </c>
      <c r="E2695" s="1">
        <f>IFERROR(__xludf.DUMMYFUNCTION("""COMPUTED_VALUE"""),26600.0)</f>
        <v>26600</v>
      </c>
      <c r="F2695" s="1">
        <f>IFERROR(__xludf.DUMMYFUNCTION("""COMPUTED_VALUE"""),263913.0)</f>
        <v>263913</v>
      </c>
    </row>
    <row r="2696">
      <c r="A2696" s="2">
        <f>IFERROR(__xludf.DUMMYFUNCTION("""COMPUTED_VALUE"""),44911.64583333333)</f>
        <v>44911.64583</v>
      </c>
      <c r="B2696" s="1">
        <f>IFERROR(__xludf.DUMMYFUNCTION("""COMPUTED_VALUE"""),26100.0)</f>
        <v>26100</v>
      </c>
      <c r="C2696" s="1">
        <f>IFERROR(__xludf.DUMMYFUNCTION("""COMPUTED_VALUE"""),26500.0)</f>
        <v>26500</v>
      </c>
      <c r="D2696" s="1">
        <f>IFERROR(__xludf.DUMMYFUNCTION("""COMPUTED_VALUE"""),25950.0)</f>
        <v>25950</v>
      </c>
      <c r="E2696" s="1">
        <f>IFERROR(__xludf.DUMMYFUNCTION("""COMPUTED_VALUE"""),26150.0)</f>
        <v>26150</v>
      </c>
      <c r="F2696" s="1">
        <f>IFERROR(__xludf.DUMMYFUNCTION("""COMPUTED_VALUE"""),30032.0)</f>
        <v>30032</v>
      </c>
    </row>
    <row r="2697">
      <c r="A2697" s="2">
        <f>IFERROR(__xludf.DUMMYFUNCTION("""COMPUTED_VALUE"""),44914.64583333333)</f>
        <v>44914.64583</v>
      </c>
      <c r="B2697" s="1">
        <f>IFERROR(__xludf.DUMMYFUNCTION("""COMPUTED_VALUE"""),26150.0)</f>
        <v>26150</v>
      </c>
      <c r="C2697" s="1">
        <f>IFERROR(__xludf.DUMMYFUNCTION("""COMPUTED_VALUE"""),28350.0)</f>
        <v>28350</v>
      </c>
      <c r="D2697" s="1">
        <f>IFERROR(__xludf.DUMMYFUNCTION("""COMPUTED_VALUE"""),26150.0)</f>
        <v>26150</v>
      </c>
      <c r="E2697" s="1">
        <f>IFERROR(__xludf.DUMMYFUNCTION("""COMPUTED_VALUE"""),26950.0)</f>
        <v>26950</v>
      </c>
      <c r="F2697" s="1">
        <f>IFERROR(__xludf.DUMMYFUNCTION("""COMPUTED_VALUE"""),348469.0)</f>
        <v>348469</v>
      </c>
    </row>
    <row r="2698">
      <c r="A2698" s="2">
        <f>IFERROR(__xludf.DUMMYFUNCTION("""COMPUTED_VALUE"""),44915.64583333333)</f>
        <v>44915.64583</v>
      </c>
      <c r="B2698" s="1">
        <f>IFERROR(__xludf.DUMMYFUNCTION("""COMPUTED_VALUE"""),26950.0)</f>
        <v>26950</v>
      </c>
      <c r="C2698" s="1">
        <f>IFERROR(__xludf.DUMMYFUNCTION("""COMPUTED_VALUE"""),26950.0)</f>
        <v>26950</v>
      </c>
      <c r="D2698" s="1">
        <f>IFERROR(__xludf.DUMMYFUNCTION("""COMPUTED_VALUE"""),25800.0)</f>
        <v>25800</v>
      </c>
      <c r="E2698" s="1">
        <f>IFERROR(__xludf.DUMMYFUNCTION("""COMPUTED_VALUE"""),25850.0)</f>
        <v>25850</v>
      </c>
      <c r="F2698" s="1">
        <f>IFERROR(__xludf.DUMMYFUNCTION("""COMPUTED_VALUE"""),100620.0)</f>
        <v>100620</v>
      </c>
    </row>
    <row r="2699">
      <c r="A2699" s="2">
        <f>IFERROR(__xludf.DUMMYFUNCTION("""COMPUTED_VALUE"""),44916.64583333333)</f>
        <v>44916.64583</v>
      </c>
      <c r="B2699" s="1">
        <f>IFERROR(__xludf.DUMMYFUNCTION("""COMPUTED_VALUE"""),26000.0)</f>
        <v>26000</v>
      </c>
      <c r="C2699" s="1">
        <f>IFERROR(__xludf.DUMMYFUNCTION("""COMPUTED_VALUE"""),26550.0)</f>
        <v>26550</v>
      </c>
      <c r="D2699" s="1">
        <f>IFERROR(__xludf.DUMMYFUNCTION("""COMPUTED_VALUE"""),25300.0)</f>
        <v>25300</v>
      </c>
      <c r="E2699" s="1">
        <f>IFERROR(__xludf.DUMMYFUNCTION("""COMPUTED_VALUE"""),25600.0)</f>
        <v>25600</v>
      </c>
      <c r="F2699" s="1">
        <f>IFERROR(__xludf.DUMMYFUNCTION("""COMPUTED_VALUE"""),103976.0)</f>
        <v>103976</v>
      </c>
    </row>
    <row r="2700">
      <c r="A2700" s="2">
        <f>IFERROR(__xludf.DUMMYFUNCTION("""COMPUTED_VALUE"""),44917.64583333333)</f>
        <v>44917.64583</v>
      </c>
      <c r="B2700" s="1">
        <f>IFERROR(__xludf.DUMMYFUNCTION("""COMPUTED_VALUE"""),25800.0)</f>
        <v>25800</v>
      </c>
      <c r="C2700" s="1">
        <f>IFERROR(__xludf.DUMMYFUNCTION("""COMPUTED_VALUE"""),27900.0)</f>
        <v>27900</v>
      </c>
      <c r="D2700" s="1">
        <f>IFERROR(__xludf.DUMMYFUNCTION("""COMPUTED_VALUE"""),25700.0)</f>
        <v>25700</v>
      </c>
      <c r="E2700" s="1">
        <f>IFERROR(__xludf.DUMMYFUNCTION("""COMPUTED_VALUE"""),26350.0)</f>
        <v>26350</v>
      </c>
      <c r="F2700" s="1">
        <f>IFERROR(__xludf.DUMMYFUNCTION("""COMPUTED_VALUE"""),302821.0)</f>
        <v>302821</v>
      </c>
    </row>
    <row r="2701">
      <c r="A2701" s="2">
        <f>IFERROR(__xludf.DUMMYFUNCTION("""COMPUTED_VALUE"""),44918.64583333333)</f>
        <v>44918.64583</v>
      </c>
      <c r="B2701" s="1">
        <f>IFERROR(__xludf.DUMMYFUNCTION("""COMPUTED_VALUE"""),26200.0)</f>
        <v>26200</v>
      </c>
      <c r="C2701" s="1">
        <f>IFERROR(__xludf.DUMMYFUNCTION("""COMPUTED_VALUE"""),26200.0)</f>
        <v>26200</v>
      </c>
      <c r="D2701" s="1">
        <f>IFERROR(__xludf.DUMMYFUNCTION("""COMPUTED_VALUE"""),25400.0)</f>
        <v>25400</v>
      </c>
      <c r="E2701" s="1">
        <f>IFERROR(__xludf.DUMMYFUNCTION("""COMPUTED_VALUE"""),25400.0)</f>
        <v>25400</v>
      </c>
      <c r="F2701" s="1">
        <f>IFERROR(__xludf.DUMMYFUNCTION("""COMPUTED_VALUE"""),83692.0)</f>
        <v>83692</v>
      </c>
    </row>
    <row r="2702">
      <c r="A2702" s="2">
        <f>IFERROR(__xludf.DUMMYFUNCTION("""COMPUTED_VALUE"""),44921.64583333333)</f>
        <v>44921.64583</v>
      </c>
      <c r="B2702" s="1">
        <f>IFERROR(__xludf.DUMMYFUNCTION("""COMPUTED_VALUE"""),25400.0)</f>
        <v>25400</v>
      </c>
      <c r="C2702" s="1">
        <f>IFERROR(__xludf.DUMMYFUNCTION("""COMPUTED_VALUE"""),25550.0)</f>
        <v>25550</v>
      </c>
      <c r="D2702" s="1">
        <f>IFERROR(__xludf.DUMMYFUNCTION("""COMPUTED_VALUE"""),24150.0)</f>
        <v>24150</v>
      </c>
      <c r="E2702" s="1">
        <f>IFERROR(__xludf.DUMMYFUNCTION("""COMPUTED_VALUE"""),24200.0)</f>
        <v>24200</v>
      </c>
      <c r="F2702" s="1">
        <f>IFERROR(__xludf.DUMMYFUNCTION("""COMPUTED_VALUE"""),62025.0)</f>
        <v>62025</v>
      </c>
    </row>
    <row r="2703">
      <c r="A2703" s="2">
        <f>IFERROR(__xludf.DUMMYFUNCTION("""COMPUTED_VALUE"""),44922.64583333333)</f>
        <v>44922.64583</v>
      </c>
      <c r="B2703" s="1">
        <f>IFERROR(__xludf.DUMMYFUNCTION("""COMPUTED_VALUE"""),24000.0)</f>
        <v>24000</v>
      </c>
      <c r="C2703" s="1">
        <f>IFERROR(__xludf.DUMMYFUNCTION("""COMPUTED_VALUE"""),24600.0)</f>
        <v>24600</v>
      </c>
      <c r="D2703" s="1">
        <f>IFERROR(__xludf.DUMMYFUNCTION("""COMPUTED_VALUE"""),24000.0)</f>
        <v>24000</v>
      </c>
      <c r="E2703" s="1">
        <f>IFERROR(__xludf.DUMMYFUNCTION("""COMPUTED_VALUE"""),24050.0)</f>
        <v>24050</v>
      </c>
      <c r="F2703" s="1">
        <f>IFERROR(__xludf.DUMMYFUNCTION("""COMPUTED_VALUE"""),40491.0)</f>
        <v>40491</v>
      </c>
    </row>
    <row r="2704">
      <c r="A2704" s="2">
        <f>IFERROR(__xludf.DUMMYFUNCTION("""COMPUTED_VALUE"""),44923.64583333333)</f>
        <v>44923.64583</v>
      </c>
      <c r="B2704" s="1">
        <f>IFERROR(__xludf.DUMMYFUNCTION("""COMPUTED_VALUE"""),23900.0)</f>
        <v>23900</v>
      </c>
      <c r="C2704" s="1">
        <f>IFERROR(__xludf.DUMMYFUNCTION("""COMPUTED_VALUE"""),24700.0)</f>
        <v>24700</v>
      </c>
      <c r="D2704" s="1">
        <f>IFERROR(__xludf.DUMMYFUNCTION("""COMPUTED_VALUE"""),23900.0)</f>
        <v>23900</v>
      </c>
      <c r="E2704" s="1">
        <f>IFERROR(__xludf.DUMMYFUNCTION("""COMPUTED_VALUE"""),24150.0)</f>
        <v>24150</v>
      </c>
      <c r="F2704" s="1">
        <f>IFERROR(__xludf.DUMMYFUNCTION("""COMPUTED_VALUE"""),22885.0)</f>
        <v>22885</v>
      </c>
    </row>
    <row r="2705">
      <c r="A2705" s="2">
        <f>IFERROR(__xludf.DUMMYFUNCTION("""COMPUTED_VALUE"""),44924.64583333333)</f>
        <v>44924.64583</v>
      </c>
      <c r="B2705" s="1">
        <f>IFERROR(__xludf.DUMMYFUNCTION("""COMPUTED_VALUE"""),24200.0)</f>
        <v>24200</v>
      </c>
      <c r="C2705" s="1">
        <f>IFERROR(__xludf.DUMMYFUNCTION("""COMPUTED_VALUE"""),24900.0)</f>
        <v>24900</v>
      </c>
      <c r="D2705" s="1">
        <f>IFERROR(__xludf.DUMMYFUNCTION("""COMPUTED_VALUE"""),24050.0)</f>
        <v>24050</v>
      </c>
      <c r="E2705" s="1">
        <f>IFERROR(__xludf.DUMMYFUNCTION("""COMPUTED_VALUE"""),24200.0)</f>
        <v>24200</v>
      </c>
      <c r="F2705" s="1">
        <f>IFERROR(__xludf.DUMMYFUNCTION("""COMPUTED_VALUE"""),36096.0)</f>
        <v>36096</v>
      </c>
    </row>
    <row r="2706">
      <c r="A2706" s="2">
        <f>IFERROR(__xludf.DUMMYFUNCTION("""COMPUTED_VALUE"""),44928.64583333333)</f>
        <v>44928.64583</v>
      </c>
      <c r="B2706" s="1">
        <f>IFERROR(__xludf.DUMMYFUNCTION("""COMPUTED_VALUE"""),24200.0)</f>
        <v>24200</v>
      </c>
      <c r="C2706" s="1">
        <f>IFERROR(__xludf.DUMMYFUNCTION("""COMPUTED_VALUE"""),24900.0)</f>
        <v>24900</v>
      </c>
      <c r="D2706" s="1">
        <f>IFERROR(__xludf.DUMMYFUNCTION("""COMPUTED_VALUE"""),23950.0)</f>
        <v>23950</v>
      </c>
      <c r="E2706" s="1">
        <f>IFERROR(__xludf.DUMMYFUNCTION("""COMPUTED_VALUE"""),23950.0)</f>
        <v>23950</v>
      </c>
      <c r="F2706" s="1">
        <f>IFERROR(__xludf.DUMMYFUNCTION("""COMPUTED_VALUE"""),28928.0)</f>
        <v>28928</v>
      </c>
    </row>
    <row r="2707">
      <c r="A2707" s="2">
        <f>IFERROR(__xludf.DUMMYFUNCTION("""COMPUTED_VALUE"""),44929.64583333333)</f>
        <v>44929.64583</v>
      </c>
      <c r="B2707" s="1">
        <f>IFERROR(__xludf.DUMMYFUNCTION("""COMPUTED_VALUE"""),23950.0)</f>
        <v>23950</v>
      </c>
      <c r="C2707" s="1">
        <f>IFERROR(__xludf.DUMMYFUNCTION("""COMPUTED_VALUE"""),24150.0)</f>
        <v>24150</v>
      </c>
      <c r="D2707" s="1">
        <f>IFERROR(__xludf.DUMMYFUNCTION("""COMPUTED_VALUE"""),23400.0)</f>
        <v>23400</v>
      </c>
      <c r="E2707" s="1">
        <f>IFERROR(__xludf.DUMMYFUNCTION("""COMPUTED_VALUE"""),23850.0)</f>
        <v>23850</v>
      </c>
      <c r="F2707" s="1">
        <f>IFERROR(__xludf.DUMMYFUNCTION("""COMPUTED_VALUE"""),38846.0)</f>
        <v>38846</v>
      </c>
    </row>
    <row r="2708">
      <c r="A2708" s="2">
        <f>IFERROR(__xludf.DUMMYFUNCTION("""COMPUTED_VALUE"""),44930.64583333333)</f>
        <v>44930.64583</v>
      </c>
      <c r="B2708" s="1">
        <f>IFERROR(__xludf.DUMMYFUNCTION("""COMPUTED_VALUE"""),23500.0)</f>
        <v>23500</v>
      </c>
      <c r="C2708" s="1">
        <f>IFERROR(__xludf.DUMMYFUNCTION("""COMPUTED_VALUE"""),24150.0)</f>
        <v>24150</v>
      </c>
      <c r="D2708" s="1">
        <f>IFERROR(__xludf.DUMMYFUNCTION("""COMPUTED_VALUE"""),23500.0)</f>
        <v>23500</v>
      </c>
      <c r="E2708" s="1">
        <f>IFERROR(__xludf.DUMMYFUNCTION("""COMPUTED_VALUE"""),24050.0)</f>
        <v>24050</v>
      </c>
      <c r="F2708" s="1">
        <f>IFERROR(__xludf.DUMMYFUNCTION("""COMPUTED_VALUE"""),29121.0)</f>
        <v>29121</v>
      </c>
    </row>
    <row r="2709">
      <c r="A2709" s="2">
        <f>IFERROR(__xludf.DUMMYFUNCTION("""COMPUTED_VALUE"""),44931.64583333333)</f>
        <v>44931.64583</v>
      </c>
      <c r="B2709" s="1">
        <f>IFERROR(__xludf.DUMMYFUNCTION("""COMPUTED_VALUE"""),25050.0)</f>
        <v>25050</v>
      </c>
      <c r="C2709" s="1">
        <f>IFERROR(__xludf.DUMMYFUNCTION("""COMPUTED_VALUE"""),25050.0)</f>
        <v>25050</v>
      </c>
      <c r="D2709" s="1">
        <f>IFERROR(__xludf.DUMMYFUNCTION("""COMPUTED_VALUE"""),24100.0)</f>
        <v>24100</v>
      </c>
      <c r="E2709" s="1">
        <f>IFERROR(__xludf.DUMMYFUNCTION("""COMPUTED_VALUE"""),24200.0)</f>
        <v>24200</v>
      </c>
      <c r="F2709" s="1">
        <f>IFERROR(__xludf.DUMMYFUNCTION("""COMPUTED_VALUE"""),65716.0)</f>
        <v>65716</v>
      </c>
    </row>
    <row r="2710">
      <c r="A2710" s="2">
        <f>IFERROR(__xludf.DUMMYFUNCTION("""COMPUTED_VALUE"""),44932.64583333333)</f>
        <v>44932.64583</v>
      </c>
      <c r="B2710" s="1">
        <f>IFERROR(__xludf.DUMMYFUNCTION("""COMPUTED_VALUE"""),25000.0)</f>
        <v>25000</v>
      </c>
      <c r="C2710" s="1">
        <f>IFERROR(__xludf.DUMMYFUNCTION("""COMPUTED_VALUE"""),26600.0)</f>
        <v>26600</v>
      </c>
      <c r="D2710" s="1">
        <f>IFERROR(__xludf.DUMMYFUNCTION("""COMPUTED_VALUE"""),24550.0)</f>
        <v>24550</v>
      </c>
      <c r="E2710" s="1">
        <f>IFERROR(__xludf.DUMMYFUNCTION("""COMPUTED_VALUE"""),24700.0)</f>
        <v>24700</v>
      </c>
      <c r="F2710" s="1">
        <f>IFERROR(__xludf.DUMMYFUNCTION("""COMPUTED_VALUE"""),514151.0)</f>
        <v>514151</v>
      </c>
    </row>
    <row r="2711">
      <c r="A2711" s="2">
        <f>IFERROR(__xludf.DUMMYFUNCTION("""COMPUTED_VALUE"""),44935.64583333333)</f>
        <v>44935.64583</v>
      </c>
      <c r="B2711" s="1">
        <f>IFERROR(__xludf.DUMMYFUNCTION("""COMPUTED_VALUE"""),24750.0)</f>
        <v>24750</v>
      </c>
      <c r="C2711" s="1">
        <f>IFERROR(__xludf.DUMMYFUNCTION("""COMPUTED_VALUE"""),25200.0)</f>
        <v>25200</v>
      </c>
      <c r="D2711" s="1">
        <f>IFERROR(__xludf.DUMMYFUNCTION("""COMPUTED_VALUE"""),24700.0)</f>
        <v>24700</v>
      </c>
      <c r="E2711" s="1">
        <f>IFERROR(__xludf.DUMMYFUNCTION("""COMPUTED_VALUE"""),24800.0)</f>
        <v>24800</v>
      </c>
      <c r="F2711" s="1">
        <f>IFERROR(__xludf.DUMMYFUNCTION("""COMPUTED_VALUE"""),42028.0)</f>
        <v>42028</v>
      </c>
    </row>
    <row r="2712">
      <c r="A2712" s="2">
        <f>IFERROR(__xludf.DUMMYFUNCTION("""COMPUTED_VALUE"""),44936.64583333333)</f>
        <v>44936.64583</v>
      </c>
      <c r="B2712" s="1">
        <f>IFERROR(__xludf.DUMMYFUNCTION("""COMPUTED_VALUE"""),24800.0)</f>
        <v>24800</v>
      </c>
      <c r="C2712" s="1">
        <f>IFERROR(__xludf.DUMMYFUNCTION("""COMPUTED_VALUE"""),25700.0)</f>
        <v>25700</v>
      </c>
      <c r="D2712" s="1">
        <f>IFERROR(__xludf.DUMMYFUNCTION("""COMPUTED_VALUE"""),24550.0)</f>
        <v>24550</v>
      </c>
      <c r="E2712" s="1">
        <f>IFERROR(__xludf.DUMMYFUNCTION("""COMPUTED_VALUE"""),25000.0)</f>
        <v>25000</v>
      </c>
      <c r="F2712" s="1">
        <f>IFERROR(__xludf.DUMMYFUNCTION("""COMPUTED_VALUE"""),116093.0)</f>
        <v>116093</v>
      </c>
    </row>
    <row r="2713">
      <c r="A2713" s="2">
        <f>IFERROR(__xludf.DUMMYFUNCTION("""COMPUTED_VALUE"""),44937.64583333333)</f>
        <v>44937.64583</v>
      </c>
      <c r="B2713" s="1">
        <f>IFERROR(__xludf.DUMMYFUNCTION("""COMPUTED_VALUE"""),25000.0)</f>
        <v>25000</v>
      </c>
      <c r="C2713" s="1">
        <f>IFERROR(__xludf.DUMMYFUNCTION("""COMPUTED_VALUE"""),25250.0)</f>
        <v>25250</v>
      </c>
      <c r="D2713" s="1">
        <f>IFERROR(__xludf.DUMMYFUNCTION("""COMPUTED_VALUE"""),24800.0)</f>
        <v>24800</v>
      </c>
      <c r="E2713" s="1">
        <f>IFERROR(__xludf.DUMMYFUNCTION("""COMPUTED_VALUE"""),24900.0)</f>
        <v>24900</v>
      </c>
      <c r="F2713" s="1">
        <f>IFERROR(__xludf.DUMMYFUNCTION("""COMPUTED_VALUE"""),32746.0)</f>
        <v>32746</v>
      </c>
    </row>
    <row r="2714">
      <c r="A2714" s="2">
        <f>IFERROR(__xludf.DUMMYFUNCTION("""COMPUTED_VALUE"""),44938.64583333333)</f>
        <v>44938.64583</v>
      </c>
      <c r="B2714" s="1">
        <f>IFERROR(__xludf.DUMMYFUNCTION("""COMPUTED_VALUE"""),25000.0)</f>
        <v>25000</v>
      </c>
      <c r="C2714" s="1">
        <f>IFERROR(__xludf.DUMMYFUNCTION("""COMPUTED_VALUE"""),25300.0)</f>
        <v>25300</v>
      </c>
      <c r="D2714" s="1">
        <f>IFERROR(__xludf.DUMMYFUNCTION("""COMPUTED_VALUE"""),24800.0)</f>
        <v>24800</v>
      </c>
      <c r="E2714" s="1">
        <f>IFERROR(__xludf.DUMMYFUNCTION("""COMPUTED_VALUE"""),25000.0)</f>
        <v>25000</v>
      </c>
      <c r="F2714" s="1">
        <f>IFERROR(__xludf.DUMMYFUNCTION("""COMPUTED_VALUE"""),39264.0)</f>
        <v>39264</v>
      </c>
    </row>
    <row r="2715">
      <c r="A2715" s="2">
        <f>IFERROR(__xludf.DUMMYFUNCTION("""COMPUTED_VALUE"""),44939.64583333333)</f>
        <v>44939.64583</v>
      </c>
      <c r="B2715" s="1">
        <f>IFERROR(__xludf.DUMMYFUNCTION("""COMPUTED_VALUE"""),25100.0)</f>
        <v>25100</v>
      </c>
      <c r="C2715" s="1">
        <f>IFERROR(__xludf.DUMMYFUNCTION("""COMPUTED_VALUE"""),25200.0)</f>
        <v>25200</v>
      </c>
      <c r="D2715" s="1">
        <f>IFERROR(__xludf.DUMMYFUNCTION("""COMPUTED_VALUE"""),24850.0)</f>
        <v>24850</v>
      </c>
      <c r="E2715" s="1">
        <f>IFERROR(__xludf.DUMMYFUNCTION("""COMPUTED_VALUE"""),24850.0)</f>
        <v>24850</v>
      </c>
      <c r="F2715" s="1">
        <f>IFERROR(__xludf.DUMMYFUNCTION("""COMPUTED_VALUE"""),35374.0)</f>
        <v>35374</v>
      </c>
    </row>
    <row r="2716">
      <c r="A2716" s="2">
        <f>IFERROR(__xludf.DUMMYFUNCTION("""COMPUTED_VALUE"""),44942.64583333333)</f>
        <v>44942.64583</v>
      </c>
      <c r="B2716" s="1">
        <f>IFERROR(__xludf.DUMMYFUNCTION("""COMPUTED_VALUE"""),24800.0)</f>
        <v>24800</v>
      </c>
      <c r="C2716" s="1">
        <f>IFERROR(__xludf.DUMMYFUNCTION("""COMPUTED_VALUE"""),25150.0)</f>
        <v>25150</v>
      </c>
      <c r="D2716" s="1">
        <f>IFERROR(__xludf.DUMMYFUNCTION("""COMPUTED_VALUE"""),24750.0)</f>
        <v>24750</v>
      </c>
      <c r="E2716" s="1">
        <f>IFERROR(__xludf.DUMMYFUNCTION("""COMPUTED_VALUE"""),24950.0)</f>
        <v>24950</v>
      </c>
      <c r="F2716" s="1">
        <f>IFERROR(__xludf.DUMMYFUNCTION("""COMPUTED_VALUE"""),32663.0)</f>
        <v>32663</v>
      </c>
    </row>
    <row r="2717">
      <c r="A2717" s="2">
        <f>IFERROR(__xludf.DUMMYFUNCTION("""COMPUTED_VALUE"""),44943.64583333333)</f>
        <v>44943.64583</v>
      </c>
      <c r="B2717" s="1">
        <f>IFERROR(__xludf.DUMMYFUNCTION("""COMPUTED_VALUE"""),25000.0)</f>
        <v>25000</v>
      </c>
      <c r="C2717" s="1">
        <f>IFERROR(__xludf.DUMMYFUNCTION("""COMPUTED_VALUE"""),25000.0)</f>
        <v>25000</v>
      </c>
      <c r="D2717" s="1">
        <f>IFERROR(__xludf.DUMMYFUNCTION("""COMPUTED_VALUE"""),24700.0)</f>
        <v>24700</v>
      </c>
      <c r="E2717" s="1">
        <f>IFERROR(__xludf.DUMMYFUNCTION("""COMPUTED_VALUE"""),24750.0)</f>
        <v>24750</v>
      </c>
      <c r="F2717" s="1">
        <f>IFERROR(__xludf.DUMMYFUNCTION("""COMPUTED_VALUE"""),26176.0)</f>
        <v>26176</v>
      </c>
    </row>
    <row r="2718">
      <c r="A2718" s="2">
        <f>IFERROR(__xludf.DUMMYFUNCTION("""COMPUTED_VALUE"""),44944.64583333333)</f>
        <v>44944.64583</v>
      </c>
      <c r="B2718" s="1">
        <f>IFERROR(__xludf.DUMMYFUNCTION("""COMPUTED_VALUE"""),24950.0)</f>
        <v>24950</v>
      </c>
      <c r="C2718" s="1">
        <f>IFERROR(__xludf.DUMMYFUNCTION("""COMPUTED_VALUE"""),25000.0)</f>
        <v>25000</v>
      </c>
      <c r="D2718" s="1">
        <f>IFERROR(__xludf.DUMMYFUNCTION("""COMPUTED_VALUE"""),24550.0)</f>
        <v>24550</v>
      </c>
      <c r="E2718" s="1">
        <f>IFERROR(__xludf.DUMMYFUNCTION("""COMPUTED_VALUE"""),24600.0)</f>
        <v>24600</v>
      </c>
      <c r="F2718" s="1">
        <f>IFERROR(__xludf.DUMMYFUNCTION("""COMPUTED_VALUE"""),23661.0)</f>
        <v>23661</v>
      </c>
    </row>
    <row r="2719">
      <c r="A2719" s="2">
        <f>IFERROR(__xludf.DUMMYFUNCTION("""COMPUTED_VALUE"""),44945.64583333333)</f>
        <v>44945.64583</v>
      </c>
      <c r="B2719" s="1">
        <f>IFERROR(__xludf.DUMMYFUNCTION("""COMPUTED_VALUE"""),24600.0)</f>
        <v>24600</v>
      </c>
      <c r="C2719" s="1">
        <f>IFERROR(__xludf.DUMMYFUNCTION("""COMPUTED_VALUE"""),25550.0)</f>
        <v>25550</v>
      </c>
      <c r="D2719" s="1">
        <f>IFERROR(__xludf.DUMMYFUNCTION("""COMPUTED_VALUE"""),24600.0)</f>
        <v>24600</v>
      </c>
      <c r="E2719" s="1">
        <f>IFERROR(__xludf.DUMMYFUNCTION("""COMPUTED_VALUE"""),24650.0)</f>
        <v>24650</v>
      </c>
      <c r="F2719" s="1">
        <f>IFERROR(__xludf.DUMMYFUNCTION("""COMPUTED_VALUE"""),115834.0)</f>
        <v>115834</v>
      </c>
    </row>
    <row r="2720">
      <c r="A2720" s="2">
        <f>IFERROR(__xludf.DUMMYFUNCTION("""COMPUTED_VALUE"""),44946.64583333333)</f>
        <v>44946.64583</v>
      </c>
      <c r="B2720" s="1">
        <f>IFERROR(__xludf.DUMMYFUNCTION("""COMPUTED_VALUE"""),24650.0)</f>
        <v>24650</v>
      </c>
      <c r="C2720" s="1">
        <f>IFERROR(__xludf.DUMMYFUNCTION("""COMPUTED_VALUE"""),24950.0)</f>
        <v>24950</v>
      </c>
      <c r="D2720" s="1">
        <f>IFERROR(__xludf.DUMMYFUNCTION("""COMPUTED_VALUE"""),24650.0)</f>
        <v>24650</v>
      </c>
      <c r="E2720" s="1">
        <f>IFERROR(__xludf.DUMMYFUNCTION("""COMPUTED_VALUE"""),24950.0)</f>
        <v>24950</v>
      </c>
      <c r="F2720" s="1">
        <f>IFERROR(__xludf.DUMMYFUNCTION("""COMPUTED_VALUE"""),19953.0)</f>
        <v>19953</v>
      </c>
    </row>
    <row r="2721">
      <c r="A2721" s="2">
        <f>IFERROR(__xludf.DUMMYFUNCTION("""COMPUTED_VALUE"""),44951.64583333333)</f>
        <v>44951.64583</v>
      </c>
      <c r="B2721" s="1">
        <f>IFERROR(__xludf.DUMMYFUNCTION("""COMPUTED_VALUE"""),25150.0)</f>
        <v>25150</v>
      </c>
      <c r="C2721" s="1">
        <f>IFERROR(__xludf.DUMMYFUNCTION("""COMPUTED_VALUE"""),25150.0)</f>
        <v>25150</v>
      </c>
      <c r="D2721" s="1">
        <f>IFERROR(__xludf.DUMMYFUNCTION("""COMPUTED_VALUE"""),24700.0)</f>
        <v>24700</v>
      </c>
      <c r="E2721" s="1">
        <f>IFERROR(__xludf.DUMMYFUNCTION("""COMPUTED_VALUE"""),24900.0)</f>
        <v>24900</v>
      </c>
      <c r="F2721" s="1">
        <f>IFERROR(__xludf.DUMMYFUNCTION("""COMPUTED_VALUE"""),43971.0)</f>
        <v>43971</v>
      </c>
    </row>
    <row r="2722">
      <c r="A2722" s="2">
        <f>IFERROR(__xludf.DUMMYFUNCTION("""COMPUTED_VALUE"""),44952.64583333333)</f>
        <v>44952.64583</v>
      </c>
      <c r="B2722" s="1">
        <f>IFERROR(__xludf.DUMMYFUNCTION("""COMPUTED_VALUE"""),24950.0)</f>
        <v>24950</v>
      </c>
      <c r="C2722" s="1">
        <f>IFERROR(__xludf.DUMMYFUNCTION("""COMPUTED_VALUE"""),25300.0)</f>
        <v>25300</v>
      </c>
      <c r="D2722" s="1">
        <f>IFERROR(__xludf.DUMMYFUNCTION("""COMPUTED_VALUE"""),24850.0)</f>
        <v>24850</v>
      </c>
      <c r="E2722" s="1">
        <f>IFERROR(__xludf.DUMMYFUNCTION("""COMPUTED_VALUE"""),25150.0)</f>
        <v>25150</v>
      </c>
      <c r="F2722" s="1">
        <f>IFERROR(__xludf.DUMMYFUNCTION("""COMPUTED_VALUE"""),51212.0)</f>
        <v>51212</v>
      </c>
    </row>
    <row r="2723">
      <c r="A2723" s="2">
        <f>IFERROR(__xludf.DUMMYFUNCTION("""COMPUTED_VALUE"""),44953.64583333333)</f>
        <v>44953.64583</v>
      </c>
      <c r="B2723" s="1">
        <f>IFERROR(__xludf.DUMMYFUNCTION("""COMPUTED_VALUE"""),25400.0)</f>
        <v>25400</v>
      </c>
      <c r="C2723" s="1">
        <f>IFERROR(__xludf.DUMMYFUNCTION("""COMPUTED_VALUE"""),25400.0)</f>
        <v>25400</v>
      </c>
      <c r="D2723" s="1">
        <f>IFERROR(__xludf.DUMMYFUNCTION("""COMPUTED_VALUE"""),25100.0)</f>
        <v>25100</v>
      </c>
      <c r="E2723" s="1">
        <f>IFERROR(__xludf.DUMMYFUNCTION("""COMPUTED_VALUE"""),25200.0)</f>
        <v>25200</v>
      </c>
      <c r="F2723" s="1">
        <f>IFERROR(__xludf.DUMMYFUNCTION("""COMPUTED_VALUE"""),33136.0)</f>
        <v>33136</v>
      </c>
    </row>
    <row r="2724">
      <c r="A2724" s="2">
        <f>IFERROR(__xludf.DUMMYFUNCTION("""COMPUTED_VALUE"""),44956.64583333333)</f>
        <v>44956.64583</v>
      </c>
      <c r="B2724" s="1">
        <f>IFERROR(__xludf.DUMMYFUNCTION("""COMPUTED_VALUE"""),25300.0)</f>
        <v>25300</v>
      </c>
      <c r="C2724" s="1">
        <f>IFERROR(__xludf.DUMMYFUNCTION("""COMPUTED_VALUE"""),25600.0)</f>
        <v>25600</v>
      </c>
      <c r="D2724" s="1">
        <f>IFERROR(__xludf.DUMMYFUNCTION("""COMPUTED_VALUE"""),25150.0)</f>
        <v>25150</v>
      </c>
      <c r="E2724" s="1">
        <f>IFERROR(__xludf.DUMMYFUNCTION("""COMPUTED_VALUE"""),25400.0)</f>
        <v>25400</v>
      </c>
      <c r="F2724" s="1">
        <f>IFERROR(__xludf.DUMMYFUNCTION("""COMPUTED_VALUE"""),44409.0)</f>
        <v>44409</v>
      </c>
    </row>
    <row r="2725">
      <c r="A2725" s="2">
        <f>IFERROR(__xludf.DUMMYFUNCTION("""COMPUTED_VALUE"""),44957.64583333333)</f>
        <v>44957.64583</v>
      </c>
      <c r="B2725" s="1">
        <f>IFERROR(__xludf.DUMMYFUNCTION("""COMPUTED_VALUE"""),25250.0)</f>
        <v>25250</v>
      </c>
      <c r="C2725" s="1">
        <f>IFERROR(__xludf.DUMMYFUNCTION("""COMPUTED_VALUE"""),26100.0)</f>
        <v>26100</v>
      </c>
      <c r="D2725" s="1">
        <f>IFERROR(__xludf.DUMMYFUNCTION("""COMPUTED_VALUE"""),25250.0)</f>
        <v>25250</v>
      </c>
      <c r="E2725" s="1">
        <f>IFERROR(__xludf.DUMMYFUNCTION("""COMPUTED_VALUE"""),26100.0)</f>
        <v>26100</v>
      </c>
      <c r="F2725" s="1">
        <f>IFERROR(__xludf.DUMMYFUNCTION("""COMPUTED_VALUE"""),118247.0)</f>
        <v>118247</v>
      </c>
    </row>
    <row r="2726">
      <c r="A2726" s="2">
        <f>IFERROR(__xludf.DUMMYFUNCTION("""COMPUTED_VALUE"""),44958.64583333333)</f>
        <v>44958.64583</v>
      </c>
      <c r="B2726" s="1">
        <f>IFERROR(__xludf.DUMMYFUNCTION("""COMPUTED_VALUE"""),26450.0)</f>
        <v>26450</v>
      </c>
      <c r="C2726" s="1">
        <f>IFERROR(__xludf.DUMMYFUNCTION("""COMPUTED_VALUE"""),26650.0)</f>
        <v>26650</v>
      </c>
      <c r="D2726" s="1">
        <f>IFERROR(__xludf.DUMMYFUNCTION("""COMPUTED_VALUE"""),26000.0)</f>
        <v>26000</v>
      </c>
      <c r="E2726" s="1">
        <f>IFERROR(__xludf.DUMMYFUNCTION("""COMPUTED_VALUE"""),26250.0)</f>
        <v>26250</v>
      </c>
      <c r="F2726" s="1">
        <f>IFERROR(__xludf.DUMMYFUNCTION("""COMPUTED_VALUE"""),146453.0)</f>
        <v>146453</v>
      </c>
    </row>
    <row r="2727">
      <c r="A2727" s="2">
        <f>IFERROR(__xludf.DUMMYFUNCTION("""COMPUTED_VALUE"""),44959.64583333333)</f>
        <v>44959.64583</v>
      </c>
      <c r="B2727" s="1">
        <f>IFERROR(__xludf.DUMMYFUNCTION("""COMPUTED_VALUE"""),26650.0)</f>
        <v>26650</v>
      </c>
      <c r="C2727" s="1">
        <f>IFERROR(__xludf.DUMMYFUNCTION("""COMPUTED_VALUE"""),27000.0)</f>
        <v>27000</v>
      </c>
      <c r="D2727" s="1">
        <f>IFERROR(__xludf.DUMMYFUNCTION("""COMPUTED_VALUE"""),26350.0)</f>
        <v>26350</v>
      </c>
      <c r="E2727" s="1">
        <f>IFERROR(__xludf.DUMMYFUNCTION("""COMPUTED_VALUE"""),26650.0)</f>
        <v>26650</v>
      </c>
      <c r="F2727" s="1">
        <f>IFERROR(__xludf.DUMMYFUNCTION("""COMPUTED_VALUE"""),119000.0)</f>
        <v>119000</v>
      </c>
    </row>
    <row r="2728">
      <c r="A2728" s="2">
        <f>IFERROR(__xludf.DUMMYFUNCTION("""COMPUTED_VALUE"""),44960.64583333333)</f>
        <v>44960.64583</v>
      </c>
      <c r="B2728" s="1">
        <f>IFERROR(__xludf.DUMMYFUNCTION("""COMPUTED_VALUE"""),26550.0)</f>
        <v>26550</v>
      </c>
      <c r="C2728" s="1">
        <f>IFERROR(__xludf.DUMMYFUNCTION("""COMPUTED_VALUE"""),27000.0)</f>
        <v>27000</v>
      </c>
      <c r="D2728" s="1">
        <f>IFERROR(__xludf.DUMMYFUNCTION("""COMPUTED_VALUE"""),26200.0)</f>
        <v>26200</v>
      </c>
      <c r="E2728" s="1">
        <f>IFERROR(__xludf.DUMMYFUNCTION("""COMPUTED_VALUE"""),26950.0)</f>
        <v>26950</v>
      </c>
      <c r="F2728" s="1">
        <f>IFERROR(__xludf.DUMMYFUNCTION("""COMPUTED_VALUE"""),70337.0)</f>
        <v>70337</v>
      </c>
    </row>
    <row r="2729">
      <c r="A2729" s="2">
        <f>IFERROR(__xludf.DUMMYFUNCTION("""COMPUTED_VALUE"""),44963.64583333333)</f>
        <v>44963.64583</v>
      </c>
      <c r="B2729" s="1">
        <f>IFERROR(__xludf.DUMMYFUNCTION("""COMPUTED_VALUE"""),26750.0)</f>
        <v>26750</v>
      </c>
      <c r="C2729" s="1">
        <f>IFERROR(__xludf.DUMMYFUNCTION("""COMPUTED_VALUE"""),27100.0)</f>
        <v>27100</v>
      </c>
      <c r="D2729" s="1">
        <f>IFERROR(__xludf.DUMMYFUNCTION("""COMPUTED_VALUE"""),26400.0)</f>
        <v>26400</v>
      </c>
      <c r="E2729" s="1">
        <f>IFERROR(__xludf.DUMMYFUNCTION("""COMPUTED_VALUE"""),26550.0)</f>
        <v>26550</v>
      </c>
      <c r="F2729" s="1">
        <f>IFERROR(__xludf.DUMMYFUNCTION("""COMPUTED_VALUE"""),55631.0)</f>
        <v>55631</v>
      </c>
    </row>
    <row r="2730">
      <c r="A2730" s="2">
        <f>IFERROR(__xludf.DUMMYFUNCTION("""COMPUTED_VALUE"""),44964.64583333333)</f>
        <v>44964.64583</v>
      </c>
      <c r="B2730" s="1">
        <f>IFERROR(__xludf.DUMMYFUNCTION("""COMPUTED_VALUE"""),26400.0)</f>
        <v>26400</v>
      </c>
      <c r="C2730" s="1">
        <f>IFERROR(__xludf.DUMMYFUNCTION("""COMPUTED_VALUE"""),26400.0)</f>
        <v>26400</v>
      </c>
      <c r="D2730" s="1">
        <f>IFERROR(__xludf.DUMMYFUNCTION("""COMPUTED_VALUE"""),25950.0)</f>
        <v>25950</v>
      </c>
      <c r="E2730" s="1">
        <f>IFERROR(__xludf.DUMMYFUNCTION("""COMPUTED_VALUE"""),26400.0)</f>
        <v>26400</v>
      </c>
      <c r="F2730" s="1">
        <f>IFERROR(__xludf.DUMMYFUNCTION("""COMPUTED_VALUE"""),39855.0)</f>
        <v>39855</v>
      </c>
    </row>
    <row r="2731">
      <c r="A2731" s="2">
        <f>IFERROR(__xludf.DUMMYFUNCTION("""COMPUTED_VALUE"""),44965.64583333333)</f>
        <v>44965.64583</v>
      </c>
      <c r="B2731" s="1">
        <f>IFERROR(__xludf.DUMMYFUNCTION("""COMPUTED_VALUE"""),26650.0)</f>
        <v>26650</v>
      </c>
      <c r="C2731" s="1">
        <f>IFERROR(__xludf.DUMMYFUNCTION("""COMPUTED_VALUE"""),26650.0)</f>
        <v>26650</v>
      </c>
      <c r="D2731" s="1">
        <f>IFERROR(__xludf.DUMMYFUNCTION("""COMPUTED_VALUE"""),26100.0)</f>
        <v>26100</v>
      </c>
      <c r="E2731" s="1">
        <f>IFERROR(__xludf.DUMMYFUNCTION("""COMPUTED_VALUE"""),26500.0)</f>
        <v>26500</v>
      </c>
      <c r="F2731" s="1">
        <f>IFERROR(__xludf.DUMMYFUNCTION("""COMPUTED_VALUE"""),38236.0)</f>
        <v>38236</v>
      </c>
    </row>
    <row r="2732">
      <c r="A2732" s="2">
        <f>IFERROR(__xludf.DUMMYFUNCTION("""COMPUTED_VALUE"""),44966.64583333333)</f>
        <v>44966.64583</v>
      </c>
      <c r="B2732" s="1">
        <f>IFERROR(__xludf.DUMMYFUNCTION("""COMPUTED_VALUE"""),26500.0)</f>
        <v>26500</v>
      </c>
      <c r="C2732" s="1">
        <f>IFERROR(__xludf.DUMMYFUNCTION("""COMPUTED_VALUE"""),26650.0)</f>
        <v>26650</v>
      </c>
      <c r="D2732" s="1">
        <f>IFERROR(__xludf.DUMMYFUNCTION("""COMPUTED_VALUE"""),26250.0)</f>
        <v>26250</v>
      </c>
      <c r="E2732" s="1">
        <f>IFERROR(__xludf.DUMMYFUNCTION("""COMPUTED_VALUE"""),26350.0)</f>
        <v>26350</v>
      </c>
      <c r="F2732" s="1">
        <f>IFERROR(__xludf.DUMMYFUNCTION("""COMPUTED_VALUE"""),37565.0)</f>
        <v>37565</v>
      </c>
    </row>
    <row r="2733">
      <c r="A2733" s="2">
        <f>IFERROR(__xludf.DUMMYFUNCTION("""COMPUTED_VALUE"""),44967.64583333333)</f>
        <v>44967.64583</v>
      </c>
      <c r="B2733" s="1">
        <f>IFERROR(__xludf.DUMMYFUNCTION("""COMPUTED_VALUE"""),26350.0)</f>
        <v>26350</v>
      </c>
      <c r="C2733" s="1">
        <f>IFERROR(__xludf.DUMMYFUNCTION("""COMPUTED_VALUE"""),26450.0)</f>
        <v>26450</v>
      </c>
      <c r="D2733" s="1">
        <f>IFERROR(__xludf.DUMMYFUNCTION("""COMPUTED_VALUE"""),25750.0)</f>
        <v>25750</v>
      </c>
      <c r="E2733" s="1">
        <f>IFERROR(__xludf.DUMMYFUNCTION("""COMPUTED_VALUE"""),25750.0)</f>
        <v>25750</v>
      </c>
      <c r="F2733" s="1">
        <f>IFERROR(__xludf.DUMMYFUNCTION("""COMPUTED_VALUE"""),45341.0)</f>
        <v>45341</v>
      </c>
    </row>
    <row r="2734">
      <c r="A2734" s="2">
        <f>IFERROR(__xludf.DUMMYFUNCTION("""COMPUTED_VALUE"""),44970.64583333333)</f>
        <v>44970.64583</v>
      </c>
      <c r="B2734" s="1">
        <f>IFERROR(__xludf.DUMMYFUNCTION("""COMPUTED_VALUE"""),25650.0)</f>
        <v>25650</v>
      </c>
      <c r="C2734" s="1">
        <f>IFERROR(__xludf.DUMMYFUNCTION("""COMPUTED_VALUE"""),25800.0)</f>
        <v>25800</v>
      </c>
      <c r="D2734" s="1">
        <f>IFERROR(__xludf.DUMMYFUNCTION("""COMPUTED_VALUE"""),25250.0)</f>
        <v>25250</v>
      </c>
      <c r="E2734" s="1">
        <f>IFERROR(__xludf.DUMMYFUNCTION("""COMPUTED_VALUE"""),25300.0)</f>
        <v>25300</v>
      </c>
      <c r="F2734" s="1">
        <f>IFERROR(__xludf.DUMMYFUNCTION("""COMPUTED_VALUE"""),27454.0)</f>
        <v>27454</v>
      </c>
    </row>
    <row r="2735">
      <c r="A2735" s="2">
        <f>IFERROR(__xludf.DUMMYFUNCTION("""COMPUTED_VALUE"""),44971.64583333333)</f>
        <v>44971.64583</v>
      </c>
      <c r="B2735" s="1">
        <f>IFERROR(__xludf.DUMMYFUNCTION("""COMPUTED_VALUE"""),25350.0)</f>
        <v>25350</v>
      </c>
      <c r="C2735" s="1">
        <f>IFERROR(__xludf.DUMMYFUNCTION("""COMPUTED_VALUE"""),25450.0)</f>
        <v>25450</v>
      </c>
      <c r="D2735" s="1">
        <f>IFERROR(__xludf.DUMMYFUNCTION("""COMPUTED_VALUE"""),24800.0)</f>
        <v>24800</v>
      </c>
      <c r="E2735" s="1">
        <f>IFERROR(__xludf.DUMMYFUNCTION("""COMPUTED_VALUE"""),24850.0)</f>
        <v>24850</v>
      </c>
      <c r="F2735" s="1">
        <f>IFERROR(__xludf.DUMMYFUNCTION("""COMPUTED_VALUE"""),40361.0)</f>
        <v>40361</v>
      </c>
    </row>
    <row r="2736">
      <c r="A2736" s="2">
        <f>IFERROR(__xludf.DUMMYFUNCTION("""COMPUTED_VALUE"""),44972.64583333333)</f>
        <v>44972.64583</v>
      </c>
      <c r="B2736" s="1">
        <f>IFERROR(__xludf.DUMMYFUNCTION("""COMPUTED_VALUE"""),25000.0)</f>
        <v>25000</v>
      </c>
      <c r="C2736" s="1">
        <f>IFERROR(__xludf.DUMMYFUNCTION("""COMPUTED_VALUE"""),25100.0)</f>
        <v>25100</v>
      </c>
      <c r="D2736" s="1">
        <f>IFERROR(__xludf.DUMMYFUNCTION("""COMPUTED_VALUE"""),24450.0)</f>
        <v>24450</v>
      </c>
      <c r="E2736" s="1">
        <f>IFERROR(__xludf.DUMMYFUNCTION("""COMPUTED_VALUE"""),24500.0)</f>
        <v>24500</v>
      </c>
      <c r="F2736" s="1">
        <f>IFERROR(__xludf.DUMMYFUNCTION("""COMPUTED_VALUE"""),43307.0)</f>
        <v>43307</v>
      </c>
    </row>
    <row r="2737">
      <c r="A2737" s="2">
        <f>IFERROR(__xludf.DUMMYFUNCTION("""COMPUTED_VALUE"""),44973.64583333333)</f>
        <v>44973.64583</v>
      </c>
      <c r="B2737" s="1">
        <f>IFERROR(__xludf.DUMMYFUNCTION("""COMPUTED_VALUE"""),24550.0)</f>
        <v>24550</v>
      </c>
      <c r="C2737" s="1">
        <f>IFERROR(__xludf.DUMMYFUNCTION("""COMPUTED_VALUE"""),24950.0)</f>
        <v>24950</v>
      </c>
      <c r="D2737" s="1">
        <f>IFERROR(__xludf.DUMMYFUNCTION("""COMPUTED_VALUE"""),24550.0)</f>
        <v>24550</v>
      </c>
      <c r="E2737" s="1">
        <f>IFERROR(__xludf.DUMMYFUNCTION("""COMPUTED_VALUE"""),24800.0)</f>
        <v>24800</v>
      </c>
      <c r="F2737" s="1">
        <f>IFERROR(__xludf.DUMMYFUNCTION("""COMPUTED_VALUE"""),22294.0)</f>
        <v>22294</v>
      </c>
    </row>
    <row r="2738">
      <c r="A2738" s="2">
        <f>IFERROR(__xludf.DUMMYFUNCTION("""COMPUTED_VALUE"""),44974.64583333333)</f>
        <v>44974.64583</v>
      </c>
      <c r="B2738" s="1">
        <f>IFERROR(__xludf.DUMMYFUNCTION("""COMPUTED_VALUE"""),24700.0)</f>
        <v>24700</v>
      </c>
      <c r="C2738" s="1">
        <f>IFERROR(__xludf.DUMMYFUNCTION("""COMPUTED_VALUE"""),25200.0)</f>
        <v>25200</v>
      </c>
      <c r="D2738" s="1">
        <f>IFERROR(__xludf.DUMMYFUNCTION("""COMPUTED_VALUE"""),24450.0)</f>
        <v>24450</v>
      </c>
      <c r="E2738" s="1">
        <f>IFERROR(__xludf.DUMMYFUNCTION("""COMPUTED_VALUE"""),24750.0)</f>
        <v>24750</v>
      </c>
      <c r="F2738" s="1">
        <f>IFERROR(__xludf.DUMMYFUNCTION("""COMPUTED_VALUE"""),16020.0)</f>
        <v>16020</v>
      </c>
    </row>
    <row r="2739">
      <c r="A2739" s="2">
        <f>IFERROR(__xludf.DUMMYFUNCTION("""COMPUTED_VALUE"""),44977.64583333333)</f>
        <v>44977.64583</v>
      </c>
      <c r="B2739" s="1">
        <f>IFERROR(__xludf.DUMMYFUNCTION("""COMPUTED_VALUE"""),24600.0)</f>
        <v>24600</v>
      </c>
      <c r="C2739" s="1">
        <f>IFERROR(__xludf.DUMMYFUNCTION("""COMPUTED_VALUE"""),25300.0)</f>
        <v>25300</v>
      </c>
      <c r="D2739" s="1">
        <f>IFERROR(__xludf.DUMMYFUNCTION("""COMPUTED_VALUE"""),24600.0)</f>
        <v>24600</v>
      </c>
      <c r="E2739" s="1">
        <f>IFERROR(__xludf.DUMMYFUNCTION("""COMPUTED_VALUE"""),25250.0)</f>
        <v>25250</v>
      </c>
      <c r="F2739" s="1">
        <f>IFERROR(__xludf.DUMMYFUNCTION("""COMPUTED_VALUE"""),26247.0)</f>
        <v>26247</v>
      </c>
    </row>
    <row r="2740">
      <c r="A2740" s="2">
        <f>IFERROR(__xludf.DUMMYFUNCTION("""COMPUTED_VALUE"""),44978.64583333333)</f>
        <v>44978.64583</v>
      </c>
      <c r="B2740" s="1">
        <f>IFERROR(__xludf.DUMMYFUNCTION("""COMPUTED_VALUE"""),25050.0)</f>
        <v>25050</v>
      </c>
      <c r="C2740" s="1">
        <f>IFERROR(__xludf.DUMMYFUNCTION("""COMPUTED_VALUE"""),25550.0)</f>
        <v>25550</v>
      </c>
      <c r="D2740" s="1">
        <f>IFERROR(__xludf.DUMMYFUNCTION("""COMPUTED_VALUE"""),25050.0)</f>
        <v>25050</v>
      </c>
      <c r="E2740" s="1">
        <f>IFERROR(__xludf.DUMMYFUNCTION("""COMPUTED_VALUE"""),25200.0)</f>
        <v>25200</v>
      </c>
      <c r="F2740" s="1">
        <f>IFERROR(__xludf.DUMMYFUNCTION("""COMPUTED_VALUE"""),28408.0)</f>
        <v>28408</v>
      </c>
    </row>
    <row r="2741">
      <c r="A2741" s="2">
        <f>IFERROR(__xludf.DUMMYFUNCTION("""COMPUTED_VALUE"""),44979.64583333333)</f>
        <v>44979.64583</v>
      </c>
      <c r="B2741" s="1">
        <f>IFERROR(__xludf.DUMMYFUNCTION("""COMPUTED_VALUE"""),25000.0)</f>
        <v>25000</v>
      </c>
      <c r="C2741" s="1">
        <f>IFERROR(__xludf.DUMMYFUNCTION("""COMPUTED_VALUE"""),25050.0)</f>
        <v>25050</v>
      </c>
      <c r="D2741" s="1">
        <f>IFERROR(__xludf.DUMMYFUNCTION("""COMPUTED_VALUE"""),24500.0)</f>
        <v>24500</v>
      </c>
      <c r="E2741" s="1">
        <f>IFERROR(__xludf.DUMMYFUNCTION("""COMPUTED_VALUE"""),24500.0)</f>
        <v>24500</v>
      </c>
      <c r="F2741" s="1">
        <f>IFERROR(__xludf.DUMMYFUNCTION("""COMPUTED_VALUE"""),34880.0)</f>
        <v>34880</v>
      </c>
    </row>
    <row r="2742">
      <c r="A2742" s="2">
        <f>IFERROR(__xludf.DUMMYFUNCTION("""COMPUTED_VALUE"""),44980.64583333333)</f>
        <v>44980.64583</v>
      </c>
      <c r="B2742" s="1">
        <f>IFERROR(__xludf.DUMMYFUNCTION("""COMPUTED_VALUE"""),25050.0)</f>
        <v>25050</v>
      </c>
      <c r="C2742" s="1">
        <f>IFERROR(__xludf.DUMMYFUNCTION("""COMPUTED_VALUE"""),25100.0)</f>
        <v>25100</v>
      </c>
      <c r="D2742" s="1">
        <f>IFERROR(__xludf.DUMMYFUNCTION("""COMPUTED_VALUE"""),24600.0)</f>
        <v>24600</v>
      </c>
      <c r="E2742" s="1">
        <f>IFERROR(__xludf.DUMMYFUNCTION("""COMPUTED_VALUE"""),24850.0)</f>
        <v>24850</v>
      </c>
      <c r="F2742" s="1">
        <f>IFERROR(__xludf.DUMMYFUNCTION("""COMPUTED_VALUE"""),34122.0)</f>
        <v>34122</v>
      </c>
    </row>
    <row r="2743">
      <c r="A2743" s="2">
        <f>IFERROR(__xludf.DUMMYFUNCTION("""COMPUTED_VALUE"""),44981.64583333333)</f>
        <v>44981.64583</v>
      </c>
      <c r="B2743" s="1">
        <f>IFERROR(__xludf.DUMMYFUNCTION("""COMPUTED_VALUE"""),25700.0)</f>
        <v>25700</v>
      </c>
      <c r="C2743" s="1">
        <f>IFERROR(__xludf.DUMMYFUNCTION("""COMPUTED_VALUE"""),25750.0)</f>
        <v>25750</v>
      </c>
      <c r="D2743" s="1">
        <f>IFERROR(__xludf.DUMMYFUNCTION("""COMPUTED_VALUE"""),24650.0)</f>
        <v>24650</v>
      </c>
      <c r="E2743" s="1">
        <f>IFERROR(__xludf.DUMMYFUNCTION("""COMPUTED_VALUE"""),24750.0)</f>
        <v>24750</v>
      </c>
      <c r="F2743" s="1">
        <f>IFERROR(__xludf.DUMMYFUNCTION("""COMPUTED_VALUE"""),66333.0)</f>
        <v>66333</v>
      </c>
    </row>
    <row r="2744">
      <c r="A2744" s="2">
        <f>IFERROR(__xludf.DUMMYFUNCTION("""COMPUTED_VALUE"""),44984.64583333333)</f>
        <v>44984.64583</v>
      </c>
      <c r="B2744" s="1">
        <f>IFERROR(__xludf.DUMMYFUNCTION("""COMPUTED_VALUE"""),24700.0)</f>
        <v>24700</v>
      </c>
      <c r="C2744" s="1">
        <f>IFERROR(__xludf.DUMMYFUNCTION("""COMPUTED_VALUE"""),25150.0)</f>
        <v>25150</v>
      </c>
      <c r="D2744" s="1">
        <f>IFERROR(__xludf.DUMMYFUNCTION("""COMPUTED_VALUE"""),24550.0)</f>
        <v>24550</v>
      </c>
      <c r="E2744" s="1">
        <f>IFERROR(__xludf.DUMMYFUNCTION("""COMPUTED_VALUE"""),24600.0)</f>
        <v>24600</v>
      </c>
      <c r="F2744" s="1">
        <f>IFERROR(__xludf.DUMMYFUNCTION("""COMPUTED_VALUE"""),21629.0)</f>
        <v>21629</v>
      </c>
    </row>
    <row r="2745">
      <c r="A2745" s="2">
        <f>IFERROR(__xludf.DUMMYFUNCTION("""COMPUTED_VALUE"""),44985.64583333333)</f>
        <v>44985.64583</v>
      </c>
      <c r="B2745" s="1">
        <f>IFERROR(__xludf.DUMMYFUNCTION("""COMPUTED_VALUE"""),24600.0)</f>
        <v>24600</v>
      </c>
      <c r="C2745" s="1">
        <f>IFERROR(__xludf.DUMMYFUNCTION("""COMPUTED_VALUE"""),24900.0)</f>
        <v>24900</v>
      </c>
      <c r="D2745" s="1">
        <f>IFERROR(__xludf.DUMMYFUNCTION("""COMPUTED_VALUE"""),24500.0)</f>
        <v>24500</v>
      </c>
      <c r="E2745" s="1">
        <f>IFERROR(__xludf.DUMMYFUNCTION("""COMPUTED_VALUE"""),24500.0)</f>
        <v>24500</v>
      </c>
      <c r="F2745" s="1">
        <f>IFERROR(__xludf.DUMMYFUNCTION("""COMPUTED_VALUE"""),20598.0)</f>
        <v>20598</v>
      </c>
    </row>
    <row r="2746">
      <c r="A2746" s="2">
        <f>IFERROR(__xludf.DUMMYFUNCTION("""COMPUTED_VALUE"""),44987.64583333333)</f>
        <v>44987.64583</v>
      </c>
      <c r="B2746" s="1">
        <f>IFERROR(__xludf.DUMMYFUNCTION("""COMPUTED_VALUE"""),24500.0)</f>
        <v>24500</v>
      </c>
      <c r="C2746" s="1">
        <f>IFERROR(__xludf.DUMMYFUNCTION("""COMPUTED_VALUE"""),24950.0)</f>
        <v>24950</v>
      </c>
      <c r="D2746" s="1">
        <f>IFERROR(__xludf.DUMMYFUNCTION("""COMPUTED_VALUE"""),24100.0)</f>
        <v>24100</v>
      </c>
      <c r="E2746" s="1">
        <f>IFERROR(__xludf.DUMMYFUNCTION("""COMPUTED_VALUE"""),24650.0)</f>
        <v>24650</v>
      </c>
      <c r="F2746" s="1">
        <f>IFERROR(__xludf.DUMMYFUNCTION("""COMPUTED_VALUE"""),46446.0)</f>
        <v>46446</v>
      </c>
    </row>
    <row r="2747">
      <c r="A2747" s="2">
        <f>IFERROR(__xludf.DUMMYFUNCTION("""COMPUTED_VALUE"""),44988.64583333333)</f>
        <v>44988.64583</v>
      </c>
      <c r="B2747" s="1">
        <f>IFERROR(__xludf.DUMMYFUNCTION("""COMPUTED_VALUE"""),24950.0)</f>
        <v>24950</v>
      </c>
      <c r="C2747" s="1">
        <f>IFERROR(__xludf.DUMMYFUNCTION("""COMPUTED_VALUE"""),25400.0)</f>
        <v>25400</v>
      </c>
      <c r="D2747" s="1">
        <f>IFERROR(__xludf.DUMMYFUNCTION("""COMPUTED_VALUE"""),24650.0)</f>
        <v>24650</v>
      </c>
      <c r="E2747" s="1">
        <f>IFERROR(__xludf.DUMMYFUNCTION("""COMPUTED_VALUE"""),25000.0)</f>
        <v>25000</v>
      </c>
      <c r="F2747" s="1">
        <f>IFERROR(__xludf.DUMMYFUNCTION("""COMPUTED_VALUE"""),54069.0)</f>
        <v>54069</v>
      </c>
    </row>
    <row r="2748">
      <c r="A2748" s="2">
        <f>IFERROR(__xludf.DUMMYFUNCTION("""COMPUTED_VALUE"""),44991.64583333333)</f>
        <v>44991.64583</v>
      </c>
      <c r="B2748" s="1">
        <f>IFERROR(__xludf.DUMMYFUNCTION("""COMPUTED_VALUE"""),24900.0)</f>
        <v>24900</v>
      </c>
      <c r="C2748" s="1">
        <f>IFERROR(__xludf.DUMMYFUNCTION("""COMPUTED_VALUE"""),25000.0)</f>
        <v>25000</v>
      </c>
      <c r="D2748" s="1">
        <f>IFERROR(__xludf.DUMMYFUNCTION("""COMPUTED_VALUE"""),24550.0)</f>
        <v>24550</v>
      </c>
      <c r="E2748" s="1">
        <f>IFERROR(__xludf.DUMMYFUNCTION("""COMPUTED_VALUE"""),24650.0)</f>
        <v>24650</v>
      </c>
      <c r="F2748" s="1">
        <f>IFERROR(__xludf.DUMMYFUNCTION("""COMPUTED_VALUE"""),31239.0)</f>
        <v>31239</v>
      </c>
    </row>
    <row r="2749">
      <c r="A2749" s="2">
        <f>IFERROR(__xludf.DUMMYFUNCTION("""COMPUTED_VALUE"""),44992.64583333333)</f>
        <v>44992.64583</v>
      </c>
      <c r="B2749" s="1">
        <f>IFERROR(__xludf.DUMMYFUNCTION("""COMPUTED_VALUE"""),24550.0)</f>
        <v>24550</v>
      </c>
      <c r="C2749" s="1">
        <f>IFERROR(__xludf.DUMMYFUNCTION("""COMPUTED_VALUE"""),24650.0)</f>
        <v>24650</v>
      </c>
      <c r="D2749" s="1">
        <f>IFERROR(__xludf.DUMMYFUNCTION("""COMPUTED_VALUE"""),24250.0)</f>
        <v>24250</v>
      </c>
      <c r="E2749" s="1">
        <f>IFERROR(__xludf.DUMMYFUNCTION("""COMPUTED_VALUE"""),24350.0)</f>
        <v>24350</v>
      </c>
      <c r="F2749" s="1">
        <f>IFERROR(__xludf.DUMMYFUNCTION("""COMPUTED_VALUE"""),35186.0)</f>
        <v>35186</v>
      </c>
    </row>
    <row r="2750">
      <c r="A2750" s="2">
        <f>IFERROR(__xludf.DUMMYFUNCTION("""COMPUTED_VALUE"""),44993.64583333333)</f>
        <v>44993.64583</v>
      </c>
      <c r="B2750" s="1">
        <f>IFERROR(__xludf.DUMMYFUNCTION("""COMPUTED_VALUE"""),24200.0)</f>
        <v>24200</v>
      </c>
      <c r="C2750" s="1">
        <f>IFERROR(__xludf.DUMMYFUNCTION("""COMPUTED_VALUE"""),25000.0)</f>
        <v>25000</v>
      </c>
      <c r="D2750" s="1">
        <f>IFERROR(__xludf.DUMMYFUNCTION("""COMPUTED_VALUE"""),24050.0)</f>
        <v>24050</v>
      </c>
      <c r="E2750" s="1">
        <f>IFERROR(__xludf.DUMMYFUNCTION("""COMPUTED_VALUE"""),24300.0)</f>
        <v>24300</v>
      </c>
      <c r="F2750" s="1">
        <f>IFERROR(__xludf.DUMMYFUNCTION("""COMPUTED_VALUE"""),52885.0)</f>
        <v>52885</v>
      </c>
    </row>
    <row r="2751">
      <c r="A2751" s="2">
        <f>IFERROR(__xludf.DUMMYFUNCTION("""COMPUTED_VALUE"""),44994.64583333333)</f>
        <v>44994.64583</v>
      </c>
      <c r="B2751" s="1">
        <f>IFERROR(__xludf.DUMMYFUNCTION("""COMPUTED_VALUE"""),24300.0)</f>
        <v>24300</v>
      </c>
      <c r="C2751" s="1">
        <f>IFERROR(__xludf.DUMMYFUNCTION("""COMPUTED_VALUE"""),24450.0)</f>
        <v>24450</v>
      </c>
      <c r="D2751" s="1">
        <f>IFERROR(__xludf.DUMMYFUNCTION("""COMPUTED_VALUE"""),23800.0)</f>
        <v>23800</v>
      </c>
      <c r="E2751" s="1">
        <f>IFERROR(__xludf.DUMMYFUNCTION("""COMPUTED_VALUE"""),23850.0)</f>
        <v>23850</v>
      </c>
      <c r="F2751" s="1">
        <f>IFERROR(__xludf.DUMMYFUNCTION("""COMPUTED_VALUE"""),39033.0)</f>
        <v>39033</v>
      </c>
    </row>
    <row r="2752">
      <c r="A2752" s="2">
        <f>IFERROR(__xludf.DUMMYFUNCTION("""COMPUTED_VALUE"""),44995.64583333333)</f>
        <v>44995.64583</v>
      </c>
      <c r="B2752" s="1">
        <f>IFERROR(__xludf.DUMMYFUNCTION("""COMPUTED_VALUE"""),23750.0)</f>
        <v>23750</v>
      </c>
      <c r="C2752" s="1">
        <f>IFERROR(__xludf.DUMMYFUNCTION("""COMPUTED_VALUE"""),25250.0)</f>
        <v>25250</v>
      </c>
      <c r="D2752" s="1">
        <f>IFERROR(__xludf.DUMMYFUNCTION("""COMPUTED_VALUE"""),23750.0)</f>
        <v>23750</v>
      </c>
      <c r="E2752" s="1">
        <f>IFERROR(__xludf.DUMMYFUNCTION("""COMPUTED_VALUE"""),24150.0)</f>
        <v>24150</v>
      </c>
      <c r="F2752" s="1">
        <f>IFERROR(__xludf.DUMMYFUNCTION("""COMPUTED_VALUE"""),150013.0)</f>
        <v>150013</v>
      </c>
    </row>
    <row r="2753">
      <c r="A2753" s="2">
        <f>IFERROR(__xludf.DUMMYFUNCTION("""COMPUTED_VALUE"""),44998.64583333333)</f>
        <v>44998.64583</v>
      </c>
      <c r="B2753" s="1">
        <f>IFERROR(__xludf.DUMMYFUNCTION("""COMPUTED_VALUE"""),23900.0)</f>
        <v>23900</v>
      </c>
      <c r="C2753" s="1">
        <f>IFERROR(__xludf.DUMMYFUNCTION("""COMPUTED_VALUE"""),24050.0)</f>
        <v>24050</v>
      </c>
      <c r="D2753" s="1">
        <f>IFERROR(__xludf.DUMMYFUNCTION("""COMPUTED_VALUE"""),23350.0)</f>
        <v>23350</v>
      </c>
      <c r="E2753" s="1">
        <f>IFERROR(__xludf.DUMMYFUNCTION("""COMPUTED_VALUE"""),23450.0)</f>
        <v>23450</v>
      </c>
      <c r="F2753" s="1">
        <f>IFERROR(__xludf.DUMMYFUNCTION("""COMPUTED_VALUE"""),45938.0)</f>
        <v>45938</v>
      </c>
    </row>
    <row r="2754">
      <c r="A2754" s="2">
        <f>IFERROR(__xludf.DUMMYFUNCTION("""COMPUTED_VALUE"""),44999.64583333333)</f>
        <v>44999.64583</v>
      </c>
      <c r="B2754" s="1">
        <f>IFERROR(__xludf.DUMMYFUNCTION("""COMPUTED_VALUE"""),23100.0)</f>
        <v>23100</v>
      </c>
      <c r="C2754" s="1">
        <f>IFERROR(__xludf.DUMMYFUNCTION("""COMPUTED_VALUE"""),23400.0)</f>
        <v>23400</v>
      </c>
      <c r="D2754" s="1">
        <f>IFERROR(__xludf.DUMMYFUNCTION("""COMPUTED_VALUE"""),21800.0)</f>
        <v>21800</v>
      </c>
      <c r="E2754" s="1">
        <f>IFERROR(__xludf.DUMMYFUNCTION("""COMPUTED_VALUE"""),21800.0)</f>
        <v>21800</v>
      </c>
      <c r="F2754" s="1">
        <f>IFERROR(__xludf.DUMMYFUNCTION("""COMPUTED_VALUE"""),66674.0)</f>
        <v>66674</v>
      </c>
    </row>
    <row r="2755">
      <c r="A2755" s="2">
        <f>IFERROR(__xludf.DUMMYFUNCTION("""COMPUTED_VALUE"""),45000.64583333333)</f>
        <v>45000.64583</v>
      </c>
      <c r="B2755" s="1">
        <f>IFERROR(__xludf.DUMMYFUNCTION("""COMPUTED_VALUE"""),21950.0)</f>
        <v>21950</v>
      </c>
      <c r="C2755" s="1">
        <f>IFERROR(__xludf.DUMMYFUNCTION("""COMPUTED_VALUE"""),22800.0)</f>
        <v>22800</v>
      </c>
      <c r="D2755" s="1">
        <f>IFERROR(__xludf.DUMMYFUNCTION("""COMPUTED_VALUE"""),21950.0)</f>
        <v>21950</v>
      </c>
      <c r="E2755" s="1">
        <f>IFERROR(__xludf.DUMMYFUNCTION("""COMPUTED_VALUE"""),22150.0)</f>
        <v>22150</v>
      </c>
      <c r="F2755" s="1">
        <f>IFERROR(__xludf.DUMMYFUNCTION("""COMPUTED_VALUE"""),23011.0)</f>
        <v>23011</v>
      </c>
    </row>
    <row r="2756">
      <c r="A2756" s="2">
        <f>IFERROR(__xludf.DUMMYFUNCTION("""COMPUTED_VALUE"""),45001.64583333333)</f>
        <v>45001.64583</v>
      </c>
      <c r="B2756" s="1">
        <f>IFERROR(__xludf.DUMMYFUNCTION("""COMPUTED_VALUE"""),23050.0)</f>
        <v>23050</v>
      </c>
      <c r="C2756" s="1">
        <f>IFERROR(__xludf.DUMMYFUNCTION("""COMPUTED_VALUE"""),24350.0)</f>
        <v>24350</v>
      </c>
      <c r="D2756" s="1">
        <f>IFERROR(__xludf.DUMMYFUNCTION("""COMPUTED_VALUE"""),22650.0)</f>
        <v>22650</v>
      </c>
      <c r="E2756" s="1">
        <f>IFERROR(__xludf.DUMMYFUNCTION("""COMPUTED_VALUE"""),22650.0)</f>
        <v>22650</v>
      </c>
      <c r="F2756" s="1">
        <f>IFERROR(__xludf.DUMMYFUNCTION("""COMPUTED_VALUE"""),183493.0)</f>
        <v>183493</v>
      </c>
    </row>
    <row r="2757">
      <c r="A2757" s="2">
        <f>IFERROR(__xludf.DUMMYFUNCTION("""COMPUTED_VALUE"""),45002.64583333333)</f>
        <v>45002.64583</v>
      </c>
      <c r="B2757" s="1">
        <f>IFERROR(__xludf.DUMMYFUNCTION("""COMPUTED_VALUE"""),22650.0)</f>
        <v>22650</v>
      </c>
      <c r="C2757" s="1">
        <f>IFERROR(__xludf.DUMMYFUNCTION("""COMPUTED_VALUE"""),23050.0)</f>
        <v>23050</v>
      </c>
      <c r="D2757" s="1">
        <f>IFERROR(__xludf.DUMMYFUNCTION("""COMPUTED_VALUE"""),22650.0)</f>
        <v>22650</v>
      </c>
      <c r="E2757" s="1">
        <f>IFERROR(__xludf.DUMMYFUNCTION("""COMPUTED_VALUE"""),22950.0)</f>
        <v>22950</v>
      </c>
      <c r="F2757" s="1">
        <f>IFERROR(__xludf.DUMMYFUNCTION("""COMPUTED_VALUE"""),27354.0)</f>
        <v>27354</v>
      </c>
    </row>
    <row r="2758">
      <c r="A2758" s="2">
        <f>IFERROR(__xludf.DUMMYFUNCTION("""COMPUTED_VALUE"""),45005.64583333333)</f>
        <v>45005.64583</v>
      </c>
      <c r="B2758" s="1">
        <f>IFERROR(__xludf.DUMMYFUNCTION("""COMPUTED_VALUE"""),22950.0)</f>
        <v>22950</v>
      </c>
      <c r="C2758" s="1">
        <f>IFERROR(__xludf.DUMMYFUNCTION("""COMPUTED_VALUE"""),23250.0)</f>
        <v>23250</v>
      </c>
      <c r="D2758" s="1">
        <f>IFERROR(__xludf.DUMMYFUNCTION("""COMPUTED_VALUE"""),22750.0)</f>
        <v>22750</v>
      </c>
      <c r="E2758" s="1">
        <f>IFERROR(__xludf.DUMMYFUNCTION("""COMPUTED_VALUE"""),23000.0)</f>
        <v>23000</v>
      </c>
      <c r="F2758" s="1">
        <f>IFERROR(__xludf.DUMMYFUNCTION("""COMPUTED_VALUE"""),19864.0)</f>
        <v>19864</v>
      </c>
    </row>
    <row r="2759">
      <c r="A2759" s="2">
        <f>IFERROR(__xludf.DUMMYFUNCTION("""COMPUTED_VALUE"""),45006.64583333333)</f>
        <v>45006.64583</v>
      </c>
      <c r="B2759" s="1">
        <f>IFERROR(__xludf.DUMMYFUNCTION("""COMPUTED_VALUE"""),23200.0)</f>
        <v>23200</v>
      </c>
      <c r="C2759" s="1">
        <f>IFERROR(__xludf.DUMMYFUNCTION("""COMPUTED_VALUE"""),24000.0)</f>
        <v>24000</v>
      </c>
      <c r="D2759" s="1">
        <f>IFERROR(__xludf.DUMMYFUNCTION("""COMPUTED_VALUE"""),23200.0)</f>
        <v>23200</v>
      </c>
      <c r="E2759" s="1">
        <f>IFERROR(__xludf.DUMMYFUNCTION("""COMPUTED_VALUE"""),23500.0)</f>
        <v>23500</v>
      </c>
      <c r="F2759" s="1">
        <f>IFERROR(__xludf.DUMMYFUNCTION("""COMPUTED_VALUE"""),51212.0)</f>
        <v>51212</v>
      </c>
    </row>
    <row r="2760">
      <c r="A2760" s="2">
        <f>IFERROR(__xludf.DUMMYFUNCTION("""COMPUTED_VALUE"""),45007.64583333333)</f>
        <v>45007.64583</v>
      </c>
      <c r="B2760" s="1">
        <f>IFERROR(__xludf.DUMMYFUNCTION("""COMPUTED_VALUE"""),23200.0)</f>
        <v>23200</v>
      </c>
      <c r="C2760" s="1">
        <f>IFERROR(__xludf.DUMMYFUNCTION("""COMPUTED_VALUE"""),23400.0)</f>
        <v>23400</v>
      </c>
      <c r="D2760" s="1">
        <f>IFERROR(__xludf.DUMMYFUNCTION("""COMPUTED_VALUE"""),22800.0)</f>
        <v>22800</v>
      </c>
      <c r="E2760" s="1">
        <f>IFERROR(__xludf.DUMMYFUNCTION("""COMPUTED_VALUE"""),22850.0)</f>
        <v>22850</v>
      </c>
      <c r="F2760" s="1">
        <f>IFERROR(__xludf.DUMMYFUNCTION("""COMPUTED_VALUE"""),51323.0)</f>
        <v>51323</v>
      </c>
    </row>
    <row r="2761">
      <c r="A2761" s="2">
        <f>IFERROR(__xludf.DUMMYFUNCTION("""COMPUTED_VALUE"""),45008.64583333333)</f>
        <v>45008.64583</v>
      </c>
      <c r="B2761" s="1">
        <f>IFERROR(__xludf.DUMMYFUNCTION("""COMPUTED_VALUE"""),22750.0)</f>
        <v>22750</v>
      </c>
      <c r="C2761" s="1">
        <f>IFERROR(__xludf.DUMMYFUNCTION("""COMPUTED_VALUE"""),23000.0)</f>
        <v>23000</v>
      </c>
      <c r="D2761" s="1">
        <f>IFERROR(__xludf.DUMMYFUNCTION("""COMPUTED_VALUE"""),22450.0)</f>
        <v>22450</v>
      </c>
      <c r="E2761" s="1">
        <f>IFERROR(__xludf.DUMMYFUNCTION("""COMPUTED_VALUE"""),22550.0)</f>
        <v>22550</v>
      </c>
      <c r="F2761" s="1">
        <f>IFERROR(__xludf.DUMMYFUNCTION("""COMPUTED_VALUE"""),33019.0)</f>
        <v>33019</v>
      </c>
    </row>
    <row r="2762">
      <c r="A2762" s="2">
        <f>IFERROR(__xludf.DUMMYFUNCTION("""COMPUTED_VALUE"""),45009.64583333333)</f>
        <v>45009.64583</v>
      </c>
      <c r="B2762" s="1">
        <f>IFERROR(__xludf.DUMMYFUNCTION("""COMPUTED_VALUE"""),22650.0)</f>
        <v>22650</v>
      </c>
      <c r="C2762" s="1">
        <f>IFERROR(__xludf.DUMMYFUNCTION("""COMPUTED_VALUE"""),23100.0)</f>
        <v>23100</v>
      </c>
      <c r="D2762" s="1">
        <f>IFERROR(__xludf.DUMMYFUNCTION("""COMPUTED_VALUE"""),22500.0)</f>
        <v>22500</v>
      </c>
      <c r="E2762" s="1">
        <f>IFERROR(__xludf.DUMMYFUNCTION("""COMPUTED_VALUE"""),22900.0)</f>
        <v>22900</v>
      </c>
      <c r="F2762" s="1">
        <f>IFERROR(__xludf.DUMMYFUNCTION("""COMPUTED_VALUE"""),28586.0)</f>
        <v>28586</v>
      </c>
    </row>
    <row r="2763">
      <c r="A2763" s="2">
        <f>IFERROR(__xludf.DUMMYFUNCTION("""COMPUTED_VALUE"""),45012.64583333333)</f>
        <v>45012.64583</v>
      </c>
      <c r="B2763" s="1">
        <f>IFERROR(__xludf.DUMMYFUNCTION("""COMPUTED_VALUE"""),23050.0)</f>
        <v>23050</v>
      </c>
      <c r="C2763" s="1">
        <f>IFERROR(__xludf.DUMMYFUNCTION("""COMPUTED_VALUE"""),23050.0)</f>
        <v>23050</v>
      </c>
      <c r="D2763" s="1">
        <f>IFERROR(__xludf.DUMMYFUNCTION("""COMPUTED_VALUE"""),22400.0)</f>
        <v>22400</v>
      </c>
      <c r="E2763" s="1">
        <f>IFERROR(__xludf.DUMMYFUNCTION("""COMPUTED_VALUE"""),22600.0)</f>
        <v>22600</v>
      </c>
      <c r="F2763" s="1">
        <f>IFERROR(__xludf.DUMMYFUNCTION("""COMPUTED_VALUE"""),27539.0)</f>
        <v>27539</v>
      </c>
    </row>
    <row r="2764">
      <c r="A2764" s="2">
        <f>IFERROR(__xludf.DUMMYFUNCTION("""COMPUTED_VALUE"""),45013.64583333333)</f>
        <v>45013.64583</v>
      </c>
      <c r="B2764" s="1">
        <f>IFERROR(__xludf.DUMMYFUNCTION("""COMPUTED_VALUE"""),22650.0)</f>
        <v>22650</v>
      </c>
      <c r="C2764" s="1">
        <f>IFERROR(__xludf.DUMMYFUNCTION("""COMPUTED_VALUE"""),22850.0)</f>
        <v>22850</v>
      </c>
      <c r="D2764" s="1">
        <f>IFERROR(__xludf.DUMMYFUNCTION("""COMPUTED_VALUE"""),22450.0)</f>
        <v>22450</v>
      </c>
      <c r="E2764" s="1">
        <f>IFERROR(__xludf.DUMMYFUNCTION("""COMPUTED_VALUE"""),22800.0)</f>
        <v>22800</v>
      </c>
      <c r="F2764" s="1">
        <f>IFERROR(__xludf.DUMMYFUNCTION("""COMPUTED_VALUE"""),15952.0)</f>
        <v>15952</v>
      </c>
    </row>
    <row r="2765">
      <c r="A2765" s="2">
        <f>IFERROR(__xludf.DUMMYFUNCTION("""COMPUTED_VALUE"""),45014.64583333333)</f>
        <v>45014.64583</v>
      </c>
      <c r="B2765" s="1">
        <f>IFERROR(__xludf.DUMMYFUNCTION("""COMPUTED_VALUE"""),22850.0)</f>
        <v>22850</v>
      </c>
      <c r="C2765" s="1">
        <f>IFERROR(__xludf.DUMMYFUNCTION("""COMPUTED_VALUE"""),23000.0)</f>
        <v>23000</v>
      </c>
      <c r="D2765" s="1">
        <f>IFERROR(__xludf.DUMMYFUNCTION("""COMPUTED_VALUE"""),22700.0)</f>
        <v>22700</v>
      </c>
      <c r="E2765" s="1">
        <f>IFERROR(__xludf.DUMMYFUNCTION("""COMPUTED_VALUE"""),22800.0)</f>
        <v>22800</v>
      </c>
      <c r="F2765" s="1">
        <f>IFERROR(__xludf.DUMMYFUNCTION("""COMPUTED_VALUE"""),19401.0)</f>
        <v>19401</v>
      </c>
    </row>
    <row r="2766">
      <c r="A2766" s="2">
        <f>IFERROR(__xludf.DUMMYFUNCTION("""COMPUTED_VALUE"""),45015.64583333333)</f>
        <v>45015.64583</v>
      </c>
      <c r="B2766" s="1">
        <f>IFERROR(__xludf.DUMMYFUNCTION("""COMPUTED_VALUE"""),23000.0)</f>
        <v>23000</v>
      </c>
      <c r="C2766" s="1">
        <f>IFERROR(__xludf.DUMMYFUNCTION("""COMPUTED_VALUE"""),23800.0)</f>
        <v>23800</v>
      </c>
      <c r="D2766" s="1">
        <f>IFERROR(__xludf.DUMMYFUNCTION("""COMPUTED_VALUE"""),22850.0)</f>
        <v>22850</v>
      </c>
      <c r="E2766" s="1">
        <f>IFERROR(__xludf.DUMMYFUNCTION("""COMPUTED_VALUE"""),23000.0)</f>
        <v>23000</v>
      </c>
      <c r="F2766" s="1">
        <f>IFERROR(__xludf.DUMMYFUNCTION("""COMPUTED_VALUE"""),93580.0)</f>
        <v>93580</v>
      </c>
    </row>
    <row r="2767">
      <c r="A2767" s="2">
        <f>IFERROR(__xludf.DUMMYFUNCTION("""COMPUTED_VALUE"""),45016.64583333333)</f>
        <v>45016.64583</v>
      </c>
      <c r="B2767" s="1">
        <f>IFERROR(__xludf.DUMMYFUNCTION("""COMPUTED_VALUE"""),23100.0)</f>
        <v>23100</v>
      </c>
      <c r="C2767" s="1">
        <f>IFERROR(__xludf.DUMMYFUNCTION("""COMPUTED_VALUE"""),23500.0)</f>
        <v>23500</v>
      </c>
      <c r="D2767" s="1">
        <f>IFERROR(__xludf.DUMMYFUNCTION("""COMPUTED_VALUE"""),22850.0)</f>
        <v>22850</v>
      </c>
      <c r="E2767" s="1">
        <f>IFERROR(__xludf.DUMMYFUNCTION("""COMPUTED_VALUE"""),22900.0)</f>
        <v>22900</v>
      </c>
      <c r="F2767" s="1">
        <f>IFERROR(__xludf.DUMMYFUNCTION("""COMPUTED_VALUE"""),44636.0)</f>
        <v>44636</v>
      </c>
    </row>
    <row r="2768">
      <c r="A2768" s="2">
        <f>IFERROR(__xludf.DUMMYFUNCTION("""COMPUTED_VALUE"""),45019.64583333333)</f>
        <v>45019.64583</v>
      </c>
      <c r="B2768" s="1">
        <f>IFERROR(__xludf.DUMMYFUNCTION("""COMPUTED_VALUE"""),23150.0)</f>
        <v>23150</v>
      </c>
      <c r="C2768" s="1">
        <f>IFERROR(__xludf.DUMMYFUNCTION("""COMPUTED_VALUE"""),23300.0)</f>
        <v>23300</v>
      </c>
      <c r="D2768" s="1">
        <f>IFERROR(__xludf.DUMMYFUNCTION("""COMPUTED_VALUE"""),22900.0)</f>
        <v>22900</v>
      </c>
      <c r="E2768" s="1">
        <f>IFERROR(__xludf.DUMMYFUNCTION("""COMPUTED_VALUE"""),22900.0)</f>
        <v>22900</v>
      </c>
      <c r="F2768" s="1">
        <f>IFERROR(__xludf.DUMMYFUNCTION("""COMPUTED_VALUE"""),25336.0)</f>
        <v>25336</v>
      </c>
    </row>
    <row r="2769">
      <c r="A2769" s="2">
        <f>IFERROR(__xludf.DUMMYFUNCTION("""COMPUTED_VALUE"""),45020.64583333333)</f>
        <v>45020.64583</v>
      </c>
      <c r="B2769" s="1">
        <f>IFERROR(__xludf.DUMMYFUNCTION("""COMPUTED_VALUE"""),23050.0)</f>
        <v>23050</v>
      </c>
      <c r="C2769" s="1">
        <f>IFERROR(__xludf.DUMMYFUNCTION("""COMPUTED_VALUE"""),23200.0)</f>
        <v>23200</v>
      </c>
      <c r="D2769" s="1">
        <f>IFERROR(__xludf.DUMMYFUNCTION("""COMPUTED_VALUE"""),22850.0)</f>
        <v>22850</v>
      </c>
      <c r="E2769" s="1">
        <f>IFERROR(__xludf.DUMMYFUNCTION("""COMPUTED_VALUE"""),23100.0)</f>
        <v>23100</v>
      </c>
      <c r="F2769" s="1">
        <f>IFERROR(__xludf.DUMMYFUNCTION("""COMPUTED_VALUE"""),21643.0)</f>
        <v>21643</v>
      </c>
    </row>
    <row r="2770">
      <c r="A2770" s="2">
        <f>IFERROR(__xludf.DUMMYFUNCTION("""COMPUTED_VALUE"""),45021.64583333333)</f>
        <v>45021.64583</v>
      </c>
      <c r="B2770" s="1">
        <f>IFERROR(__xludf.DUMMYFUNCTION("""COMPUTED_VALUE"""),22900.0)</f>
        <v>22900</v>
      </c>
      <c r="C2770" s="1">
        <f>IFERROR(__xludf.DUMMYFUNCTION("""COMPUTED_VALUE"""),23450.0)</f>
        <v>23450</v>
      </c>
      <c r="D2770" s="1">
        <f>IFERROR(__xludf.DUMMYFUNCTION("""COMPUTED_VALUE"""),22900.0)</f>
        <v>22900</v>
      </c>
      <c r="E2770" s="1">
        <f>IFERROR(__xludf.DUMMYFUNCTION("""COMPUTED_VALUE"""),23100.0)</f>
        <v>23100</v>
      </c>
      <c r="F2770" s="1">
        <f>IFERROR(__xludf.DUMMYFUNCTION("""COMPUTED_VALUE"""),29338.0)</f>
        <v>29338</v>
      </c>
    </row>
    <row r="2771">
      <c r="A2771" s="2">
        <f>IFERROR(__xludf.DUMMYFUNCTION("""COMPUTED_VALUE"""),45022.64583333333)</f>
        <v>45022.64583</v>
      </c>
      <c r="B2771" s="1">
        <f>IFERROR(__xludf.DUMMYFUNCTION("""COMPUTED_VALUE"""),23000.0)</f>
        <v>23000</v>
      </c>
      <c r="C2771" s="1">
        <f>IFERROR(__xludf.DUMMYFUNCTION("""COMPUTED_VALUE"""),23000.0)</f>
        <v>23000</v>
      </c>
      <c r="D2771" s="1">
        <f>IFERROR(__xludf.DUMMYFUNCTION("""COMPUTED_VALUE"""),22600.0)</f>
        <v>22600</v>
      </c>
      <c r="E2771" s="1">
        <f>IFERROR(__xludf.DUMMYFUNCTION("""COMPUTED_VALUE"""),22700.0)</f>
        <v>22700</v>
      </c>
      <c r="F2771" s="1">
        <f>IFERROR(__xludf.DUMMYFUNCTION("""COMPUTED_VALUE"""),32169.0)</f>
        <v>32169</v>
      </c>
    </row>
    <row r="2772">
      <c r="A2772" s="2">
        <f>IFERROR(__xludf.DUMMYFUNCTION("""COMPUTED_VALUE"""),45023.64583333333)</f>
        <v>45023.64583</v>
      </c>
      <c r="B2772" s="1">
        <f>IFERROR(__xludf.DUMMYFUNCTION("""COMPUTED_VALUE"""),22700.0)</f>
        <v>22700</v>
      </c>
      <c r="C2772" s="1">
        <f>IFERROR(__xludf.DUMMYFUNCTION("""COMPUTED_VALUE"""),22900.0)</f>
        <v>22900</v>
      </c>
      <c r="D2772" s="1">
        <f>IFERROR(__xludf.DUMMYFUNCTION("""COMPUTED_VALUE"""),22650.0)</f>
        <v>22650</v>
      </c>
      <c r="E2772" s="1">
        <f>IFERROR(__xludf.DUMMYFUNCTION("""COMPUTED_VALUE"""),22800.0)</f>
        <v>22800</v>
      </c>
      <c r="F2772" s="1">
        <f>IFERROR(__xludf.DUMMYFUNCTION("""COMPUTED_VALUE"""),14595.0)</f>
        <v>14595</v>
      </c>
    </row>
    <row r="2773">
      <c r="A2773" s="2">
        <f>IFERROR(__xludf.DUMMYFUNCTION("""COMPUTED_VALUE"""),45026.64583333333)</f>
        <v>45026.64583</v>
      </c>
      <c r="B2773" s="1">
        <f>IFERROR(__xludf.DUMMYFUNCTION("""COMPUTED_VALUE"""),22750.0)</f>
        <v>22750</v>
      </c>
      <c r="C2773" s="1">
        <f>IFERROR(__xludf.DUMMYFUNCTION("""COMPUTED_VALUE"""),22950.0)</f>
        <v>22950</v>
      </c>
      <c r="D2773" s="1">
        <f>IFERROR(__xludf.DUMMYFUNCTION("""COMPUTED_VALUE"""),22100.0)</f>
        <v>22100</v>
      </c>
      <c r="E2773" s="1">
        <f>IFERROR(__xludf.DUMMYFUNCTION("""COMPUTED_VALUE"""),22300.0)</f>
        <v>22300</v>
      </c>
      <c r="F2773" s="1">
        <f>IFERROR(__xludf.DUMMYFUNCTION("""COMPUTED_VALUE"""),44966.0)</f>
        <v>44966</v>
      </c>
    </row>
    <row r="2774">
      <c r="A2774" s="2">
        <f>IFERROR(__xludf.DUMMYFUNCTION("""COMPUTED_VALUE"""),45027.64583333333)</f>
        <v>45027.64583</v>
      </c>
      <c r="B2774" s="1">
        <f>IFERROR(__xludf.DUMMYFUNCTION("""COMPUTED_VALUE"""),22100.0)</f>
        <v>22100</v>
      </c>
      <c r="C2774" s="1">
        <f>IFERROR(__xludf.DUMMYFUNCTION("""COMPUTED_VALUE"""),24750.0)</f>
        <v>24750</v>
      </c>
      <c r="D2774" s="1">
        <f>IFERROR(__xludf.DUMMYFUNCTION("""COMPUTED_VALUE"""),22100.0)</f>
        <v>22100</v>
      </c>
      <c r="E2774" s="1">
        <f>IFERROR(__xludf.DUMMYFUNCTION("""COMPUTED_VALUE"""),22750.0)</f>
        <v>22750</v>
      </c>
      <c r="F2774" s="1">
        <f>IFERROR(__xludf.DUMMYFUNCTION("""COMPUTED_VALUE"""),526054.0)</f>
        <v>526054</v>
      </c>
    </row>
    <row r="2775">
      <c r="A2775" s="2">
        <f>IFERROR(__xludf.DUMMYFUNCTION("""COMPUTED_VALUE"""),45028.64583333333)</f>
        <v>45028.64583</v>
      </c>
      <c r="B2775" s="1">
        <f>IFERROR(__xludf.DUMMYFUNCTION("""COMPUTED_VALUE"""),22800.0)</f>
        <v>22800</v>
      </c>
      <c r="C2775" s="1">
        <f>IFERROR(__xludf.DUMMYFUNCTION("""COMPUTED_VALUE"""),22900.0)</f>
        <v>22900</v>
      </c>
      <c r="D2775" s="1">
        <f>IFERROR(__xludf.DUMMYFUNCTION("""COMPUTED_VALUE"""),22500.0)</f>
        <v>22500</v>
      </c>
      <c r="E2775" s="1">
        <f>IFERROR(__xludf.DUMMYFUNCTION("""COMPUTED_VALUE"""),22700.0)</f>
        <v>22700</v>
      </c>
      <c r="F2775" s="1">
        <f>IFERROR(__xludf.DUMMYFUNCTION("""COMPUTED_VALUE"""),42413.0)</f>
        <v>42413</v>
      </c>
    </row>
    <row r="2776">
      <c r="A2776" s="2">
        <f>IFERROR(__xludf.DUMMYFUNCTION("""COMPUTED_VALUE"""),45029.64583333333)</f>
        <v>45029.64583</v>
      </c>
      <c r="B2776" s="1">
        <f>IFERROR(__xludf.DUMMYFUNCTION("""COMPUTED_VALUE"""),22850.0)</f>
        <v>22850</v>
      </c>
      <c r="C2776" s="1">
        <f>IFERROR(__xludf.DUMMYFUNCTION("""COMPUTED_VALUE"""),23700.0)</f>
        <v>23700</v>
      </c>
      <c r="D2776" s="1">
        <f>IFERROR(__xludf.DUMMYFUNCTION("""COMPUTED_VALUE"""),22550.0)</f>
        <v>22550</v>
      </c>
      <c r="E2776" s="1">
        <f>IFERROR(__xludf.DUMMYFUNCTION("""COMPUTED_VALUE"""),23400.0)</f>
        <v>23400</v>
      </c>
      <c r="F2776" s="1">
        <f>IFERROR(__xludf.DUMMYFUNCTION("""COMPUTED_VALUE"""),111302.0)</f>
        <v>111302</v>
      </c>
    </row>
    <row r="2777">
      <c r="A2777" s="2">
        <f>IFERROR(__xludf.DUMMYFUNCTION("""COMPUTED_VALUE"""),45030.64583333333)</f>
        <v>45030.64583</v>
      </c>
      <c r="B2777" s="1">
        <f>IFERROR(__xludf.DUMMYFUNCTION("""COMPUTED_VALUE"""),23400.0)</f>
        <v>23400</v>
      </c>
      <c r="C2777" s="1">
        <f>IFERROR(__xludf.DUMMYFUNCTION("""COMPUTED_VALUE"""),23600.0)</f>
        <v>23600</v>
      </c>
      <c r="D2777" s="1">
        <f>IFERROR(__xludf.DUMMYFUNCTION("""COMPUTED_VALUE"""),23150.0)</f>
        <v>23150</v>
      </c>
      <c r="E2777" s="1">
        <f>IFERROR(__xludf.DUMMYFUNCTION("""COMPUTED_VALUE"""),23400.0)</f>
        <v>23400</v>
      </c>
      <c r="F2777" s="1">
        <f>IFERROR(__xludf.DUMMYFUNCTION("""COMPUTED_VALUE"""),41936.0)</f>
        <v>41936</v>
      </c>
    </row>
    <row r="2778">
      <c r="A2778" s="2">
        <f>IFERROR(__xludf.DUMMYFUNCTION("""COMPUTED_VALUE"""),45033.64583333333)</f>
        <v>45033.64583</v>
      </c>
      <c r="B2778" s="1">
        <f>IFERROR(__xludf.DUMMYFUNCTION("""COMPUTED_VALUE"""),23200.0)</f>
        <v>23200</v>
      </c>
      <c r="C2778" s="1">
        <f>IFERROR(__xludf.DUMMYFUNCTION("""COMPUTED_VALUE"""),23400.0)</f>
        <v>23400</v>
      </c>
      <c r="D2778" s="1">
        <f>IFERROR(__xludf.DUMMYFUNCTION("""COMPUTED_VALUE"""),23100.0)</f>
        <v>23100</v>
      </c>
      <c r="E2778" s="1">
        <f>IFERROR(__xludf.DUMMYFUNCTION("""COMPUTED_VALUE"""),23300.0)</f>
        <v>23300</v>
      </c>
      <c r="F2778" s="1">
        <f>IFERROR(__xludf.DUMMYFUNCTION("""COMPUTED_VALUE"""),25182.0)</f>
        <v>25182</v>
      </c>
    </row>
    <row r="2779">
      <c r="A2779" s="2">
        <f>IFERROR(__xludf.DUMMYFUNCTION("""COMPUTED_VALUE"""),45034.64583333333)</f>
        <v>45034.64583</v>
      </c>
      <c r="B2779" s="1">
        <f>IFERROR(__xludf.DUMMYFUNCTION("""COMPUTED_VALUE"""),23450.0)</f>
        <v>23450</v>
      </c>
      <c r="C2779" s="1">
        <f>IFERROR(__xludf.DUMMYFUNCTION("""COMPUTED_VALUE"""),23450.0)</f>
        <v>23450</v>
      </c>
      <c r="D2779" s="1">
        <f>IFERROR(__xludf.DUMMYFUNCTION("""COMPUTED_VALUE"""),23000.0)</f>
        <v>23000</v>
      </c>
      <c r="E2779" s="1">
        <f>IFERROR(__xludf.DUMMYFUNCTION("""COMPUTED_VALUE"""),23050.0)</f>
        <v>23050</v>
      </c>
      <c r="F2779" s="1">
        <f>IFERROR(__xludf.DUMMYFUNCTION("""COMPUTED_VALUE"""),27002.0)</f>
        <v>27002</v>
      </c>
    </row>
    <row r="2780">
      <c r="A2780" s="2">
        <f>IFERROR(__xludf.DUMMYFUNCTION("""COMPUTED_VALUE"""),45035.64583333333)</f>
        <v>45035.64583</v>
      </c>
      <c r="B2780" s="1">
        <f>IFERROR(__xludf.DUMMYFUNCTION("""COMPUTED_VALUE"""),22900.0)</f>
        <v>22900</v>
      </c>
      <c r="C2780" s="1">
        <f>IFERROR(__xludf.DUMMYFUNCTION("""COMPUTED_VALUE"""),23150.0)</f>
        <v>23150</v>
      </c>
      <c r="D2780" s="1">
        <f>IFERROR(__xludf.DUMMYFUNCTION("""COMPUTED_VALUE"""),22900.0)</f>
        <v>22900</v>
      </c>
      <c r="E2780" s="1">
        <f>IFERROR(__xludf.DUMMYFUNCTION("""COMPUTED_VALUE"""),23100.0)</f>
        <v>23100</v>
      </c>
      <c r="F2780" s="1">
        <f>IFERROR(__xludf.DUMMYFUNCTION("""COMPUTED_VALUE"""),22742.0)</f>
        <v>22742</v>
      </c>
    </row>
    <row r="2781">
      <c r="A2781" s="2">
        <f>IFERROR(__xludf.DUMMYFUNCTION("""COMPUTED_VALUE"""),45036.64583333333)</f>
        <v>45036.64583</v>
      </c>
      <c r="B2781" s="1">
        <f>IFERROR(__xludf.DUMMYFUNCTION("""COMPUTED_VALUE"""),22950.0)</f>
        <v>22950</v>
      </c>
      <c r="C2781" s="1">
        <f>IFERROR(__xludf.DUMMYFUNCTION("""COMPUTED_VALUE"""),23050.0)</f>
        <v>23050</v>
      </c>
      <c r="D2781" s="1">
        <f>IFERROR(__xludf.DUMMYFUNCTION("""COMPUTED_VALUE"""),22600.0)</f>
        <v>22600</v>
      </c>
      <c r="E2781" s="1">
        <f>IFERROR(__xludf.DUMMYFUNCTION("""COMPUTED_VALUE"""),22650.0)</f>
        <v>22650</v>
      </c>
      <c r="F2781" s="1">
        <f>IFERROR(__xludf.DUMMYFUNCTION("""COMPUTED_VALUE"""),34513.0)</f>
        <v>34513</v>
      </c>
    </row>
    <row r="2782">
      <c r="A2782" s="2">
        <f>IFERROR(__xludf.DUMMYFUNCTION("""COMPUTED_VALUE"""),45037.64583333333)</f>
        <v>45037.64583</v>
      </c>
      <c r="B2782" s="1">
        <f>IFERROR(__xludf.DUMMYFUNCTION("""COMPUTED_VALUE"""),22450.0)</f>
        <v>22450</v>
      </c>
      <c r="C2782" s="1">
        <f>IFERROR(__xludf.DUMMYFUNCTION("""COMPUTED_VALUE"""),22750.0)</f>
        <v>22750</v>
      </c>
      <c r="D2782" s="1">
        <f>IFERROR(__xludf.DUMMYFUNCTION("""COMPUTED_VALUE"""),22300.0)</f>
        <v>22300</v>
      </c>
      <c r="E2782" s="1">
        <f>IFERROR(__xludf.DUMMYFUNCTION("""COMPUTED_VALUE"""),22400.0)</f>
        <v>22400</v>
      </c>
      <c r="F2782" s="1">
        <f>IFERROR(__xludf.DUMMYFUNCTION("""COMPUTED_VALUE"""),27951.0)</f>
        <v>27951</v>
      </c>
    </row>
    <row r="2783">
      <c r="A2783" s="2">
        <f>IFERROR(__xludf.DUMMYFUNCTION("""COMPUTED_VALUE"""),45040.64583333333)</f>
        <v>45040.64583</v>
      </c>
      <c r="B2783" s="1">
        <f>IFERROR(__xludf.DUMMYFUNCTION("""COMPUTED_VALUE"""),22200.0)</f>
        <v>22200</v>
      </c>
      <c r="C2783" s="1">
        <f>IFERROR(__xludf.DUMMYFUNCTION("""COMPUTED_VALUE"""),22500.0)</f>
        <v>22500</v>
      </c>
      <c r="D2783" s="1">
        <f>IFERROR(__xludf.DUMMYFUNCTION("""COMPUTED_VALUE"""),22000.0)</f>
        <v>22000</v>
      </c>
      <c r="E2783" s="1">
        <f>IFERROR(__xludf.DUMMYFUNCTION("""COMPUTED_VALUE"""),22150.0)</f>
        <v>22150</v>
      </c>
      <c r="F2783" s="1">
        <f>IFERROR(__xludf.DUMMYFUNCTION("""COMPUTED_VALUE"""),27474.0)</f>
        <v>27474</v>
      </c>
    </row>
    <row r="2784">
      <c r="A2784" s="2">
        <f>IFERROR(__xludf.DUMMYFUNCTION("""COMPUTED_VALUE"""),45041.64583333333)</f>
        <v>45041.64583</v>
      </c>
      <c r="B2784" s="1">
        <f>IFERROR(__xludf.DUMMYFUNCTION("""COMPUTED_VALUE"""),22200.0)</f>
        <v>22200</v>
      </c>
      <c r="C2784" s="1">
        <f>IFERROR(__xludf.DUMMYFUNCTION("""COMPUTED_VALUE"""),22350.0)</f>
        <v>22350</v>
      </c>
      <c r="D2784" s="1">
        <f>IFERROR(__xludf.DUMMYFUNCTION("""COMPUTED_VALUE"""),21900.0)</f>
        <v>21900</v>
      </c>
      <c r="E2784" s="1">
        <f>IFERROR(__xludf.DUMMYFUNCTION("""COMPUTED_VALUE"""),22100.0)</f>
        <v>22100</v>
      </c>
      <c r="F2784" s="1">
        <f>IFERROR(__xludf.DUMMYFUNCTION("""COMPUTED_VALUE"""),20228.0)</f>
        <v>20228</v>
      </c>
    </row>
    <row r="2785">
      <c r="A2785" s="2">
        <f>IFERROR(__xludf.DUMMYFUNCTION("""COMPUTED_VALUE"""),45042.64583333333)</f>
        <v>45042.64583</v>
      </c>
      <c r="B2785" s="1">
        <f>IFERROR(__xludf.DUMMYFUNCTION("""COMPUTED_VALUE"""),22100.0)</f>
        <v>22100</v>
      </c>
      <c r="C2785" s="1">
        <f>IFERROR(__xludf.DUMMYFUNCTION("""COMPUTED_VALUE"""),22200.0)</f>
        <v>22200</v>
      </c>
      <c r="D2785" s="1">
        <f>IFERROR(__xludf.DUMMYFUNCTION("""COMPUTED_VALUE"""),21800.0)</f>
        <v>21800</v>
      </c>
      <c r="E2785" s="1">
        <f>IFERROR(__xludf.DUMMYFUNCTION("""COMPUTED_VALUE"""),21850.0)</f>
        <v>21850</v>
      </c>
      <c r="F2785" s="1">
        <f>IFERROR(__xludf.DUMMYFUNCTION("""COMPUTED_VALUE"""),21192.0)</f>
        <v>21192</v>
      </c>
    </row>
    <row r="2786">
      <c r="A2786" s="2">
        <f>IFERROR(__xludf.DUMMYFUNCTION("""COMPUTED_VALUE"""),45043.64583333333)</f>
        <v>45043.64583</v>
      </c>
      <c r="B2786" s="1">
        <f>IFERROR(__xludf.DUMMYFUNCTION("""COMPUTED_VALUE"""),21800.0)</f>
        <v>21800</v>
      </c>
      <c r="C2786" s="1">
        <f>IFERROR(__xludf.DUMMYFUNCTION("""COMPUTED_VALUE"""),22000.0)</f>
        <v>22000</v>
      </c>
      <c r="D2786" s="1">
        <f>IFERROR(__xludf.DUMMYFUNCTION("""COMPUTED_VALUE"""),21750.0)</f>
        <v>21750</v>
      </c>
      <c r="E2786" s="1">
        <f>IFERROR(__xludf.DUMMYFUNCTION("""COMPUTED_VALUE"""),21950.0)</f>
        <v>21950</v>
      </c>
      <c r="F2786" s="1">
        <f>IFERROR(__xludf.DUMMYFUNCTION("""COMPUTED_VALUE"""),15355.0)</f>
        <v>15355</v>
      </c>
    </row>
    <row r="2787">
      <c r="A2787" s="2">
        <f>IFERROR(__xludf.DUMMYFUNCTION("""COMPUTED_VALUE"""),45044.64583333333)</f>
        <v>45044.64583</v>
      </c>
      <c r="B2787" s="1">
        <f>IFERROR(__xludf.DUMMYFUNCTION("""COMPUTED_VALUE"""),22150.0)</f>
        <v>22150</v>
      </c>
      <c r="C2787" s="1">
        <f>IFERROR(__xludf.DUMMYFUNCTION("""COMPUTED_VALUE"""),22300.0)</f>
        <v>22300</v>
      </c>
      <c r="D2787" s="1">
        <f>IFERROR(__xludf.DUMMYFUNCTION("""COMPUTED_VALUE"""),21800.0)</f>
        <v>21800</v>
      </c>
      <c r="E2787" s="1">
        <f>IFERROR(__xludf.DUMMYFUNCTION("""COMPUTED_VALUE"""),21950.0)</f>
        <v>21950</v>
      </c>
      <c r="F2787" s="1">
        <f>IFERROR(__xludf.DUMMYFUNCTION("""COMPUTED_VALUE"""),16806.0)</f>
        <v>16806</v>
      </c>
    </row>
    <row r="2788">
      <c r="A2788" s="2">
        <f>IFERROR(__xludf.DUMMYFUNCTION("""COMPUTED_VALUE"""),45048.64583333333)</f>
        <v>45048.64583</v>
      </c>
      <c r="B2788" s="1">
        <f>IFERROR(__xludf.DUMMYFUNCTION("""COMPUTED_VALUE"""),21950.0)</f>
        <v>21950</v>
      </c>
      <c r="C2788" s="1">
        <f>IFERROR(__xludf.DUMMYFUNCTION("""COMPUTED_VALUE"""),22250.0)</f>
        <v>22250</v>
      </c>
      <c r="D2788" s="1">
        <f>IFERROR(__xludf.DUMMYFUNCTION("""COMPUTED_VALUE"""),21900.0)</f>
        <v>21900</v>
      </c>
      <c r="E2788" s="1">
        <f>IFERROR(__xludf.DUMMYFUNCTION("""COMPUTED_VALUE"""),22200.0)</f>
        <v>22200</v>
      </c>
      <c r="F2788" s="1">
        <f>IFERROR(__xludf.DUMMYFUNCTION("""COMPUTED_VALUE"""),21311.0)</f>
        <v>21311</v>
      </c>
    </row>
    <row r="2789">
      <c r="A2789" s="2">
        <f>IFERROR(__xludf.DUMMYFUNCTION("""COMPUTED_VALUE"""),45049.64583333333)</f>
        <v>45049.64583</v>
      </c>
      <c r="B2789" s="1">
        <f>IFERROR(__xludf.DUMMYFUNCTION("""COMPUTED_VALUE"""),22050.0)</f>
        <v>22050</v>
      </c>
      <c r="C2789" s="1">
        <f>IFERROR(__xludf.DUMMYFUNCTION("""COMPUTED_VALUE"""),22350.0)</f>
        <v>22350</v>
      </c>
      <c r="D2789" s="1">
        <f>IFERROR(__xludf.DUMMYFUNCTION("""COMPUTED_VALUE"""),22000.0)</f>
        <v>22000</v>
      </c>
      <c r="E2789" s="1">
        <f>IFERROR(__xludf.DUMMYFUNCTION("""COMPUTED_VALUE"""),22150.0)</f>
        <v>22150</v>
      </c>
      <c r="F2789" s="1">
        <f>IFERROR(__xludf.DUMMYFUNCTION("""COMPUTED_VALUE"""),14177.0)</f>
        <v>14177</v>
      </c>
    </row>
    <row r="2790">
      <c r="A2790" s="2">
        <f>IFERROR(__xludf.DUMMYFUNCTION("""COMPUTED_VALUE"""),45050.64583333333)</f>
        <v>45050.64583</v>
      </c>
      <c r="B2790" s="1">
        <f>IFERROR(__xludf.DUMMYFUNCTION("""COMPUTED_VALUE"""),22050.0)</f>
        <v>22050</v>
      </c>
      <c r="C2790" s="1">
        <f>IFERROR(__xludf.DUMMYFUNCTION("""COMPUTED_VALUE"""),22400.0)</f>
        <v>22400</v>
      </c>
      <c r="D2790" s="1">
        <f>IFERROR(__xludf.DUMMYFUNCTION("""COMPUTED_VALUE"""),22050.0)</f>
        <v>22050</v>
      </c>
      <c r="E2790" s="1">
        <f>IFERROR(__xludf.DUMMYFUNCTION("""COMPUTED_VALUE"""),22150.0)</f>
        <v>22150</v>
      </c>
      <c r="F2790" s="1">
        <f>IFERROR(__xludf.DUMMYFUNCTION("""COMPUTED_VALUE"""),12954.0)</f>
        <v>12954</v>
      </c>
    </row>
    <row r="2791">
      <c r="A2791" s="2">
        <f>IFERROR(__xludf.DUMMYFUNCTION("""COMPUTED_VALUE"""),45054.64583333333)</f>
        <v>45054.64583</v>
      </c>
      <c r="B2791" s="1">
        <f>IFERROR(__xludf.DUMMYFUNCTION("""COMPUTED_VALUE"""),22150.0)</f>
        <v>22150</v>
      </c>
      <c r="C2791" s="1">
        <f>IFERROR(__xludf.DUMMYFUNCTION("""COMPUTED_VALUE"""),22350.0)</f>
        <v>22350</v>
      </c>
      <c r="D2791" s="1">
        <f>IFERROR(__xludf.DUMMYFUNCTION("""COMPUTED_VALUE"""),22100.0)</f>
        <v>22100</v>
      </c>
      <c r="E2791" s="1">
        <f>IFERROR(__xludf.DUMMYFUNCTION("""COMPUTED_VALUE"""),22200.0)</f>
        <v>22200</v>
      </c>
      <c r="F2791" s="1">
        <f>IFERROR(__xludf.DUMMYFUNCTION("""COMPUTED_VALUE"""),14321.0)</f>
        <v>14321</v>
      </c>
    </row>
    <row r="2792">
      <c r="A2792" s="2">
        <f>IFERROR(__xludf.DUMMYFUNCTION("""COMPUTED_VALUE"""),45055.64583333333)</f>
        <v>45055.64583</v>
      </c>
      <c r="B2792" s="1">
        <f>IFERROR(__xludf.DUMMYFUNCTION("""COMPUTED_VALUE"""),21900.0)</f>
        <v>21900</v>
      </c>
      <c r="C2792" s="1">
        <f>IFERROR(__xludf.DUMMYFUNCTION("""COMPUTED_VALUE"""),22450.0)</f>
        <v>22450</v>
      </c>
      <c r="D2792" s="1">
        <f>IFERROR(__xludf.DUMMYFUNCTION("""COMPUTED_VALUE"""),21900.0)</f>
        <v>21900</v>
      </c>
      <c r="E2792" s="1">
        <f>IFERROR(__xludf.DUMMYFUNCTION("""COMPUTED_VALUE"""),22050.0)</f>
        <v>22050</v>
      </c>
      <c r="F2792" s="1">
        <f>IFERROR(__xludf.DUMMYFUNCTION("""COMPUTED_VALUE"""),8176.0)</f>
        <v>8176</v>
      </c>
    </row>
    <row r="2793">
      <c r="A2793" s="2">
        <f>IFERROR(__xludf.DUMMYFUNCTION("""COMPUTED_VALUE"""),45056.64583333333)</f>
        <v>45056.64583</v>
      </c>
      <c r="B2793" s="1">
        <f>IFERROR(__xludf.DUMMYFUNCTION("""COMPUTED_VALUE"""),22050.0)</f>
        <v>22050</v>
      </c>
      <c r="C2793" s="1">
        <f>IFERROR(__xludf.DUMMYFUNCTION("""COMPUTED_VALUE"""),22300.0)</f>
        <v>22300</v>
      </c>
      <c r="D2793" s="1">
        <f>IFERROR(__xludf.DUMMYFUNCTION("""COMPUTED_VALUE"""),21900.0)</f>
        <v>21900</v>
      </c>
      <c r="E2793" s="1">
        <f>IFERROR(__xludf.DUMMYFUNCTION("""COMPUTED_VALUE"""),22200.0)</f>
        <v>22200</v>
      </c>
      <c r="F2793" s="1">
        <f>IFERROR(__xludf.DUMMYFUNCTION("""COMPUTED_VALUE"""),12785.0)</f>
        <v>12785</v>
      </c>
    </row>
    <row r="2794">
      <c r="A2794" s="2">
        <f>IFERROR(__xludf.DUMMYFUNCTION("""COMPUTED_VALUE"""),45057.64583333333)</f>
        <v>45057.64583</v>
      </c>
      <c r="B2794" s="1">
        <f>IFERROR(__xludf.DUMMYFUNCTION("""COMPUTED_VALUE"""),22000.0)</f>
        <v>22000</v>
      </c>
      <c r="C2794" s="1">
        <f>IFERROR(__xludf.DUMMYFUNCTION("""COMPUTED_VALUE"""),22450.0)</f>
        <v>22450</v>
      </c>
      <c r="D2794" s="1">
        <f>IFERROR(__xludf.DUMMYFUNCTION("""COMPUTED_VALUE"""),22000.0)</f>
        <v>22000</v>
      </c>
      <c r="E2794" s="1">
        <f>IFERROR(__xludf.DUMMYFUNCTION("""COMPUTED_VALUE"""),22450.0)</f>
        <v>22450</v>
      </c>
      <c r="F2794" s="1">
        <f>IFERROR(__xludf.DUMMYFUNCTION("""COMPUTED_VALUE"""),18991.0)</f>
        <v>18991</v>
      </c>
    </row>
    <row r="2795">
      <c r="A2795" s="2">
        <f>IFERROR(__xludf.DUMMYFUNCTION("""COMPUTED_VALUE"""),45058.64583333333)</f>
        <v>45058.64583</v>
      </c>
      <c r="B2795" s="1">
        <f>IFERROR(__xludf.DUMMYFUNCTION("""COMPUTED_VALUE"""),22200.0)</f>
        <v>22200</v>
      </c>
      <c r="C2795" s="1">
        <f>IFERROR(__xludf.DUMMYFUNCTION("""COMPUTED_VALUE"""),22650.0)</f>
        <v>22650</v>
      </c>
      <c r="D2795" s="1">
        <f>IFERROR(__xludf.DUMMYFUNCTION("""COMPUTED_VALUE"""),22100.0)</f>
        <v>22100</v>
      </c>
      <c r="E2795" s="1">
        <f>IFERROR(__xludf.DUMMYFUNCTION("""COMPUTED_VALUE"""),22300.0)</f>
        <v>22300</v>
      </c>
      <c r="F2795" s="1">
        <f>IFERROR(__xludf.DUMMYFUNCTION("""COMPUTED_VALUE"""),10903.0)</f>
        <v>10903</v>
      </c>
    </row>
    <row r="2796">
      <c r="A2796" s="2">
        <f>IFERROR(__xludf.DUMMYFUNCTION("""COMPUTED_VALUE"""),45061.64583333333)</f>
        <v>45061.64583</v>
      </c>
      <c r="B2796" s="1">
        <f>IFERROR(__xludf.DUMMYFUNCTION("""COMPUTED_VALUE"""),22100.0)</f>
        <v>22100</v>
      </c>
      <c r="C2796" s="1">
        <f>IFERROR(__xludf.DUMMYFUNCTION("""COMPUTED_VALUE"""),22350.0)</f>
        <v>22350</v>
      </c>
      <c r="D2796" s="1">
        <f>IFERROR(__xludf.DUMMYFUNCTION("""COMPUTED_VALUE"""),21900.0)</f>
        <v>21900</v>
      </c>
      <c r="E2796" s="1">
        <f>IFERROR(__xludf.DUMMYFUNCTION("""COMPUTED_VALUE"""),21950.0)</f>
        <v>21950</v>
      </c>
      <c r="F2796" s="1">
        <f>IFERROR(__xludf.DUMMYFUNCTION("""COMPUTED_VALUE"""),12771.0)</f>
        <v>12771</v>
      </c>
    </row>
    <row r="2797">
      <c r="A2797" s="2">
        <f>IFERROR(__xludf.DUMMYFUNCTION("""COMPUTED_VALUE"""),45062.64583333333)</f>
        <v>45062.64583</v>
      </c>
      <c r="B2797" s="1">
        <f>IFERROR(__xludf.DUMMYFUNCTION("""COMPUTED_VALUE"""),21750.0)</f>
        <v>21750</v>
      </c>
      <c r="C2797" s="1">
        <f>IFERROR(__xludf.DUMMYFUNCTION("""COMPUTED_VALUE"""),22150.0)</f>
        <v>22150</v>
      </c>
      <c r="D2797" s="1">
        <f>IFERROR(__xludf.DUMMYFUNCTION("""COMPUTED_VALUE"""),21750.0)</f>
        <v>21750</v>
      </c>
      <c r="E2797" s="1">
        <f>IFERROR(__xludf.DUMMYFUNCTION("""COMPUTED_VALUE"""),21950.0)</f>
        <v>21950</v>
      </c>
      <c r="F2797" s="1">
        <f>IFERROR(__xludf.DUMMYFUNCTION("""COMPUTED_VALUE"""),13342.0)</f>
        <v>13342</v>
      </c>
    </row>
    <row r="2798">
      <c r="A2798" s="2">
        <f>IFERROR(__xludf.DUMMYFUNCTION("""COMPUTED_VALUE"""),45063.64583333333)</f>
        <v>45063.64583</v>
      </c>
      <c r="B2798" s="1">
        <f>IFERROR(__xludf.DUMMYFUNCTION("""COMPUTED_VALUE"""),21700.0)</f>
        <v>21700</v>
      </c>
      <c r="C2798" s="1">
        <f>IFERROR(__xludf.DUMMYFUNCTION("""COMPUTED_VALUE"""),22000.0)</f>
        <v>22000</v>
      </c>
      <c r="D2798" s="1">
        <f>IFERROR(__xludf.DUMMYFUNCTION("""COMPUTED_VALUE"""),21700.0)</f>
        <v>21700</v>
      </c>
      <c r="E2798" s="1">
        <f>IFERROR(__xludf.DUMMYFUNCTION("""COMPUTED_VALUE"""),21900.0)</f>
        <v>21900</v>
      </c>
      <c r="F2798" s="1">
        <f>IFERROR(__xludf.DUMMYFUNCTION("""COMPUTED_VALUE"""),12030.0)</f>
        <v>12030</v>
      </c>
    </row>
    <row r="2799">
      <c r="A2799" s="2">
        <f>IFERROR(__xludf.DUMMYFUNCTION("""COMPUTED_VALUE"""),45064.64583333333)</f>
        <v>45064.64583</v>
      </c>
      <c r="B2799" s="1">
        <f>IFERROR(__xludf.DUMMYFUNCTION("""COMPUTED_VALUE"""),21950.0)</f>
        <v>21950</v>
      </c>
      <c r="C2799" s="1">
        <f>IFERROR(__xludf.DUMMYFUNCTION("""COMPUTED_VALUE"""),22500.0)</f>
        <v>22500</v>
      </c>
      <c r="D2799" s="1">
        <f>IFERROR(__xludf.DUMMYFUNCTION("""COMPUTED_VALUE"""),21850.0)</f>
        <v>21850</v>
      </c>
      <c r="E2799" s="1">
        <f>IFERROR(__xludf.DUMMYFUNCTION("""COMPUTED_VALUE"""),22350.0)</f>
        <v>22350</v>
      </c>
      <c r="F2799" s="1">
        <f>IFERROR(__xludf.DUMMYFUNCTION("""COMPUTED_VALUE"""),19189.0)</f>
        <v>19189</v>
      </c>
    </row>
    <row r="2800">
      <c r="A2800" s="2">
        <f>IFERROR(__xludf.DUMMYFUNCTION("""COMPUTED_VALUE"""),45065.64583333333)</f>
        <v>45065.64583</v>
      </c>
      <c r="B2800" s="1">
        <f>IFERROR(__xludf.DUMMYFUNCTION("""COMPUTED_VALUE"""),22550.0)</f>
        <v>22550</v>
      </c>
      <c r="C2800" s="1">
        <f>IFERROR(__xludf.DUMMYFUNCTION("""COMPUTED_VALUE"""),23900.0)</f>
        <v>23900</v>
      </c>
      <c r="D2800" s="1">
        <f>IFERROR(__xludf.DUMMYFUNCTION("""COMPUTED_VALUE"""),22100.0)</f>
        <v>22100</v>
      </c>
      <c r="E2800" s="1">
        <f>IFERROR(__xludf.DUMMYFUNCTION("""COMPUTED_VALUE"""),22700.0)</f>
        <v>22700</v>
      </c>
      <c r="F2800" s="1">
        <f>IFERROR(__xludf.DUMMYFUNCTION("""COMPUTED_VALUE"""),167457.0)</f>
        <v>167457</v>
      </c>
    </row>
    <row r="2801">
      <c r="A2801" s="2">
        <f>IFERROR(__xludf.DUMMYFUNCTION("""COMPUTED_VALUE"""),45068.64583333333)</f>
        <v>45068.64583</v>
      </c>
      <c r="B2801" s="1">
        <f>IFERROR(__xludf.DUMMYFUNCTION("""COMPUTED_VALUE"""),22600.0)</f>
        <v>22600</v>
      </c>
      <c r="C2801" s="1">
        <f>IFERROR(__xludf.DUMMYFUNCTION("""COMPUTED_VALUE"""),23000.0)</f>
        <v>23000</v>
      </c>
      <c r="D2801" s="1">
        <f>IFERROR(__xludf.DUMMYFUNCTION("""COMPUTED_VALUE"""),22500.0)</f>
        <v>22500</v>
      </c>
      <c r="E2801" s="1">
        <f>IFERROR(__xludf.DUMMYFUNCTION("""COMPUTED_VALUE"""),22800.0)</f>
        <v>22800</v>
      </c>
      <c r="F2801" s="1">
        <f>IFERROR(__xludf.DUMMYFUNCTION("""COMPUTED_VALUE"""),39440.0)</f>
        <v>39440</v>
      </c>
    </row>
    <row r="2802">
      <c r="A2802" s="2">
        <f>IFERROR(__xludf.DUMMYFUNCTION("""COMPUTED_VALUE"""),45069.64583333333)</f>
        <v>45069.64583</v>
      </c>
      <c r="B2802" s="1">
        <f>IFERROR(__xludf.DUMMYFUNCTION("""COMPUTED_VALUE"""),22800.0)</f>
        <v>22800</v>
      </c>
      <c r="C2802" s="1">
        <f>IFERROR(__xludf.DUMMYFUNCTION("""COMPUTED_VALUE"""),22950.0)</f>
        <v>22950</v>
      </c>
      <c r="D2802" s="1">
        <f>IFERROR(__xludf.DUMMYFUNCTION("""COMPUTED_VALUE"""),22500.0)</f>
        <v>22500</v>
      </c>
      <c r="E2802" s="1">
        <f>IFERROR(__xludf.DUMMYFUNCTION("""COMPUTED_VALUE"""),22650.0)</f>
        <v>22650</v>
      </c>
      <c r="F2802" s="1">
        <f>IFERROR(__xludf.DUMMYFUNCTION("""COMPUTED_VALUE"""),20936.0)</f>
        <v>20936</v>
      </c>
    </row>
    <row r="2803">
      <c r="A2803" s="2">
        <f>IFERROR(__xludf.DUMMYFUNCTION("""COMPUTED_VALUE"""),45070.64583333333)</f>
        <v>45070.64583</v>
      </c>
      <c r="B2803" s="1">
        <f>IFERROR(__xludf.DUMMYFUNCTION("""COMPUTED_VALUE"""),22650.0)</f>
        <v>22650</v>
      </c>
      <c r="C2803" s="1">
        <f>IFERROR(__xludf.DUMMYFUNCTION("""COMPUTED_VALUE"""),22650.0)</f>
        <v>22650</v>
      </c>
      <c r="D2803" s="1">
        <f>IFERROR(__xludf.DUMMYFUNCTION("""COMPUTED_VALUE"""),22350.0)</f>
        <v>22350</v>
      </c>
      <c r="E2803" s="1">
        <f>IFERROR(__xludf.DUMMYFUNCTION("""COMPUTED_VALUE"""),22350.0)</f>
        <v>22350</v>
      </c>
      <c r="F2803" s="1">
        <f>IFERROR(__xludf.DUMMYFUNCTION("""COMPUTED_VALUE"""),10314.0)</f>
        <v>10314</v>
      </c>
    </row>
    <row r="2804">
      <c r="A2804" s="2">
        <f>IFERROR(__xludf.DUMMYFUNCTION("""COMPUTED_VALUE"""),45071.64583333333)</f>
        <v>45071.64583</v>
      </c>
      <c r="B2804" s="1">
        <f>IFERROR(__xludf.DUMMYFUNCTION("""COMPUTED_VALUE"""),22350.0)</f>
        <v>22350</v>
      </c>
      <c r="C2804" s="1">
        <f>IFERROR(__xludf.DUMMYFUNCTION("""COMPUTED_VALUE"""),22500.0)</f>
        <v>22500</v>
      </c>
      <c r="D2804" s="1">
        <f>IFERROR(__xludf.DUMMYFUNCTION("""COMPUTED_VALUE"""),22050.0)</f>
        <v>22050</v>
      </c>
      <c r="E2804" s="1">
        <f>IFERROR(__xludf.DUMMYFUNCTION("""COMPUTED_VALUE"""),22050.0)</f>
        <v>22050</v>
      </c>
      <c r="F2804" s="1">
        <f>IFERROR(__xludf.DUMMYFUNCTION("""COMPUTED_VALUE"""),26049.0)</f>
        <v>26049</v>
      </c>
    </row>
    <row r="2805">
      <c r="A2805" s="2">
        <f>IFERROR(__xludf.DUMMYFUNCTION("""COMPUTED_VALUE"""),45072.64583333333)</f>
        <v>45072.64583</v>
      </c>
      <c r="B2805" s="1">
        <f>IFERROR(__xludf.DUMMYFUNCTION("""COMPUTED_VALUE"""),22000.0)</f>
        <v>22000</v>
      </c>
      <c r="C2805" s="1">
        <f>IFERROR(__xludf.DUMMYFUNCTION("""COMPUTED_VALUE"""),22200.0)</f>
        <v>22200</v>
      </c>
      <c r="D2805" s="1">
        <f>IFERROR(__xludf.DUMMYFUNCTION("""COMPUTED_VALUE"""),21750.0)</f>
        <v>21750</v>
      </c>
      <c r="E2805" s="1">
        <f>IFERROR(__xludf.DUMMYFUNCTION("""COMPUTED_VALUE"""),22050.0)</f>
        <v>22050</v>
      </c>
      <c r="F2805" s="1">
        <f>IFERROR(__xludf.DUMMYFUNCTION("""COMPUTED_VALUE"""),27402.0)</f>
        <v>27402</v>
      </c>
    </row>
    <row r="2806">
      <c r="A2806" s="2">
        <f>IFERROR(__xludf.DUMMYFUNCTION("""COMPUTED_VALUE"""),45076.64583333333)</f>
        <v>45076.64583</v>
      </c>
      <c r="B2806" s="1">
        <f>IFERROR(__xludf.DUMMYFUNCTION("""COMPUTED_VALUE"""),22050.0)</f>
        <v>22050</v>
      </c>
      <c r="C2806" s="1">
        <f>IFERROR(__xludf.DUMMYFUNCTION("""COMPUTED_VALUE"""),22250.0)</f>
        <v>22250</v>
      </c>
      <c r="D2806" s="1">
        <f>IFERROR(__xludf.DUMMYFUNCTION("""COMPUTED_VALUE"""),22000.0)</f>
        <v>22000</v>
      </c>
      <c r="E2806" s="1">
        <f>IFERROR(__xludf.DUMMYFUNCTION("""COMPUTED_VALUE"""),22150.0)</f>
        <v>22150</v>
      </c>
      <c r="F2806" s="1">
        <f>IFERROR(__xludf.DUMMYFUNCTION("""COMPUTED_VALUE"""),13540.0)</f>
        <v>13540</v>
      </c>
    </row>
    <row r="2807">
      <c r="A2807" s="2">
        <f>IFERROR(__xludf.DUMMYFUNCTION("""COMPUTED_VALUE"""),45077.64583333333)</f>
        <v>45077.64583</v>
      </c>
      <c r="B2807" s="1">
        <f>IFERROR(__xludf.DUMMYFUNCTION("""COMPUTED_VALUE"""),22150.0)</f>
        <v>22150</v>
      </c>
      <c r="C2807" s="1">
        <f>IFERROR(__xludf.DUMMYFUNCTION("""COMPUTED_VALUE"""),22200.0)</f>
        <v>22200</v>
      </c>
      <c r="D2807" s="1">
        <f>IFERROR(__xludf.DUMMYFUNCTION("""COMPUTED_VALUE"""),22000.0)</f>
        <v>22000</v>
      </c>
      <c r="E2807" s="1">
        <f>IFERROR(__xludf.DUMMYFUNCTION("""COMPUTED_VALUE"""),22200.0)</f>
        <v>22200</v>
      </c>
      <c r="F2807" s="1">
        <f>IFERROR(__xludf.DUMMYFUNCTION("""COMPUTED_VALUE"""),8280.0)</f>
        <v>8280</v>
      </c>
    </row>
    <row r="2808">
      <c r="A2808" s="2">
        <f>IFERROR(__xludf.DUMMYFUNCTION("""COMPUTED_VALUE"""),45078.64583333333)</f>
        <v>45078.64583</v>
      </c>
      <c r="B2808" s="1">
        <f>IFERROR(__xludf.DUMMYFUNCTION("""COMPUTED_VALUE"""),22000.0)</f>
        <v>22000</v>
      </c>
      <c r="C2808" s="1">
        <f>IFERROR(__xludf.DUMMYFUNCTION("""COMPUTED_VALUE"""),22200.0)</f>
        <v>22200</v>
      </c>
      <c r="D2808" s="1">
        <f>IFERROR(__xludf.DUMMYFUNCTION("""COMPUTED_VALUE"""),21950.0)</f>
        <v>21950</v>
      </c>
      <c r="E2808" s="1">
        <f>IFERROR(__xludf.DUMMYFUNCTION("""COMPUTED_VALUE"""),22100.0)</f>
        <v>22100</v>
      </c>
      <c r="F2808" s="1">
        <f>IFERROR(__xludf.DUMMYFUNCTION("""COMPUTED_VALUE"""),8855.0)</f>
        <v>8855</v>
      </c>
    </row>
    <row r="2809">
      <c r="A2809" s="2">
        <f>IFERROR(__xludf.DUMMYFUNCTION("""COMPUTED_VALUE"""),45079.64583333333)</f>
        <v>45079.64583</v>
      </c>
      <c r="B2809" s="1">
        <f>IFERROR(__xludf.DUMMYFUNCTION("""COMPUTED_VALUE"""),22000.0)</f>
        <v>22000</v>
      </c>
      <c r="C2809" s="1">
        <f>IFERROR(__xludf.DUMMYFUNCTION("""COMPUTED_VALUE"""),22150.0)</f>
        <v>22150</v>
      </c>
      <c r="D2809" s="1">
        <f>IFERROR(__xludf.DUMMYFUNCTION("""COMPUTED_VALUE"""),21950.0)</f>
        <v>21950</v>
      </c>
      <c r="E2809" s="1">
        <f>IFERROR(__xludf.DUMMYFUNCTION("""COMPUTED_VALUE"""),22100.0)</f>
        <v>22100</v>
      </c>
      <c r="F2809" s="1">
        <f>IFERROR(__xludf.DUMMYFUNCTION("""COMPUTED_VALUE"""),14178.0)</f>
        <v>14178</v>
      </c>
    </row>
    <row r="2810">
      <c r="A2810" s="2">
        <f>IFERROR(__xludf.DUMMYFUNCTION("""COMPUTED_VALUE"""),45082.64583333333)</f>
        <v>45082.64583</v>
      </c>
      <c r="B2810" s="1">
        <f>IFERROR(__xludf.DUMMYFUNCTION("""COMPUTED_VALUE"""),22100.0)</f>
        <v>22100</v>
      </c>
      <c r="C2810" s="1">
        <f>IFERROR(__xludf.DUMMYFUNCTION("""COMPUTED_VALUE"""),22200.0)</f>
        <v>22200</v>
      </c>
      <c r="D2810" s="1">
        <f>IFERROR(__xludf.DUMMYFUNCTION("""COMPUTED_VALUE"""),22100.0)</f>
        <v>22100</v>
      </c>
      <c r="E2810" s="1">
        <f>IFERROR(__xludf.DUMMYFUNCTION("""COMPUTED_VALUE"""),22150.0)</f>
        <v>22150</v>
      </c>
      <c r="F2810" s="1">
        <f>IFERROR(__xludf.DUMMYFUNCTION("""COMPUTED_VALUE"""),12674.0)</f>
        <v>12674</v>
      </c>
    </row>
    <row r="2811">
      <c r="A2811" s="2">
        <f>IFERROR(__xludf.DUMMYFUNCTION("""COMPUTED_VALUE"""),45084.64583333333)</f>
        <v>45084.64583</v>
      </c>
      <c r="B2811" s="1">
        <f>IFERROR(__xludf.DUMMYFUNCTION("""COMPUTED_VALUE"""),22000.0)</f>
        <v>22000</v>
      </c>
      <c r="C2811" s="1">
        <f>IFERROR(__xludf.DUMMYFUNCTION("""COMPUTED_VALUE"""),22450.0)</f>
        <v>22450</v>
      </c>
      <c r="D2811" s="1">
        <f>IFERROR(__xludf.DUMMYFUNCTION("""COMPUTED_VALUE"""),22000.0)</f>
        <v>22000</v>
      </c>
      <c r="E2811" s="1">
        <f>IFERROR(__xludf.DUMMYFUNCTION("""COMPUTED_VALUE"""),22100.0)</f>
        <v>22100</v>
      </c>
      <c r="F2811" s="1">
        <f>IFERROR(__xludf.DUMMYFUNCTION("""COMPUTED_VALUE"""),16764.0)</f>
        <v>16764</v>
      </c>
    </row>
    <row r="2812">
      <c r="A2812" s="2">
        <f>IFERROR(__xludf.DUMMYFUNCTION("""COMPUTED_VALUE"""),45085.64583333333)</f>
        <v>45085.64583</v>
      </c>
      <c r="B2812" s="1">
        <f>IFERROR(__xludf.DUMMYFUNCTION("""COMPUTED_VALUE"""),21950.0)</f>
        <v>21950</v>
      </c>
      <c r="C2812" s="1">
        <f>IFERROR(__xludf.DUMMYFUNCTION("""COMPUTED_VALUE"""),22200.0)</f>
        <v>22200</v>
      </c>
      <c r="D2812" s="1">
        <f>IFERROR(__xludf.DUMMYFUNCTION("""COMPUTED_VALUE"""),21800.0)</f>
        <v>21800</v>
      </c>
      <c r="E2812" s="1">
        <f>IFERROR(__xludf.DUMMYFUNCTION("""COMPUTED_VALUE"""),22000.0)</f>
        <v>22000</v>
      </c>
      <c r="F2812" s="1">
        <f>IFERROR(__xludf.DUMMYFUNCTION("""COMPUTED_VALUE"""),16242.0)</f>
        <v>16242</v>
      </c>
    </row>
    <row r="2813">
      <c r="A2813" s="2">
        <f>IFERROR(__xludf.DUMMYFUNCTION("""COMPUTED_VALUE"""),45086.64583333333)</f>
        <v>45086.64583</v>
      </c>
      <c r="B2813" s="1">
        <f>IFERROR(__xludf.DUMMYFUNCTION("""COMPUTED_VALUE"""),22000.0)</f>
        <v>22000</v>
      </c>
      <c r="C2813" s="1">
        <f>IFERROR(__xludf.DUMMYFUNCTION("""COMPUTED_VALUE"""),22250.0)</f>
        <v>22250</v>
      </c>
      <c r="D2813" s="1">
        <f>IFERROR(__xludf.DUMMYFUNCTION("""COMPUTED_VALUE"""),21950.0)</f>
        <v>21950</v>
      </c>
      <c r="E2813" s="1">
        <f>IFERROR(__xludf.DUMMYFUNCTION("""COMPUTED_VALUE"""),22200.0)</f>
        <v>22200</v>
      </c>
      <c r="F2813" s="1">
        <f>IFERROR(__xludf.DUMMYFUNCTION("""COMPUTED_VALUE"""),9640.0)</f>
        <v>9640</v>
      </c>
    </row>
    <row r="2814">
      <c r="A2814" s="2">
        <f>IFERROR(__xludf.DUMMYFUNCTION("""COMPUTED_VALUE"""),45089.64583333333)</f>
        <v>45089.64583</v>
      </c>
      <c r="B2814" s="1">
        <f>IFERROR(__xludf.DUMMYFUNCTION("""COMPUTED_VALUE"""),22100.0)</f>
        <v>22100</v>
      </c>
      <c r="C2814" s="1">
        <f>IFERROR(__xludf.DUMMYFUNCTION("""COMPUTED_VALUE"""),22300.0)</f>
        <v>22300</v>
      </c>
      <c r="D2814" s="1">
        <f>IFERROR(__xludf.DUMMYFUNCTION("""COMPUTED_VALUE"""),22000.0)</f>
        <v>22000</v>
      </c>
      <c r="E2814" s="1">
        <f>IFERROR(__xludf.DUMMYFUNCTION("""COMPUTED_VALUE"""),22000.0)</f>
        <v>22000</v>
      </c>
      <c r="F2814" s="1">
        <f>IFERROR(__xludf.DUMMYFUNCTION("""COMPUTED_VALUE"""),12519.0)</f>
        <v>12519</v>
      </c>
    </row>
    <row r="2815">
      <c r="A2815" s="2">
        <f>IFERROR(__xludf.DUMMYFUNCTION("""COMPUTED_VALUE"""),45090.64583333333)</f>
        <v>45090.64583</v>
      </c>
      <c r="B2815" s="1">
        <f>IFERROR(__xludf.DUMMYFUNCTION("""COMPUTED_VALUE"""),21950.0)</f>
        <v>21950</v>
      </c>
      <c r="C2815" s="1">
        <f>IFERROR(__xludf.DUMMYFUNCTION("""COMPUTED_VALUE"""),22300.0)</f>
        <v>22300</v>
      </c>
      <c r="D2815" s="1">
        <f>IFERROR(__xludf.DUMMYFUNCTION("""COMPUTED_VALUE"""),21950.0)</f>
        <v>21950</v>
      </c>
      <c r="E2815" s="1">
        <f>IFERROR(__xludf.DUMMYFUNCTION("""COMPUTED_VALUE"""),22100.0)</f>
        <v>22100</v>
      </c>
      <c r="F2815" s="1">
        <f>IFERROR(__xludf.DUMMYFUNCTION("""COMPUTED_VALUE"""),16845.0)</f>
        <v>16845</v>
      </c>
    </row>
    <row r="2816">
      <c r="A2816" s="2">
        <f>IFERROR(__xludf.DUMMYFUNCTION("""COMPUTED_VALUE"""),45091.64583333333)</f>
        <v>45091.64583</v>
      </c>
      <c r="B2816" s="1">
        <f>IFERROR(__xludf.DUMMYFUNCTION("""COMPUTED_VALUE"""),22100.0)</f>
        <v>22100</v>
      </c>
      <c r="C2816" s="1">
        <f>IFERROR(__xludf.DUMMYFUNCTION("""COMPUTED_VALUE"""),22500.0)</f>
        <v>22500</v>
      </c>
      <c r="D2816" s="1">
        <f>IFERROR(__xludf.DUMMYFUNCTION("""COMPUTED_VALUE"""),21950.0)</f>
        <v>21950</v>
      </c>
      <c r="E2816" s="1">
        <f>IFERROR(__xludf.DUMMYFUNCTION("""COMPUTED_VALUE"""),22250.0)</f>
        <v>22250</v>
      </c>
      <c r="F2816" s="1">
        <f>IFERROR(__xludf.DUMMYFUNCTION("""COMPUTED_VALUE"""),36781.0)</f>
        <v>36781</v>
      </c>
    </row>
    <row r="2817">
      <c r="A2817" s="2">
        <f>IFERROR(__xludf.DUMMYFUNCTION("""COMPUTED_VALUE"""),45092.64583333333)</f>
        <v>45092.64583</v>
      </c>
      <c r="B2817" s="1">
        <f>IFERROR(__xludf.DUMMYFUNCTION("""COMPUTED_VALUE"""),22300.0)</f>
        <v>22300</v>
      </c>
      <c r="C2817" s="1">
        <f>IFERROR(__xludf.DUMMYFUNCTION("""COMPUTED_VALUE"""),22400.0)</f>
        <v>22400</v>
      </c>
      <c r="D2817" s="1">
        <f>IFERROR(__xludf.DUMMYFUNCTION("""COMPUTED_VALUE"""),22000.0)</f>
        <v>22000</v>
      </c>
      <c r="E2817" s="1">
        <f>IFERROR(__xludf.DUMMYFUNCTION("""COMPUTED_VALUE"""),22000.0)</f>
        <v>22000</v>
      </c>
      <c r="F2817" s="1">
        <f>IFERROR(__xludf.DUMMYFUNCTION("""COMPUTED_VALUE"""),13642.0)</f>
        <v>13642</v>
      </c>
    </row>
    <row r="2818">
      <c r="A2818" s="2">
        <f>IFERROR(__xludf.DUMMYFUNCTION("""COMPUTED_VALUE"""),45093.64583333333)</f>
        <v>45093.64583</v>
      </c>
      <c r="B2818" s="1">
        <f>IFERROR(__xludf.DUMMYFUNCTION("""COMPUTED_VALUE"""),22000.0)</f>
        <v>22000</v>
      </c>
      <c r="C2818" s="1">
        <f>IFERROR(__xludf.DUMMYFUNCTION("""COMPUTED_VALUE"""),22100.0)</f>
        <v>22100</v>
      </c>
      <c r="D2818" s="1">
        <f>IFERROR(__xludf.DUMMYFUNCTION("""COMPUTED_VALUE"""),21900.0)</f>
        <v>21900</v>
      </c>
      <c r="E2818" s="1">
        <f>IFERROR(__xludf.DUMMYFUNCTION("""COMPUTED_VALUE"""),22100.0)</f>
        <v>22100</v>
      </c>
      <c r="F2818" s="1">
        <f>IFERROR(__xludf.DUMMYFUNCTION("""COMPUTED_VALUE"""),11549.0)</f>
        <v>11549</v>
      </c>
    </row>
    <row r="2819">
      <c r="A2819" s="2">
        <f>IFERROR(__xludf.DUMMYFUNCTION("""COMPUTED_VALUE"""),45096.64583333333)</f>
        <v>45096.64583</v>
      </c>
      <c r="B2819" s="1">
        <f>IFERROR(__xludf.DUMMYFUNCTION("""COMPUTED_VALUE"""),22100.0)</f>
        <v>22100</v>
      </c>
      <c r="C2819" s="1">
        <f>IFERROR(__xludf.DUMMYFUNCTION("""COMPUTED_VALUE"""),22100.0)</f>
        <v>22100</v>
      </c>
      <c r="D2819" s="1">
        <f>IFERROR(__xludf.DUMMYFUNCTION("""COMPUTED_VALUE"""),21750.0)</f>
        <v>21750</v>
      </c>
      <c r="E2819" s="1">
        <f>IFERROR(__xludf.DUMMYFUNCTION("""COMPUTED_VALUE"""),21950.0)</f>
        <v>21950</v>
      </c>
      <c r="F2819" s="1">
        <f>IFERROR(__xludf.DUMMYFUNCTION("""COMPUTED_VALUE"""),16807.0)</f>
        <v>16807</v>
      </c>
    </row>
    <row r="2820">
      <c r="A2820" s="2">
        <f>IFERROR(__xludf.DUMMYFUNCTION("""COMPUTED_VALUE"""),45097.64583333333)</f>
        <v>45097.64583</v>
      </c>
      <c r="B2820" s="1">
        <f>IFERROR(__xludf.DUMMYFUNCTION("""COMPUTED_VALUE"""),22250.0)</f>
        <v>22250</v>
      </c>
      <c r="C2820" s="1">
        <f>IFERROR(__xludf.DUMMYFUNCTION("""COMPUTED_VALUE"""),23350.0)</f>
        <v>23350</v>
      </c>
      <c r="D2820" s="1">
        <f>IFERROR(__xludf.DUMMYFUNCTION("""COMPUTED_VALUE"""),21900.0)</f>
        <v>21900</v>
      </c>
      <c r="E2820" s="1">
        <f>IFERROR(__xludf.DUMMYFUNCTION("""COMPUTED_VALUE"""),22050.0)</f>
        <v>22050</v>
      </c>
      <c r="F2820" s="1">
        <f>IFERROR(__xludf.DUMMYFUNCTION("""COMPUTED_VALUE"""),175051.0)</f>
        <v>175051</v>
      </c>
    </row>
    <row r="2821">
      <c r="A2821" s="2">
        <f>IFERROR(__xludf.DUMMYFUNCTION("""COMPUTED_VALUE"""),45098.64583333333)</f>
        <v>45098.64583</v>
      </c>
      <c r="B2821" s="1">
        <f>IFERROR(__xludf.DUMMYFUNCTION("""COMPUTED_VALUE"""),22150.0)</f>
        <v>22150</v>
      </c>
      <c r="C2821" s="1">
        <f>IFERROR(__xludf.DUMMYFUNCTION("""COMPUTED_VALUE"""),22400.0)</f>
        <v>22400</v>
      </c>
      <c r="D2821" s="1">
        <f>IFERROR(__xludf.DUMMYFUNCTION("""COMPUTED_VALUE"""),22000.0)</f>
        <v>22000</v>
      </c>
      <c r="E2821" s="1">
        <f>IFERROR(__xludf.DUMMYFUNCTION("""COMPUTED_VALUE"""),22200.0)</f>
        <v>22200</v>
      </c>
      <c r="F2821" s="1">
        <f>IFERROR(__xludf.DUMMYFUNCTION("""COMPUTED_VALUE"""),23718.0)</f>
        <v>23718</v>
      </c>
    </row>
    <row r="2822">
      <c r="A2822" s="2">
        <f>IFERROR(__xludf.DUMMYFUNCTION("""COMPUTED_VALUE"""),45099.64583333333)</f>
        <v>45099.64583</v>
      </c>
      <c r="B2822" s="1">
        <f>IFERROR(__xludf.DUMMYFUNCTION("""COMPUTED_VALUE"""),22050.0)</f>
        <v>22050</v>
      </c>
      <c r="C2822" s="1">
        <f>IFERROR(__xludf.DUMMYFUNCTION("""COMPUTED_VALUE"""),22550.0)</f>
        <v>22550</v>
      </c>
      <c r="D2822" s="1">
        <f>IFERROR(__xludf.DUMMYFUNCTION("""COMPUTED_VALUE"""),21900.0)</f>
        <v>21900</v>
      </c>
      <c r="E2822" s="1">
        <f>IFERROR(__xludf.DUMMYFUNCTION("""COMPUTED_VALUE"""),21950.0)</f>
        <v>21950</v>
      </c>
      <c r="F2822" s="1">
        <f>IFERROR(__xludf.DUMMYFUNCTION("""COMPUTED_VALUE"""),49231.0)</f>
        <v>49231</v>
      </c>
    </row>
    <row r="2823">
      <c r="A2823" s="2">
        <f>IFERROR(__xludf.DUMMYFUNCTION("""COMPUTED_VALUE"""),45100.64583333333)</f>
        <v>45100.64583</v>
      </c>
      <c r="B2823" s="1">
        <f>IFERROR(__xludf.DUMMYFUNCTION("""COMPUTED_VALUE"""),21950.0)</f>
        <v>21950</v>
      </c>
      <c r="C2823" s="1">
        <f>IFERROR(__xludf.DUMMYFUNCTION("""COMPUTED_VALUE"""),22100.0)</f>
        <v>22100</v>
      </c>
      <c r="D2823" s="1">
        <f>IFERROR(__xludf.DUMMYFUNCTION("""COMPUTED_VALUE"""),21700.0)</f>
        <v>21700</v>
      </c>
      <c r="E2823" s="1">
        <f>IFERROR(__xludf.DUMMYFUNCTION("""COMPUTED_VALUE"""),21850.0)</f>
        <v>21850</v>
      </c>
      <c r="F2823" s="1">
        <f>IFERROR(__xludf.DUMMYFUNCTION("""COMPUTED_VALUE"""),25911.0)</f>
        <v>25911</v>
      </c>
    </row>
    <row r="2824">
      <c r="A2824" s="2">
        <f>IFERROR(__xludf.DUMMYFUNCTION("""COMPUTED_VALUE"""),45103.64583333333)</f>
        <v>45103.64583</v>
      </c>
      <c r="B2824" s="1">
        <f>IFERROR(__xludf.DUMMYFUNCTION("""COMPUTED_VALUE"""),21850.0)</f>
        <v>21850</v>
      </c>
      <c r="C2824" s="1">
        <f>IFERROR(__xludf.DUMMYFUNCTION("""COMPUTED_VALUE"""),21900.0)</f>
        <v>21900</v>
      </c>
      <c r="D2824" s="1">
        <f>IFERROR(__xludf.DUMMYFUNCTION("""COMPUTED_VALUE"""),21150.0)</f>
        <v>21150</v>
      </c>
      <c r="E2824" s="1">
        <f>IFERROR(__xludf.DUMMYFUNCTION("""COMPUTED_VALUE"""),21300.0)</f>
        <v>21300</v>
      </c>
      <c r="F2824" s="1">
        <f>IFERROR(__xludf.DUMMYFUNCTION("""COMPUTED_VALUE"""),25206.0)</f>
        <v>25206</v>
      </c>
    </row>
    <row r="2825">
      <c r="A2825" s="2">
        <f>IFERROR(__xludf.DUMMYFUNCTION("""COMPUTED_VALUE"""),45104.64583333333)</f>
        <v>45104.64583</v>
      </c>
      <c r="B2825" s="1">
        <f>IFERROR(__xludf.DUMMYFUNCTION("""COMPUTED_VALUE"""),21600.0)</f>
        <v>21600</v>
      </c>
      <c r="C2825" s="1">
        <f>IFERROR(__xludf.DUMMYFUNCTION("""COMPUTED_VALUE"""),21900.0)</f>
        <v>21900</v>
      </c>
      <c r="D2825" s="1">
        <f>IFERROR(__xludf.DUMMYFUNCTION("""COMPUTED_VALUE"""),21150.0)</f>
        <v>21150</v>
      </c>
      <c r="E2825" s="1">
        <f>IFERROR(__xludf.DUMMYFUNCTION("""COMPUTED_VALUE"""),21350.0)</f>
        <v>21350</v>
      </c>
      <c r="F2825" s="1">
        <f>IFERROR(__xludf.DUMMYFUNCTION("""COMPUTED_VALUE"""),26428.0)</f>
        <v>26428</v>
      </c>
    </row>
    <row r="2826">
      <c r="A2826" s="2">
        <f>IFERROR(__xludf.DUMMYFUNCTION("""COMPUTED_VALUE"""),45105.64583333333)</f>
        <v>45105.64583</v>
      </c>
      <c r="B2826" s="1">
        <f>IFERROR(__xludf.DUMMYFUNCTION("""COMPUTED_VALUE"""),21200.0)</f>
        <v>21200</v>
      </c>
      <c r="C2826" s="1">
        <f>IFERROR(__xludf.DUMMYFUNCTION("""COMPUTED_VALUE"""),21400.0)</f>
        <v>21400</v>
      </c>
      <c r="D2826" s="1">
        <f>IFERROR(__xludf.DUMMYFUNCTION("""COMPUTED_VALUE"""),21100.0)</f>
        <v>21100</v>
      </c>
      <c r="E2826" s="1">
        <f>IFERROR(__xludf.DUMMYFUNCTION("""COMPUTED_VALUE"""),21350.0)</f>
        <v>21350</v>
      </c>
      <c r="F2826" s="1">
        <f>IFERROR(__xludf.DUMMYFUNCTION("""COMPUTED_VALUE"""),14415.0)</f>
        <v>14415</v>
      </c>
    </row>
    <row r="2827">
      <c r="A2827" s="2">
        <f>IFERROR(__xludf.DUMMYFUNCTION("""COMPUTED_VALUE"""),45106.64583333333)</f>
        <v>45106.64583</v>
      </c>
      <c r="B2827" s="1">
        <f>IFERROR(__xludf.DUMMYFUNCTION("""COMPUTED_VALUE"""),21350.0)</f>
        <v>21350</v>
      </c>
      <c r="C2827" s="1">
        <f>IFERROR(__xludf.DUMMYFUNCTION("""COMPUTED_VALUE"""),21400.0)</f>
        <v>21400</v>
      </c>
      <c r="D2827" s="1">
        <f>IFERROR(__xludf.DUMMYFUNCTION("""COMPUTED_VALUE"""),20850.0)</f>
        <v>20850</v>
      </c>
      <c r="E2827" s="1">
        <f>IFERROR(__xludf.DUMMYFUNCTION("""COMPUTED_VALUE"""),20850.0)</f>
        <v>20850</v>
      </c>
      <c r="F2827" s="1">
        <f>IFERROR(__xludf.DUMMYFUNCTION("""COMPUTED_VALUE"""),31544.0)</f>
        <v>31544</v>
      </c>
    </row>
    <row r="2828">
      <c r="A2828" s="2">
        <f>IFERROR(__xludf.DUMMYFUNCTION("""COMPUTED_VALUE"""),45107.64583333333)</f>
        <v>45107.64583</v>
      </c>
      <c r="B2828" s="1">
        <f>IFERROR(__xludf.DUMMYFUNCTION("""COMPUTED_VALUE"""),20600.0)</f>
        <v>20600</v>
      </c>
      <c r="C2828" s="1">
        <f>IFERROR(__xludf.DUMMYFUNCTION("""COMPUTED_VALUE"""),21050.0)</f>
        <v>21050</v>
      </c>
      <c r="D2828" s="1">
        <f>IFERROR(__xludf.DUMMYFUNCTION("""COMPUTED_VALUE"""),20600.0)</f>
        <v>20600</v>
      </c>
      <c r="E2828" s="1">
        <f>IFERROR(__xludf.DUMMYFUNCTION("""COMPUTED_VALUE"""),21000.0)</f>
        <v>21000</v>
      </c>
      <c r="F2828" s="1">
        <f>IFERROR(__xludf.DUMMYFUNCTION("""COMPUTED_VALUE"""),11220.0)</f>
        <v>11220</v>
      </c>
    </row>
    <row r="2829">
      <c r="A2829" s="2">
        <f>IFERROR(__xludf.DUMMYFUNCTION("""COMPUTED_VALUE"""),45110.64583333333)</f>
        <v>45110.64583</v>
      </c>
      <c r="B2829" s="1">
        <f>IFERROR(__xludf.DUMMYFUNCTION("""COMPUTED_VALUE"""),20900.0)</f>
        <v>20900</v>
      </c>
      <c r="C2829" s="1">
        <f>IFERROR(__xludf.DUMMYFUNCTION("""COMPUTED_VALUE"""),21200.0)</f>
        <v>21200</v>
      </c>
      <c r="D2829" s="1">
        <f>IFERROR(__xludf.DUMMYFUNCTION("""COMPUTED_VALUE"""),20900.0)</f>
        <v>20900</v>
      </c>
      <c r="E2829" s="1">
        <f>IFERROR(__xludf.DUMMYFUNCTION("""COMPUTED_VALUE"""),21000.0)</f>
        <v>21000</v>
      </c>
      <c r="F2829" s="1">
        <f>IFERROR(__xludf.DUMMYFUNCTION("""COMPUTED_VALUE"""),7755.0)</f>
        <v>7755</v>
      </c>
    </row>
    <row r="2830">
      <c r="A2830" s="2">
        <f>IFERROR(__xludf.DUMMYFUNCTION("""COMPUTED_VALUE"""),45111.64583333333)</f>
        <v>45111.64583</v>
      </c>
      <c r="B2830" s="1">
        <f>IFERROR(__xludf.DUMMYFUNCTION("""COMPUTED_VALUE"""),20950.0)</f>
        <v>20950</v>
      </c>
      <c r="C2830" s="1">
        <f>IFERROR(__xludf.DUMMYFUNCTION("""COMPUTED_VALUE"""),21000.0)</f>
        <v>21000</v>
      </c>
      <c r="D2830" s="1">
        <f>IFERROR(__xludf.DUMMYFUNCTION("""COMPUTED_VALUE"""),20700.0)</f>
        <v>20700</v>
      </c>
      <c r="E2830" s="1">
        <f>IFERROR(__xludf.DUMMYFUNCTION("""COMPUTED_VALUE"""),20750.0)</f>
        <v>20750</v>
      </c>
      <c r="F2830" s="1">
        <f>IFERROR(__xludf.DUMMYFUNCTION("""COMPUTED_VALUE"""),13995.0)</f>
        <v>13995</v>
      </c>
    </row>
    <row r="2831">
      <c r="A2831" s="2">
        <f>IFERROR(__xludf.DUMMYFUNCTION("""COMPUTED_VALUE"""),45112.64583333333)</f>
        <v>45112.64583</v>
      </c>
      <c r="B2831" s="1">
        <f>IFERROR(__xludf.DUMMYFUNCTION("""COMPUTED_VALUE"""),20600.0)</f>
        <v>20600</v>
      </c>
      <c r="C2831" s="1">
        <f>IFERROR(__xludf.DUMMYFUNCTION("""COMPUTED_VALUE"""),20800.0)</f>
        <v>20800</v>
      </c>
      <c r="D2831" s="1">
        <f>IFERROR(__xludf.DUMMYFUNCTION("""COMPUTED_VALUE"""),20200.0)</f>
        <v>20200</v>
      </c>
      <c r="E2831" s="1">
        <f>IFERROR(__xludf.DUMMYFUNCTION("""COMPUTED_VALUE"""),20700.0)</f>
        <v>20700</v>
      </c>
      <c r="F2831" s="1">
        <f>IFERROR(__xludf.DUMMYFUNCTION("""COMPUTED_VALUE"""),22853.0)</f>
        <v>22853</v>
      </c>
    </row>
    <row r="2832">
      <c r="A2832" s="2">
        <f>IFERROR(__xludf.DUMMYFUNCTION("""COMPUTED_VALUE"""),45113.64583333333)</f>
        <v>45113.64583</v>
      </c>
      <c r="B2832" s="1">
        <f>IFERROR(__xludf.DUMMYFUNCTION("""COMPUTED_VALUE"""),20650.0)</f>
        <v>20650</v>
      </c>
      <c r="C2832" s="1">
        <f>IFERROR(__xludf.DUMMYFUNCTION("""COMPUTED_VALUE"""),20650.0)</f>
        <v>20650</v>
      </c>
      <c r="D2832" s="1">
        <f>IFERROR(__xludf.DUMMYFUNCTION("""COMPUTED_VALUE"""),20150.0)</f>
        <v>20150</v>
      </c>
      <c r="E2832" s="1">
        <f>IFERROR(__xludf.DUMMYFUNCTION("""COMPUTED_VALUE"""),20250.0)</f>
        <v>20250</v>
      </c>
      <c r="F2832" s="1">
        <f>IFERROR(__xludf.DUMMYFUNCTION("""COMPUTED_VALUE"""),14280.0)</f>
        <v>14280</v>
      </c>
    </row>
    <row r="2833">
      <c r="A2833" s="2">
        <f>IFERROR(__xludf.DUMMYFUNCTION("""COMPUTED_VALUE"""),45114.64583333333)</f>
        <v>45114.64583</v>
      </c>
      <c r="B2833" s="1">
        <f>IFERROR(__xludf.DUMMYFUNCTION("""COMPUTED_VALUE"""),19920.0)</f>
        <v>19920</v>
      </c>
      <c r="C2833" s="1">
        <f>IFERROR(__xludf.DUMMYFUNCTION("""COMPUTED_VALUE"""),20700.0)</f>
        <v>20700</v>
      </c>
      <c r="D2833" s="1">
        <f>IFERROR(__xludf.DUMMYFUNCTION("""COMPUTED_VALUE"""),19910.0)</f>
        <v>19910</v>
      </c>
      <c r="E2833" s="1">
        <f>IFERROR(__xludf.DUMMYFUNCTION("""COMPUTED_VALUE"""),20350.0)</f>
        <v>20350</v>
      </c>
      <c r="F2833" s="1">
        <f>IFERROR(__xludf.DUMMYFUNCTION("""COMPUTED_VALUE"""),17944.0)</f>
        <v>17944</v>
      </c>
    </row>
    <row r="2834">
      <c r="A2834" s="2">
        <f>IFERROR(__xludf.DUMMYFUNCTION("""COMPUTED_VALUE"""),45117.64583333333)</f>
        <v>45117.64583</v>
      </c>
      <c r="B2834" s="1">
        <f>IFERROR(__xludf.DUMMYFUNCTION("""COMPUTED_VALUE"""),20050.0)</f>
        <v>20050</v>
      </c>
      <c r="C2834" s="1">
        <f>IFERROR(__xludf.DUMMYFUNCTION("""COMPUTED_VALUE"""),20400.0)</f>
        <v>20400</v>
      </c>
      <c r="D2834" s="1">
        <f>IFERROR(__xludf.DUMMYFUNCTION("""COMPUTED_VALUE"""),19960.0)</f>
        <v>19960</v>
      </c>
      <c r="E2834" s="1">
        <f>IFERROR(__xludf.DUMMYFUNCTION("""COMPUTED_VALUE"""),20300.0)</f>
        <v>20300</v>
      </c>
      <c r="F2834" s="1">
        <f>IFERROR(__xludf.DUMMYFUNCTION("""COMPUTED_VALUE"""),9007.0)</f>
        <v>9007</v>
      </c>
    </row>
    <row r="2835">
      <c r="A2835" s="2">
        <f>IFERROR(__xludf.DUMMYFUNCTION("""COMPUTED_VALUE"""),45118.64583333333)</f>
        <v>45118.64583</v>
      </c>
      <c r="B2835" s="1">
        <f>IFERROR(__xludf.DUMMYFUNCTION("""COMPUTED_VALUE"""),20300.0)</f>
        <v>20300</v>
      </c>
      <c r="C2835" s="1">
        <f>IFERROR(__xludf.DUMMYFUNCTION("""COMPUTED_VALUE"""),20550.0)</f>
        <v>20550</v>
      </c>
      <c r="D2835" s="1">
        <f>IFERROR(__xludf.DUMMYFUNCTION("""COMPUTED_VALUE"""),20200.0)</f>
        <v>20200</v>
      </c>
      <c r="E2835" s="1">
        <f>IFERROR(__xludf.DUMMYFUNCTION("""COMPUTED_VALUE"""),20250.0)</f>
        <v>20250</v>
      </c>
      <c r="F2835" s="1">
        <f>IFERROR(__xludf.DUMMYFUNCTION("""COMPUTED_VALUE"""),10385.0)</f>
        <v>10385</v>
      </c>
    </row>
    <row r="2836">
      <c r="A2836" s="2">
        <f>IFERROR(__xludf.DUMMYFUNCTION("""COMPUTED_VALUE"""),45119.64583333333)</f>
        <v>45119.64583</v>
      </c>
      <c r="B2836" s="1">
        <f>IFERROR(__xludf.DUMMYFUNCTION("""COMPUTED_VALUE"""),20250.0)</f>
        <v>20250</v>
      </c>
      <c r="C2836" s="1">
        <f>IFERROR(__xludf.DUMMYFUNCTION("""COMPUTED_VALUE"""),20450.0)</f>
        <v>20450</v>
      </c>
      <c r="D2836" s="1">
        <f>IFERROR(__xludf.DUMMYFUNCTION("""COMPUTED_VALUE"""),20050.0)</f>
        <v>20050</v>
      </c>
      <c r="E2836" s="1">
        <f>IFERROR(__xludf.DUMMYFUNCTION("""COMPUTED_VALUE"""),20100.0)</f>
        <v>20100</v>
      </c>
      <c r="F2836" s="1">
        <f>IFERROR(__xludf.DUMMYFUNCTION("""COMPUTED_VALUE"""),5321.0)</f>
        <v>5321</v>
      </c>
    </row>
    <row r="2837">
      <c r="A2837" s="2">
        <f>IFERROR(__xludf.DUMMYFUNCTION("""COMPUTED_VALUE"""),45120.64583333333)</f>
        <v>45120.64583</v>
      </c>
      <c r="B2837" s="1">
        <f>IFERROR(__xludf.DUMMYFUNCTION("""COMPUTED_VALUE"""),20000.0)</f>
        <v>20000</v>
      </c>
      <c r="C2837" s="1">
        <f>IFERROR(__xludf.DUMMYFUNCTION("""COMPUTED_VALUE"""),20350.0)</f>
        <v>20350</v>
      </c>
      <c r="D2837" s="1">
        <f>IFERROR(__xludf.DUMMYFUNCTION("""COMPUTED_VALUE"""),20000.0)</f>
        <v>20000</v>
      </c>
      <c r="E2837" s="1">
        <f>IFERROR(__xludf.DUMMYFUNCTION("""COMPUTED_VALUE"""),20250.0)</f>
        <v>20250</v>
      </c>
      <c r="F2837" s="1">
        <f>IFERROR(__xludf.DUMMYFUNCTION("""COMPUTED_VALUE"""),6680.0)</f>
        <v>6680</v>
      </c>
    </row>
    <row r="2838">
      <c r="A2838" s="2">
        <f>IFERROR(__xludf.DUMMYFUNCTION("""COMPUTED_VALUE"""),45121.64583333333)</f>
        <v>45121.64583</v>
      </c>
      <c r="B2838" s="1">
        <f>IFERROR(__xludf.DUMMYFUNCTION("""COMPUTED_VALUE"""),20400.0)</f>
        <v>20400</v>
      </c>
      <c r="C2838" s="1">
        <f>IFERROR(__xludf.DUMMYFUNCTION("""COMPUTED_VALUE"""),20400.0)</f>
        <v>20400</v>
      </c>
      <c r="D2838" s="1">
        <f>IFERROR(__xludf.DUMMYFUNCTION("""COMPUTED_VALUE"""),19990.0)</f>
        <v>19990</v>
      </c>
      <c r="E2838" s="1">
        <f>IFERROR(__xludf.DUMMYFUNCTION("""COMPUTED_VALUE"""),19990.0)</f>
        <v>19990</v>
      </c>
      <c r="F2838" s="1">
        <f>IFERROR(__xludf.DUMMYFUNCTION("""COMPUTED_VALUE"""),15705.0)</f>
        <v>15705</v>
      </c>
    </row>
    <row r="2839">
      <c r="A2839" s="2">
        <f>IFERROR(__xludf.DUMMYFUNCTION("""COMPUTED_VALUE"""),45124.64583333333)</f>
        <v>45124.64583</v>
      </c>
      <c r="B2839" s="1">
        <f>IFERROR(__xludf.DUMMYFUNCTION("""COMPUTED_VALUE"""),20000.0)</f>
        <v>20000</v>
      </c>
      <c r="C2839" s="1">
        <f>IFERROR(__xludf.DUMMYFUNCTION("""COMPUTED_VALUE"""),20100.0)</f>
        <v>20100</v>
      </c>
      <c r="D2839" s="1">
        <f>IFERROR(__xludf.DUMMYFUNCTION("""COMPUTED_VALUE"""),19970.0)</f>
        <v>19970</v>
      </c>
      <c r="E2839" s="1">
        <f>IFERROR(__xludf.DUMMYFUNCTION("""COMPUTED_VALUE"""),20000.0)</f>
        <v>20000</v>
      </c>
      <c r="F2839" s="1">
        <f>IFERROR(__xludf.DUMMYFUNCTION("""COMPUTED_VALUE"""),7183.0)</f>
        <v>7183</v>
      </c>
    </row>
    <row r="2840">
      <c r="A2840" s="2">
        <f>IFERROR(__xludf.DUMMYFUNCTION("""COMPUTED_VALUE"""),45125.64583333333)</f>
        <v>45125.64583</v>
      </c>
      <c r="B2840" s="1">
        <f>IFERROR(__xludf.DUMMYFUNCTION("""COMPUTED_VALUE"""),19910.0)</f>
        <v>19910</v>
      </c>
      <c r="C2840" s="1">
        <f>IFERROR(__xludf.DUMMYFUNCTION("""COMPUTED_VALUE"""),20200.0)</f>
        <v>20200</v>
      </c>
      <c r="D2840" s="1">
        <f>IFERROR(__xludf.DUMMYFUNCTION("""COMPUTED_VALUE"""),19770.0)</f>
        <v>19770</v>
      </c>
      <c r="E2840" s="1">
        <f>IFERROR(__xludf.DUMMYFUNCTION("""COMPUTED_VALUE"""),19930.0)</f>
        <v>19930</v>
      </c>
      <c r="F2840" s="1">
        <f>IFERROR(__xludf.DUMMYFUNCTION("""COMPUTED_VALUE"""),16357.0)</f>
        <v>16357</v>
      </c>
    </row>
    <row r="2841">
      <c r="A2841" s="2">
        <f>IFERROR(__xludf.DUMMYFUNCTION("""COMPUTED_VALUE"""),45126.64583333333)</f>
        <v>45126.64583</v>
      </c>
      <c r="B2841" s="1">
        <f>IFERROR(__xludf.DUMMYFUNCTION("""COMPUTED_VALUE"""),19720.0)</f>
        <v>19720</v>
      </c>
      <c r="C2841" s="1">
        <f>IFERROR(__xludf.DUMMYFUNCTION("""COMPUTED_VALUE"""),19890.0)</f>
        <v>19890</v>
      </c>
      <c r="D2841" s="1">
        <f>IFERROR(__xludf.DUMMYFUNCTION("""COMPUTED_VALUE"""),19290.0)</f>
        <v>19290</v>
      </c>
      <c r="E2841" s="1">
        <f>IFERROR(__xludf.DUMMYFUNCTION("""COMPUTED_VALUE"""),19720.0)</f>
        <v>19720</v>
      </c>
      <c r="F2841" s="1">
        <f>IFERROR(__xludf.DUMMYFUNCTION("""COMPUTED_VALUE"""),28438.0)</f>
        <v>28438</v>
      </c>
    </row>
    <row r="2842">
      <c r="A2842" s="2">
        <f>IFERROR(__xludf.DUMMYFUNCTION("""COMPUTED_VALUE"""),45127.64583333333)</f>
        <v>45127.64583</v>
      </c>
      <c r="B2842" s="1">
        <f>IFERROR(__xludf.DUMMYFUNCTION("""COMPUTED_VALUE"""),19720.0)</f>
        <v>19720</v>
      </c>
      <c r="C2842" s="1">
        <f>IFERROR(__xludf.DUMMYFUNCTION("""COMPUTED_VALUE"""),19720.0)</f>
        <v>19720</v>
      </c>
      <c r="D2842" s="1">
        <f>IFERROR(__xludf.DUMMYFUNCTION("""COMPUTED_VALUE"""),19300.0)</f>
        <v>19300</v>
      </c>
      <c r="E2842" s="1">
        <f>IFERROR(__xludf.DUMMYFUNCTION("""COMPUTED_VALUE"""),19480.0)</f>
        <v>19480</v>
      </c>
      <c r="F2842" s="1">
        <f>IFERROR(__xludf.DUMMYFUNCTION("""COMPUTED_VALUE"""),14478.0)</f>
        <v>14478</v>
      </c>
    </row>
    <row r="2843">
      <c r="A2843" s="2">
        <f>IFERROR(__xludf.DUMMYFUNCTION("""COMPUTED_VALUE"""),45128.64583333333)</f>
        <v>45128.64583</v>
      </c>
      <c r="B2843" s="1">
        <f>IFERROR(__xludf.DUMMYFUNCTION("""COMPUTED_VALUE"""),19420.0)</f>
        <v>19420</v>
      </c>
      <c r="C2843" s="1">
        <f>IFERROR(__xludf.DUMMYFUNCTION("""COMPUTED_VALUE"""),19590.0)</f>
        <v>19590</v>
      </c>
      <c r="D2843" s="1">
        <f>IFERROR(__xludf.DUMMYFUNCTION("""COMPUTED_VALUE"""),19350.0)</f>
        <v>19350</v>
      </c>
      <c r="E2843" s="1">
        <f>IFERROR(__xludf.DUMMYFUNCTION("""COMPUTED_VALUE"""),19470.0)</f>
        <v>19470</v>
      </c>
      <c r="F2843" s="1">
        <f>IFERROR(__xludf.DUMMYFUNCTION("""COMPUTED_VALUE"""),12439.0)</f>
        <v>12439</v>
      </c>
    </row>
    <row r="2844">
      <c r="A2844" s="2">
        <f>IFERROR(__xludf.DUMMYFUNCTION("""COMPUTED_VALUE"""),45131.64583333333)</f>
        <v>45131.64583</v>
      </c>
      <c r="B2844" s="1">
        <f>IFERROR(__xludf.DUMMYFUNCTION("""COMPUTED_VALUE"""),19500.0)</f>
        <v>19500</v>
      </c>
      <c r="C2844" s="1">
        <f>IFERROR(__xludf.DUMMYFUNCTION("""COMPUTED_VALUE"""),19520.0)</f>
        <v>19520</v>
      </c>
      <c r="D2844" s="1">
        <f>IFERROR(__xludf.DUMMYFUNCTION("""COMPUTED_VALUE"""),19060.0)</f>
        <v>19060</v>
      </c>
      <c r="E2844" s="1">
        <f>IFERROR(__xludf.DUMMYFUNCTION("""COMPUTED_VALUE"""),19070.0)</f>
        <v>19070</v>
      </c>
      <c r="F2844" s="1">
        <f>IFERROR(__xludf.DUMMYFUNCTION("""COMPUTED_VALUE"""),22569.0)</f>
        <v>22569</v>
      </c>
    </row>
    <row r="2845">
      <c r="A2845" s="2">
        <f>IFERROR(__xludf.DUMMYFUNCTION("""COMPUTED_VALUE"""),45132.64583333333)</f>
        <v>45132.64583</v>
      </c>
      <c r="B2845" s="1">
        <f>IFERROR(__xludf.DUMMYFUNCTION("""COMPUTED_VALUE"""),19150.0)</f>
        <v>19150</v>
      </c>
      <c r="C2845" s="1">
        <f>IFERROR(__xludf.DUMMYFUNCTION("""COMPUTED_VALUE"""),19150.0)</f>
        <v>19150</v>
      </c>
      <c r="D2845" s="1">
        <f>IFERROR(__xludf.DUMMYFUNCTION("""COMPUTED_VALUE"""),18160.0)</f>
        <v>18160</v>
      </c>
      <c r="E2845" s="1">
        <f>IFERROR(__xludf.DUMMYFUNCTION("""COMPUTED_VALUE"""),18160.0)</f>
        <v>18160</v>
      </c>
      <c r="F2845" s="1">
        <f>IFERROR(__xludf.DUMMYFUNCTION("""COMPUTED_VALUE"""),45479.0)</f>
        <v>45479</v>
      </c>
    </row>
    <row r="2846">
      <c r="A2846" s="2">
        <f>IFERROR(__xludf.DUMMYFUNCTION("""COMPUTED_VALUE"""),45133.64583333333)</f>
        <v>45133.64583</v>
      </c>
      <c r="B2846" s="1">
        <f>IFERROR(__xludf.DUMMYFUNCTION("""COMPUTED_VALUE"""),17910.0)</f>
        <v>17910</v>
      </c>
      <c r="C2846" s="1">
        <f>IFERROR(__xludf.DUMMYFUNCTION("""COMPUTED_VALUE"""),18150.0)</f>
        <v>18150</v>
      </c>
      <c r="D2846" s="1">
        <f>IFERROR(__xludf.DUMMYFUNCTION("""COMPUTED_VALUE"""),16450.0)</f>
        <v>16450</v>
      </c>
      <c r="E2846" s="1">
        <f>IFERROR(__xludf.DUMMYFUNCTION("""COMPUTED_VALUE"""),16530.0)</f>
        <v>16530</v>
      </c>
      <c r="F2846" s="1">
        <f>IFERROR(__xludf.DUMMYFUNCTION("""COMPUTED_VALUE"""),85897.0)</f>
        <v>85897</v>
      </c>
    </row>
    <row r="2847">
      <c r="A2847" s="2">
        <f>IFERROR(__xludf.DUMMYFUNCTION("""COMPUTED_VALUE"""),45134.64583333333)</f>
        <v>45134.64583</v>
      </c>
      <c r="B2847" s="1">
        <f>IFERROR(__xludf.DUMMYFUNCTION("""COMPUTED_VALUE"""),16460.0)</f>
        <v>16460</v>
      </c>
      <c r="C2847" s="1">
        <f>IFERROR(__xludf.DUMMYFUNCTION("""COMPUTED_VALUE"""),18100.0)</f>
        <v>18100</v>
      </c>
      <c r="D2847" s="1">
        <f>IFERROR(__xludf.DUMMYFUNCTION("""COMPUTED_VALUE"""),16460.0)</f>
        <v>16460</v>
      </c>
      <c r="E2847" s="1">
        <f>IFERROR(__xludf.DUMMYFUNCTION("""COMPUTED_VALUE"""),17220.0)</f>
        <v>17220</v>
      </c>
      <c r="F2847" s="1">
        <f>IFERROR(__xludf.DUMMYFUNCTION("""COMPUTED_VALUE"""),70470.0)</f>
        <v>70470</v>
      </c>
    </row>
    <row r="2848">
      <c r="A2848" s="2">
        <f>IFERROR(__xludf.DUMMYFUNCTION("""COMPUTED_VALUE"""),45135.64583333333)</f>
        <v>45135.64583</v>
      </c>
      <c r="B2848" s="1">
        <f>IFERROR(__xludf.DUMMYFUNCTION("""COMPUTED_VALUE"""),17010.0)</f>
        <v>17010</v>
      </c>
      <c r="C2848" s="1">
        <f>IFERROR(__xludf.DUMMYFUNCTION("""COMPUTED_VALUE"""),18200.0)</f>
        <v>18200</v>
      </c>
      <c r="D2848" s="1">
        <f>IFERROR(__xludf.DUMMYFUNCTION("""COMPUTED_VALUE"""),17010.0)</f>
        <v>17010</v>
      </c>
      <c r="E2848" s="1">
        <f>IFERROR(__xludf.DUMMYFUNCTION("""COMPUTED_VALUE"""),18110.0)</f>
        <v>18110</v>
      </c>
      <c r="F2848" s="1">
        <f>IFERROR(__xludf.DUMMYFUNCTION("""COMPUTED_VALUE"""),19267.0)</f>
        <v>19267</v>
      </c>
    </row>
    <row r="2849">
      <c r="A2849" s="2">
        <f>IFERROR(__xludf.DUMMYFUNCTION("""COMPUTED_VALUE"""),45138.64583333333)</f>
        <v>45138.64583</v>
      </c>
      <c r="B2849" s="1">
        <f>IFERROR(__xludf.DUMMYFUNCTION("""COMPUTED_VALUE"""),17930.0)</f>
        <v>17930</v>
      </c>
      <c r="C2849" s="1">
        <f>IFERROR(__xludf.DUMMYFUNCTION("""COMPUTED_VALUE"""),18280.0)</f>
        <v>18280</v>
      </c>
      <c r="D2849" s="1">
        <f>IFERROR(__xludf.DUMMYFUNCTION("""COMPUTED_VALUE"""),17720.0)</f>
        <v>17720</v>
      </c>
      <c r="E2849" s="1">
        <f>IFERROR(__xludf.DUMMYFUNCTION("""COMPUTED_VALUE"""),18210.0)</f>
        <v>18210</v>
      </c>
      <c r="F2849" s="1">
        <f>IFERROR(__xludf.DUMMYFUNCTION("""COMPUTED_VALUE"""),15117.0)</f>
        <v>15117</v>
      </c>
    </row>
    <row r="2850">
      <c r="A2850" s="2">
        <f>IFERROR(__xludf.DUMMYFUNCTION("""COMPUTED_VALUE"""),45139.64583333333)</f>
        <v>45139.64583</v>
      </c>
      <c r="B2850" s="1">
        <f>IFERROR(__xludf.DUMMYFUNCTION("""COMPUTED_VALUE"""),18110.0)</f>
        <v>18110</v>
      </c>
      <c r="C2850" s="1">
        <f>IFERROR(__xludf.DUMMYFUNCTION("""COMPUTED_VALUE"""),18800.0)</f>
        <v>18800</v>
      </c>
      <c r="D2850" s="1">
        <f>IFERROR(__xludf.DUMMYFUNCTION("""COMPUTED_VALUE"""),18110.0)</f>
        <v>18110</v>
      </c>
      <c r="E2850" s="1">
        <f>IFERROR(__xludf.DUMMYFUNCTION("""COMPUTED_VALUE"""),18620.0)</f>
        <v>18620</v>
      </c>
      <c r="F2850" s="1">
        <f>IFERROR(__xludf.DUMMYFUNCTION("""COMPUTED_VALUE"""),15032.0)</f>
        <v>15032</v>
      </c>
    </row>
    <row r="2851">
      <c r="A2851" s="2">
        <f>IFERROR(__xludf.DUMMYFUNCTION("""COMPUTED_VALUE"""),45140.64583333333)</f>
        <v>45140.64583</v>
      </c>
      <c r="B2851" s="1">
        <f>IFERROR(__xludf.DUMMYFUNCTION("""COMPUTED_VALUE"""),18410.0)</f>
        <v>18410</v>
      </c>
      <c r="C2851" s="1">
        <f>IFERROR(__xludf.DUMMYFUNCTION("""COMPUTED_VALUE"""),18800.0)</f>
        <v>18800</v>
      </c>
      <c r="D2851" s="1">
        <f>IFERROR(__xludf.DUMMYFUNCTION("""COMPUTED_VALUE"""),18080.0)</f>
        <v>18080</v>
      </c>
      <c r="E2851" s="1">
        <f>IFERROR(__xludf.DUMMYFUNCTION("""COMPUTED_VALUE"""),18200.0)</f>
        <v>18200</v>
      </c>
      <c r="F2851" s="1">
        <f>IFERROR(__xludf.DUMMYFUNCTION("""COMPUTED_VALUE"""),12395.0)</f>
        <v>12395</v>
      </c>
    </row>
    <row r="2852">
      <c r="A2852" s="2">
        <f>IFERROR(__xludf.DUMMYFUNCTION("""COMPUTED_VALUE"""),45141.64583333333)</f>
        <v>45141.64583</v>
      </c>
      <c r="B2852" s="1">
        <f>IFERROR(__xludf.DUMMYFUNCTION("""COMPUTED_VALUE"""),18210.0)</f>
        <v>18210</v>
      </c>
      <c r="C2852" s="1">
        <f>IFERROR(__xludf.DUMMYFUNCTION("""COMPUTED_VALUE"""),18520.0)</f>
        <v>18520</v>
      </c>
      <c r="D2852" s="1">
        <f>IFERROR(__xludf.DUMMYFUNCTION("""COMPUTED_VALUE"""),18040.0)</f>
        <v>18040</v>
      </c>
      <c r="E2852" s="1">
        <f>IFERROR(__xludf.DUMMYFUNCTION("""COMPUTED_VALUE"""),18400.0)</f>
        <v>18400</v>
      </c>
      <c r="F2852" s="1">
        <f>IFERROR(__xludf.DUMMYFUNCTION("""COMPUTED_VALUE"""),16289.0)</f>
        <v>16289</v>
      </c>
    </row>
    <row r="2853">
      <c r="A2853" s="2">
        <f>IFERROR(__xludf.DUMMYFUNCTION("""COMPUTED_VALUE"""),45142.64583333333)</f>
        <v>45142.64583</v>
      </c>
      <c r="B2853" s="1">
        <f>IFERROR(__xludf.DUMMYFUNCTION("""COMPUTED_VALUE"""),18330.0)</f>
        <v>18330</v>
      </c>
      <c r="C2853" s="1">
        <f>IFERROR(__xludf.DUMMYFUNCTION("""COMPUTED_VALUE"""),18430.0)</f>
        <v>18430</v>
      </c>
      <c r="D2853" s="1">
        <f>IFERROR(__xludf.DUMMYFUNCTION("""COMPUTED_VALUE"""),18140.0)</f>
        <v>18140</v>
      </c>
      <c r="E2853" s="1">
        <f>IFERROR(__xludf.DUMMYFUNCTION("""COMPUTED_VALUE"""),18300.0)</f>
        <v>18300</v>
      </c>
      <c r="F2853" s="1">
        <f>IFERROR(__xludf.DUMMYFUNCTION("""COMPUTED_VALUE"""),6516.0)</f>
        <v>6516</v>
      </c>
    </row>
    <row r="2854">
      <c r="A2854" s="2">
        <f>IFERROR(__xludf.DUMMYFUNCTION("""COMPUTED_VALUE"""),45145.64583333333)</f>
        <v>45145.64583</v>
      </c>
      <c r="B2854" s="1">
        <f>IFERROR(__xludf.DUMMYFUNCTION("""COMPUTED_VALUE"""),18040.0)</f>
        <v>18040</v>
      </c>
      <c r="C2854" s="1">
        <f>IFERROR(__xludf.DUMMYFUNCTION("""COMPUTED_VALUE"""),18320.0)</f>
        <v>18320</v>
      </c>
      <c r="D2854" s="1">
        <f>IFERROR(__xludf.DUMMYFUNCTION("""COMPUTED_VALUE"""),17950.0)</f>
        <v>17950</v>
      </c>
      <c r="E2854" s="1">
        <f>IFERROR(__xludf.DUMMYFUNCTION("""COMPUTED_VALUE"""),18190.0)</f>
        <v>18190</v>
      </c>
      <c r="F2854" s="1">
        <f>IFERROR(__xludf.DUMMYFUNCTION("""COMPUTED_VALUE"""),11921.0)</f>
        <v>11921</v>
      </c>
    </row>
    <row r="2855">
      <c r="A2855" s="2">
        <f>IFERROR(__xludf.DUMMYFUNCTION("""COMPUTED_VALUE"""),45146.64583333333)</f>
        <v>45146.64583</v>
      </c>
      <c r="B2855" s="1">
        <f>IFERROR(__xludf.DUMMYFUNCTION("""COMPUTED_VALUE"""),18220.0)</f>
        <v>18220</v>
      </c>
      <c r="C2855" s="1">
        <f>IFERROR(__xludf.DUMMYFUNCTION("""COMPUTED_VALUE"""),18930.0)</f>
        <v>18930</v>
      </c>
      <c r="D2855" s="1">
        <f>IFERROR(__xludf.DUMMYFUNCTION("""COMPUTED_VALUE"""),18050.0)</f>
        <v>18050</v>
      </c>
      <c r="E2855" s="1">
        <f>IFERROR(__xludf.DUMMYFUNCTION("""COMPUTED_VALUE"""),18450.0)</f>
        <v>18450</v>
      </c>
      <c r="F2855" s="1">
        <f>IFERROR(__xludf.DUMMYFUNCTION("""COMPUTED_VALUE"""),27088.0)</f>
        <v>27088</v>
      </c>
    </row>
    <row r="2856">
      <c r="A2856" s="2">
        <f>IFERROR(__xludf.DUMMYFUNCTION("""COMPUTED_VALUE"""),45147.64583333333)</f>
        <v>45147.64583</v>
      </c>
      <c r="B2856" s="1">
        <f>IFERROR(__xludf.DUMMYFUNCTION("""COMPUTED_VALUE"""),18360.0)</f>
        <v>18360</v>
      </c>
      <c r="C2856" s="1">
        <f>IFERROR(__xludf.DUMMYFUNCTION("""COMPUTED_VALUE"""),18500.0)</f>
        <v>18500</v>
      </c>
      <c r="D2856" s="1">
        <f>IFERROR(__xludf.DUMMYFUNCTION("""COMPUTED_VALUE"""),18180.0)</f>
        <v>18180</v>
      </c>
      <c r="E2856" s="1">
        <f>IFERROR(__xludf.DUMMYFUNCTION("""COMPUTED_VALUE"""),18500.0)</f>
        <v>18500</v>
      </c>
      <c r="F2856" s="1">
        <f>IFERROR(__xludf.DUMMYFUNCTION("""COMPUTED_VALUE"""),18117.0)</f>
        <v>18117</v>
      </c>
    </row>
    <row r="2857">
      <c r="A2857" s="2">
        <f>IFERROR(__xludf.DUMMYFUNCTION("""COMPUTED_VALUE"""),45148.64583333333)</f>
        <v>45148.64583</v>
      </c>
      <c r="B2857" s="1">
        <f>IFERROR(__xludf.DUMMYFUNCTION("""COMPUTED_VALUE"""),18260.0)</f>
        <v>18260</v>
      </c>
      <c r="C2857" s="1">
        <f>IFERROR(__xludf.DUMMYFUNCTION("""COMPUTED_VALUE"""),19190.0)</f>
        <v>19190</v>
      </c>
      <c r="D2857" s="1">
        <f>IFERROR(__xludf.DUMMYFUNCTION("""COMPUTED_VALUE"""),18260.0)</f>
        <v>18260</v>
      </c>
      <c r="E2857" s="1">
        <f>IFERROR(__xludf.DUMMYFUNCTION("""COMPUTED_VALUE"""),19090.0)</f>
        <v>19090</v>
      </c>
      <c r="F2857" s="1">
        <f>IFERROR(__xludf.DUMMYFUNCTION("""COMPUTED_VALUE"""),33607.0)</f>
        <v>33607</v>
      </c>
    </row>
    <row r="2858">
      <c r="A2858" s="2">
        <f>IFERROR(__xludf.DUMMYFUNCTION("""COMPUTED_VALUE"""),45149.64583333333)</f>
        <v>45149.64583</v>
      </c>
      <c r="B2858" s="1">
        <f>IFERROR(__xludf.DUMMYFUNCTION("""COMPUTED_VALUE"""),19040.0)</f>
        <v>19040</v>
      </c>
      <c r="C2858" s="1">
        <f>IFERROR(__xludf.DUMMYFUNCTION("""COMPUTED_VALUE"""),19180.0)</f>
        <v>19180</v>
      </c>
      <c r="D2858" s="1">
        <f>IFERROR(__xludf.DUMMYFUNCTION("""COMPUTED_VALUE"""),18880.0)</f>
        <v>18880</v>
      </c>
      <c r="E2858" s="1">
        <f>IFERROR(__xludf.DUMMYFUNCTION("""COMPUTED_VALUE"""),18900.0)</f>
        <v>18900</v>
      </c>
      <c r="F2858" s="1">
        <f>IFERROR(__xludf.DUMMYFUNCTION("""COMPUTED_VALUE"""),14793.0)</f>
        <v>14793</v>
      </c>
    </row>
    <row r="2859">
      <c r="A2859" s="2">
        <f>IFERROR(__xludf.DUMMYFUNCTION("""COMPUTED_VALUE"""),45152.64583333333)</f>
        <v>45152.64583</v>
      </c>
      <c r="B2859" s="1">
        <f>IFERROR(__xludf.DUMMYFUNCTION("""COMPUTED_VALUE"""),18790.0)</f>
        <v>18790</v>
      </c>
      <c r="C2859" s="1">
        <f>IFERROR(__xludf.DUMMYFUNCTION("""COMPUTED_VALUE"""),19020.0)</f>
        <v>19020</v>
      </c>
      <c r="D2859" s="1">
        <f>IFERROR(__xludf.DUMMYFUNCTION("""COMPUTED_VALUE"""),18300.0)</f>
        <v>18300</v>
      </c>
      <c r="E2859" s="1">
        <f>IFERROR(__xludf.DUMMYFUNCTION("""COMPUTED_VALUE"""),18470.0)</f>
        <v>18470</v>
      </c>
      <c r="F2859" s="1">
        <f>IFERROR(__xludf.DUMMYFUNCTION("""COMPUTED_VALUE"""),13445.0)</f>
        <v>13445</v>
      </c>
    </row>
    <row r="2860">
      <c r="A2860" s="2">
        <f>IFERROR(__xludf.DUMMYFUNCTION("""COMPUTED_VALUE"""),45154.64583333333)</f>
        <v>45154.64583</v>
      </c>
      <c r="B2860" s="1">
        <f>IFERROR(__xludf.DUMMYFUNCTION("""COMPUTED_VALUE"""),18250.0)</f>
        <v>18250</v>
      </c>
      <c r="C2860" s="1">
        <f>IFERROR(__xludf.DUMMYFUNCTION("""COMPUTED_VALUE"""),18330.0)</f>
        <v>18330</v>
      </c>
      <c r="D2860" s="1">
        <f>IFERROR(__xludf.DUMMYFUNCTION("""COMPUTED_VALUE"""),17830.0)</f>
        <v>17830</v>
      </c>
      <c r="E2860" s="1">
        <f>IFERROR(__xludf.DUMMYFUNCTION("""COMPUTED_VALUE"""),17830.0)</f>
        <v>17830</v>
      </c>
      <c r="F2860" s="1">
        <f>IFERROR(__xludf.DUMMYFUNCTION("""COMPUTED_VALUE"""),26783.0)</f>
        <v>26783</v>
      </c>
    </row>
    <row r="2861">
      <c r="A2861" s="2">
        <f>IFERROR(__xludf.DUMMYFUNCTION("""COMPUTED_VALUE"""),45155.64583333333)</f>
        <v>45155.64583</v>
      </c>
      <c r="B2861" s="1">
        <f>IFERROR(__xludf.DUMMYFUNCTION("""COMPUTED_VALUE"""),17690.0)</f>
        <v>17690</v>
      </c>
      <c r="C2861" s="1">
        <f>IFERROR(__xludf.DUMMYFUNCTION("""COMPUTED_VALUE"""),17690.0)</f>
        <v>17690</v>
      </c>
      <c r="D2861" s="1">
        <f>IFERROR(__xludf.DUMMYFUNCTION("""COMPUTED_VALUE"""),17120.0)</f>
        <v>17120</v>
      </c>
      <c r="E2861" s="1">
        <f>IFERROR(__xludf.DUMMYFUNCTION("""COMPUTED_VALUE"""),17120.0)</f>
        <v>17120</v>
      </c>
      <c r="F2861" s="1">
        <f>IFERROR(__xludf.DUMMYFUNCTION("""COMPUTED_VALUE"""),31166.0)</f>
        <v>31166</v>
      </c>
    </row>
    <row r="2862">
      <c r="A2862" s="2">
        <f>IFERROR(__xludf.DUMMYFUNCTION("""COMPUTED_VALUE"""),45156.64583333333)</f>
        <v>45156.64583</v>
      </c>
      <c r="B2862" s="1">
        <f>IFERROR(__xludf.DUMMYFUNCTION("""COMPUTED_VALUE"""),17000.0)</f>
        <v>17000</v>
      </c>
      <c r="C2862" s="1">
        <f>IFERROR(__xludf.DUMMYFUNCTION("""COMPUTED_VALUE"""),17600.0)</f>
        <v>17600</v>
      </c>
      <c r="D2862" s="1">
        <f>IFERROR(__xludf.DUMMYFUNCTION("""COMPUTED_VALUE"""),16830.0)</f>
        <v>16830</v>
      </c>
      <c r="E2862" s="1">
        <f>IFERROR(__xludf.DUMMYFUNCTION("""COMPUTED_VALUE"""),17540.0)</f>
        <v>17540</v>
      </c>
      <c r="F2862" s="1">
        <f>IFERROR(__xludf.DUMMYFUNCTION("""COMPUTED_VALUE"""),17478.0)</f>
        <v>17478</v>
      </c>
    </row>
    <row r="2863">
      <c r="A2863" s="2">
        <f>IFERROR(__xludf.DUMMYFUNCTION("""COMPUTED_VALUE"""),45159.64583333333)</f>
        <v>45159.64583</v>
      </c>
      <c r="B2863" s="1">
        <f>IFERROR(__xludf.DUMMYFUNCTION("""COMPUTED_VALUE"""),17380.0)</f>
        <v>17380</v>
      </c>
      <c r="C2863" s="1">
        <f>IFERROR(__xludf.DUMMYFUNCTION("""COMPUTED_VALUE"""),17600.0)</f>
        <v>17600</v>
      </c>
      <c r="D2863" s="1">
        <f>IFERROR(__xludf.DUMMYFUNCTION("""COMPUTED_VALUE"""),17150.0)</f>
        <v>17150</v>
      </c>
      <c r="E2863" s="1">
        <f>IFERROR(__xludf.DUMMYFUNCTION("""COMPUTED_VALUE"""),17470.0)</f>
        <v>17470</v>
      </c>
      <c r="F2863" s="1">
        <f>IFERROR(__xludf.DUMMYFUNCTION("""COMPUTED_VALUE"""),7196.0)</f>
        <v>7196</v>
      </c>
    </row>
    <row r="2864">
      <c r="A2864" s="2">
        <f>IFERROR(__xludf.DUMMYFUNCTION("""COMPUTED_VALUE"""),45160.64583333333)</f>
        <v>45160.64583</v>
      </c>
      <c r="B2864" s="1">
        <f>IFERROR(__xludf.DUMMYFUNCTION("""COMPUTED_VALUE"""),17450.0)</f>
        <v>17450</v>
      </c>
      <c r="C2864" s="1">
        <f>IFERROR(__xludf.DUMMYFUNCTION("""COMPUTED_VALUE"""),17600.0)</f>
        <v>17600</v>
      </c>
      <c r="D2864" s="1">
        <f>IFERROR(__xludf.DUMMYFUNCTION("""COMPUTED_VALUE"""),17040.0)</f>
        <v>17040</v>
      </c>
      <c r="E2864" s="1">
        <f>IFERROR(__xludf.DUMMYFUNCTION("""COMPUTED_VALUE"""),17040.0)</f>
        <v>17040</v>
      </c>
      <c r="F2864" s="1">
        <f>IFERROR(__xludf.DUMMYFUNCTION("""COMPUTED_VALUE"""),10212.0)</f>
        <v>10212</v>
      </c>
    </row>
    <row r="2865">
      <c r="A2865" s="2">
        <f>IFERROR(__xludf.DUMMYFUNCTION("""COMPUTED_VALUE"""),45161.64583333333)</f>
        <v>45161.64583</v>
      </c>
      <c r="B2865" s="1">
        <f>IFERROR(__xludf.DUMMYFUNCTION("""COMPUTED_VALUE"""),17050.0)</f>
        <v>17050</v>
      </c>
      <c r="C2865" s="1">
        <f>IFERROR(__xludf.DUMMYFUNCTION("""COMPUTED_VALUE"""),17390.0)</f>
        <v>17390</v>
      </c>
      <c r="D2865" s="1">
        <f>IFERROR(__xludf.DUMMYFUNCTION("""COMPUTED_VALUE"""),17050.0)</f>
        <v>17050</v>
      </c>
      <c r="E2865" s="1">
        <f>IFERROR(__xludf.DUMMYFUNCTION("""COMPUTED_VALUE"""),17170.0)</f>
        <v>17170</v>
      </c>
      <c r="F2865" s="1">
        <f>IFERROR(__xludf.DUMMYFUNCTION("""COMPUTED_VALUE"""),7412.0)</f>
        <v>7412</v>
      </c>
    </row>
    <row r="2866">
      <c r="A2866" s="2">
        <f>IFERROR(__xludf.DUMMYFUNCTION("""COMPUTED_VALUE"""),45162.64583333333)</f>
        <v>45162.64583</v>
      </c>
      <c r="B2866" s="1">
        <f>IFERROR(__xludf.DUMMYFUNCTION("""COMPUTED_VALUE"""),17260.0)</f>
        <v>17260</v>
      </c>
      <c r="C2866" s="1">
        <f>IFERROR(__xludf.DUMMYFUNCTION("""COMPUTED_VALUE"""),17300.0)</f>
        <v>17300</v>
      </c>
      <c r="D2866" s="1">
        <f>IFERROR(__xludf.DUMMYFUNCTION("""COMPUTED_VALUE"""),17150.0)</f>
        <v>17150</v>
      </c>
      <c r="E2866" s="1">
        <f>IFERROR(__xludf.DUMMYFUNCTION("""COMPUTED_VALUE"""),17200.0)</f>
        <v>17200</v>
      </c>
      <c r="F2866" s="1">
        <f>IFERROR(__xludf.DUMMYFUNCTION("""COMPUTED_VALUE"""),5145.0)</f>
        <v>5145</v>
      </c>
    </row>
    <row r="2867">
      <c r="A2867" s="2">
        <f>IFERROR(__xludf.DUMMYFUNCTION("""COMPUTED_VALUE"""),45163.64583333333)</f>
        <v>45163.64583</v>
      </c>
      <c r="B2867" s="1">
        <f>IFERROR(__xludf.DUMMYFUNCTION("""COMPUTED_VALUE"""),16810.0)</f>
        <v>16810</v>
      </c>
      <c r="C2867" s="1">
        <f>IFERROR(__xludf.DUMMYFUNCTION("""COMPUTED_VALUE"""),17250.0)</f>
        <v>17250</v>
      </c>
      <c r="D2867" s="1">
        <f>IFERROR(__xludf.DUMMYFUNCTION("""COMPUTED_VALUE"""),16810.0)</f>
        <v>16810</v>
      </c>
      <c r="E2867" s="1">
        <f>IFERROR(__xludf.DUMMYFUNCTION("""COMPUTED_VALUE"""),17170.0)</f>
        <v>17170</v>
      </c>
      <c r="F2867" s="1">
        <f>IFERROR(__xludf.DUMMYFUNCTION("""COMPUTED_VALUE"""),5884.0)</f>
        <v>5884</v>
      </c>
    </row>
    <row r="2868">
      <c r="A2868" s="2">
        <f>IFERROR(__xludf.DUMMYFUNCTION("""COMPUTED_VALUE"""),45166.64583333333)</f>
        <v>45166.64583</v>
      </c>
      <c r="B2868" s="1">
        <f>IFERROR(__xludf.DUMMYFUNCTION("""COMPUTED_VALUE"""),17220.0)</f>
        <v>17220</v>
      </c>
      <c r="C2868" s="1">
        <f>IFERROR(__xludf.DUMMYFUNCTION("""COMPUTED_VALUE"""),17450.0)</f>
        <v>17450</v>
      </c>
      <c r="D2868" s="1">
        <f>IFERROR(__xludf.DUMMYFUNCTION("""COMPUTED_VALUE"""),17150.0)</f>
        <v>17150</v>
      </c>
      <c r="E2868" s="1">
        <f>IFERROR(__xludf.DUMMYFUNCTION("""COMPUTED_VALUE"""),17450.0)</f>
        <v>17450</v>
      </c>
      <c r="F2868" s="1">
        <f>IFERROR(__xludf.DUMMYFUNCTION("""COMPUTED_VALUE"""),4927.0)</f>
        <v>4927</v>
      </c>
    </row>
    <row r="2869">
      <c r="A2869" s="2">
        <f>IFERROR(__xludf.DUMMYFUNCTION("""COMPUTED_VALUE"""),45167.64583333333)</f>
        <v>45167.64583</v>
      </c>
      <c r="B2869" s="1">
        <f>IFERROR(__xludf.DUMMYFUNCTION("""COMPUTED_VALUE"""),17400.0)</f>
        <v>17400</v>
      </c>
      <c r="C2869" s="1">
        <f>IFERROR(__xludf.DUMMYFUNCTION("""COMPUTED_VALUE"""),18780.0)</f>
        <v>18780</v>
      </c>
      <c r="D2869" s="1">
        <f>IFERROR(__xludf.DUMMYFUNCTION("""COMPUTED_VALUE"""),17400.0)</f>
        <v>17400</v>
      </c>
      <c r="E2869" s="1">
        <f>IFERROR(__xludf.DUMMYFUNCTION("""COMPUTED_VALUE"""),18030.0)</f>
        <v>18030</v>
      </c>
      <c r="F2869" s="1">
        <f>IFERROR(__xludf.DUMMYFUNCTION("""COMPUTED_VALUE"""),33856.0)</f>
        <v>33856</v>
      </c>
    </row>
    <row r="2870">
      <c r="A2870" s="2">
        <f>IFERROR(__xludf.DUMMYFUNCTION("""COMPUTED_VALUE"""),45168.64583333333)</f>
        <v>45168.64583</v>
      </c>
      <c r="B2870" s="1">
        <f>IFERROR(__xludf.DUMMYFUNCTION("""COMPUTED_VALUE"""),18200.0)</f>
        <v>18200</v>
      </c>
      <c r="C2870" s="1">
        <f>IFERROR(__xludf.DUMMYFUNCTION("""COMPUTED_VALUE"""),19480.0)</f>
        <v>19480</v>
      </c>
      <c r="D2870" s="1">
        <f>IFERROR(__xludf.DUMMYFUNCTION("""COMPUTED_VALUE"""),18020.0)</f>
        <v>18020</v>
      </c>
      <c r="E2870" s="1">
        <f>IFERROR(__xludf.DUMMYFUNCTION("""COMPUTED_VALUE"""),18470.0)</f>
        <v>18470</v>
      </c>
      <c r="F2870" s="1">
        <f>IFERROR(__xludf.DUMMYFUNCTION("""COMPUTED_VALUE"""),46771.0)</f>
        <v>46771</v>
      </c>
    </row>
    <row r="2871">
      <c r="A2871" s="2">
        <f>IFERROR(__xludf.DUMMYFUNCTION("""COMPUTED_VALUE"""),45169.64583333333)</f>
        <v>45169.64583</v>
      </c>
      <c r="B2871" s="1">
        <f>IFERROR(__xludf.DUMMYFUNCTION("""COMPUTED_VALUE"""),18400.0)</f>
        <v>18400</v>
      </c>
      <c r="C2871" s="1">
        <f>IFERROR(__xludf.DUMMYFUNCTION("""COMPUTED_VALUE"""),18470.0)</f>
        <v>18470</v>
      </c>
      <c r="D2871" s="1">
        <f>IFERROR(__xludf.DUMMYFUNCTION("""COMPUTED_VALUE"""),18000.0)</f>
        <v>18000</v>
      </c>
      <c r="E2871" s="1">
        <f>IFERROR(__xludf.DUMMYFUNCTION("""COMPUTED_VALUE"""),18020.0)</f>
        <v>18020</v>
      </c>
      <c r="F2871" s="1">
        <f>IFERROR(__xludf.DUMMYFUNCTION("""COMPUTED_VALUE"""),13904.0)</f>
        <v>13904</v>
      </c>
    </row>
    <row r="2872">
      <c r="A2872" s="2">
        <f>IFERROR(__xludf.DUMMYFUNCTION("""COMPUTED_VALUE"""),45170.64583333333)</f>
        <v>45170.64583</v>
      </c>
      <c r="B2872" s="1">
        <f>IFERROR(__xludf.DUMMYFUNCTION("""COMPUTED_VALUE"""),18010.0)</f>
        <v>18010</v>
      </c>
      <c r="C2872" s="1">
        <f>IFERROR(__xludf.DUMMYFUNCTION("""COMPUTED_VALUE"""),18040.0)</f>
        <v>18040</v>
      </c>
      <c r="D2872" s="1">
        <f>IFERROR(__xludf.DUMMYFUNCTION("""COMPUTED_VALUE"""),17750.0)</f>
        <v>17750</v>
      </c>
      <c r="E2872" s="1">
        <f>IFERROR(__xludf.DUMMYFUNCTION("""COMPUTED_VALUE"""),17990.0)</f>
        <v>17990</v>
      </c>
      <c r="F2872" s="1">
        <f>IFERROR(__xludf.DUMMYFUNCTION("""COMPUTED_VALUE"""),9746.0)</f>
        <v>9746</v>
      </c>
    </row>
    <row r="2873">
      <c r="A2873" s="2">
        <f>IFERROR(__xludf.DUMMYFUNCTION("""COMPUTED_VALUE"""),45173.64583333333)</f>
        <v>45173.64583</v>
      </c>
      <c r="B2873" s="1">
        <f>IFERROR(__xludf.DUMMYFUNCTION("""COMPUTED_VALUE"""),17930.0)</f>
        <v>17930</v>
      </c>
      <c r="C2873" s="1">
        <f>IFERROR(__xludf.DUMMYFUNCTION("""COMPUTED_VALUE"""),18200.0)</f>
        <v>18200</v>
      </c>
      <c r="D2873" s="1">
        <f>IFERROR(__xludf.DUMMYFUNCTION("""COMPUTED_VALUE"""),17680.0)</f>
        <v>17680</v>
      </c>
      <c r="E2873" s="1">
        <f>IFERROR(__xludf.DUMMYFUNCTION("""COMPUTED_VALUE"""),17680.0)</f>
        <v>17680</v>
      </c>
      <c r="F2873" s="1">
        <f>IFERROR(__xludf.DUMMYFUNCTION("""COMPUTED_VALUE"""),11332.0)</f>
        <v>11332</v>
      </c>
    </row>
    <row r="2874">
      <c r="A2874" s="2">
        <f>IFERROR(__xludf.DUMMYFUNCTION("""COMPUTED_VALUE"""),45174.64583333333)</f>
        <v>45174.64583</v>
      </c>
      <c r="B2874" s="1">
        <f>IFERROR(__xludf.DUMMYFUNCTION("""COMPUTED_VALUE"""),17520.0)</f>
        <v>17520</v>
      </c>
      <c r="C2874" s="1">
        <f>IFERROR(__xludf.DUMMYFUNCTION("""COMPUTED_VALUE"""),17690.0)</f>
        <v>17690</v>
      </c>
      <c r="D2874" s="1">
        <f>IFERROR(__xludf.DUMMYFUNCTION("""COMPUTED_VALUE"""),17490.0)</f>
        <v>17490</v>
      </c>
      <c r="E2874" s="1">
        <f>IFERROR(__xludf.DUMMYFUNCTION("""COMPUTED_VALUE"""),17490.0)</f>
        <v>17490</v>
      </c>
      <c r="F2874" s="1">
        <f>IFERROR(__xludf.DUMMYFUNCTION("""COMPUTED_VALUE"""),8416.0)</f>
        <v>8416</v>
      </c>
    </row>
    <row r="2875">
      <c r="A2875" s="2">
        <f>IFERROR(__xludf.DUMMYFUNCTION("""COMPUTED_VALUE"""),45175.64583333333)</f>
        <v>45175.64583</v>
      </c>
      <c r="B2875" s="1">
        <f>IFERROR(__xludf.DUMMYFUNCTION("""COMPUTED_VALUE"""),17540.0)</f>
        <v>17540</v>
      </c>
      <c r="C2875" s="1">
        <f>IFERROR(__xludf.DUMMYFUNCTION("""COMPUTED_VALUE"""),17580.0)</f>
        <v>17580</v>
      </c>
      <c r="D2875" s="1">
        <f>IFERROR(__xludf.DUMMYFUNCTION("""COMPUTED_VALUE"""),17120.0)</f>
        <v>17120</v>
      </c>
      <c r="E2875" s="1">
        <f>IFERROR(__xludf.DUMMYFUNCTION("""COMPUTED_VALUE"""),17530.0)</f>
        <v>17530</v>
      </c>
      <c r="F2875" s="1">
        <f>IFERROR(__xludf.DUMMYFUNCTION("""COMPUTED_VALUE"""),4354.0)</f>
        <v>4354</v>
      </c>
    </row>
    <row r="2876">
      <c r="A2876" s="2">
        <f>IFERROR(__xludf.DUMMYFUNCTION("""COMPUTED_VALUE"""),45176.64583333333)</f>
        <v>45176.64583</v>
      </c>
      <c r="B2876" s="1">
        <f>IFERROR(__xludf.DUMMYFUNCTION("""COMPUTED_VALUE"""),17530.0)</f>
        <v>17530</v>
      </c>
      <c r="C2876" s="1">
        <f>IFERROR(__xludf.DUMMYFUNCTION("""COMPUTED_VALUE"""),17610.0)</f>
        <v>17610</v>
      </c>
      <c r="D2876" s="1">
        <f>IFERROR(__xludf.DUMMYFUNCTION("""COMPUTED_VALUE"""),17180.0)</f>
        <v>17180</v>
      </c>
      <c r="E2876" s="1">
        <f>IFERROR(__xludf.DUMMYFUNCTION("""COMPUTED_VALUE"""),17590.0)</f>
        <v>17590</v>
      </c>
      <c r="F2876" s="1">
        <f>IFERROR(__xludf.DUMMYFUNCTION("""COMPUTED_VALUE"""),11099.0)</f>
        <v>11099</v>
      </c>
    </row>
    <row r="2877">
      <c r="A2877" s="2">
        <f>IFERROR(__xludf.DUMMYFUNCTION("""COMPUTED_VALUE"""),45177.64583333333)</f>
        <v>45177.64583</v>
      </c>
      <c r="B2877" s="1">
        <f>IFERROR(__xludf.DUMMYFUNCTION("""COMPUTED_VALUE"""),17590.0)</f>
        <v>17590</v>
      </c>
      <c r="C2877" s="1">
        <f>IFERROR(__xludf.DUMMYFUNCTION("""COMPUTED_VALUE"""),17780.0)</f>
        <v>17780</v>
      </c>
      <c r="D2877" s="1">
        <f>IFERROR(__xludf.DUMMYFUNCTION("""COMPUTED_VALUE"""),17300.0)</f>
        <v>17300</v>
      </c>
      <c r="E2877" s="1">
        <f>IFERROR(__xludf.DUMMYFUNCTION("""COMPUTED_VALUE"""),17470.0)</f>
        <v>17470</v>
      </c>
      <c r="F2877" s="1">
        <f>IFERROR(__xludf.DUMMYFUNCTION("""COMPUTED_VALUE"""),6660.0)</f>
        <v>6660</v>
      </c>
    </row>
    <row r="2878">
      <c r="A2878" s="2">
        <f>IFERROR(__xludf.DUMMYFUNCTION("""COMPUTED_VALUE"""),45180.64583333333)</f>
        <v>45180.64583</v>
      </c>
      <c r="B2878" s="1">
        <f>IFERROR(__xludf.DUMMYFUNCTION("""COMPUTED_VALUE"""),17350.0)</f>
        <v>17350</v>
      </c>
      <c r="C2878" s="1">
        <f>IFERROR(__xludf.DUMMYFUNCTION("""COMPUTED_VALUE"""),17560.0)</f>
        <v>17560</v>
      </c>
      <c r="D2878" s="1">
        <f>IFERROR(__xludf.DUMMYFUNCTION("""COMPUTED_VALUE"""),17350.0)</f>
        <v>17350</v>
      </c>
      <c r="E2878" s="1">
        <f>IFERROR(__xludf.DUMMYFUNCTION("""COMPUTED_VALUE"""),17480.0)</f>
        <v>17480</v>
      </c>
      <c r="F2878" s="1">
        <f>IFERROR(__xludf.DUMMYFUNCTION("""COMPUTED_VALUE"""),4568.0)</f>
        <v>4568</v>
      </c>
    </row>
    <row r="2879">
      <c r="A2879" s="2">
        <f>IFERROR(__xludf.DUMMYFUNCTION("""COMPUTED_VALUE"""),45181.64583333333)</f>
        <v>45181.64583</v>
      </c>
      <c r="B2879" s="1">
        <f>IFERROR(__xludf.DUMMYFUNCTION("""COMPUTED_VALUE"""),17450.0)</f>
        <v>17450</v>
      </c>
      <c r="C2879" s="1">
        <f>IFERROR(__xludf.DUMMYFUNCTION("""COMPUTED_VALUE"""),17600.0)</f>
        <v>17600</v>
      </c>
      <c r="D2879" s="1">
        <f>IFERROR(__xludf.DUMMYFUNCTION("""COMPUTED_VALUE"""),17380.0)</f>
        <v>17380</v>
      </c>
      <c r="E2879" s="1">
        <f>IFERROR(__xludf.DUMMYFUNCTION("""COMPUTED_VALUE"""),17480.0)</f>
        <v>17480</v>
      </c>
      <c r="F2879" s="1">
        <f>IFERROR(__xludf.DUMMYFUNCTION("""COMPUTED_VALUE"""),7602.0)</f>
        <v>7602</v>
      </c>
    </row>
    <row r="2880">
      <c r="A2880" s="2">
        <f>IFERROR(__xludf.DUMMYFUNCTION("""COMPUTED_VALUE"""),45182.64583333333)</f>
        <v>45182.64583</v>
      </c>
      <c r="B2880" s="1">
        <f>IFERROR(__xludf.DUMMYFUNCTION("""COMPUTED_VALUE"""),17480.0)</f>
        <v>17480</v>
      </c>
      <c r="C2880" s="1">
        <f>IFERROR(__xludf.DUMMYFUNCTION("""COMPUTED_VALUE"""),17540.0)</f>
        <v>17540</v>
      </c>
      <c r="D2880" s="1">
        <f>IFERROR(__xludf.DUMMYFUNCTION("""COMPUTED_VALUE"""),17100.0)</f>
        <v>17100</v>
      </c>
      <c r="E2880" s="1">
        <f>IFERROR(__xludf.DUMMYFUNCTION("""COMPUTED_VALUE"""),17200.0)</f>
        <v>17200</v>
      </c>
      <c r="F2880" s="1">
        <f>IFERROR(__xludf.DUMMYFUNCTION("""COMPUTED_VALUE"""),6467.0)</f>
        <v>6467</v>
      </c>
    </row>
    <row r="2881">
      <c r="A2881" s="2">
        <f>IFERROR(__xludf.DUMMYFUNCTION("""COMPUTED_VALUE"""),45183.64583333333)</f>
        <v>45183.64583</v>
      </c>
      <c r="B2881" s="1">
        <f>IFERROR(__xludf.DUMMYFUNCTION("""COMPUTED_VALUE"""),17210.0)</f>
        <v>17210</v>
      </c>
      <c r="C2881" s="1">
        <f>IFERROR(__xludf.DUMMYFUNCTION("""COMPUTED_VALUE"""),17250.0)</f>
        <v>17250</v>
      </c>
      <c r="D2881" s="1">
        <f>IFERROR(__xludf.DUMMYFUNCTION("""COMPUTED_VALUE"""),17100.0)</f>
        <v>17100</v>
      </c>
      <c r="E2881" s="1">
        <f>IFERROR(__xludf.DUMMYFUNCTION("""COMPUTED_VALUE"""),17250.0)</f>
        <v>17250</v>
      </c>
      <c r="F2881" s="1">
        <f>IFERROR(__xludf.DUMMYFUNCTION("""COMPUTED_VALUE"""),4001.0)</f>
        <v>4001</v>
      </c>
    </row>
    <row r="2882">
      <c r="A2882" s="2">
        <f>IFERROR(__xludf.DUMMYFUNCTION("""COMPUTED_VALUE"""),45184.64583333333)</f>
        <v>45184.64583</v>
      </c>
      <c r="B2882" s="1">
        <f>IFERROR(__xludf.DUMMYFUNCTION("""COMPUTED_VALUE"""),17110.0)</f>
        <v>17110</v>
      </c>
      <c r="C2882" s="1">
        <f>IFERROR(__xludf.DUMMYFUNCTION("""COMPUTED_VALUE"""),17310.0)</f>
        <v>17310</v>
      </c>
      <c r="D2882" s="1">
        <f>IFERROR(__xludf.DUMMYFUNCTION("""COMPUTED_VALUE"""),17000.0)</f>
        <v>17000</v>
      </c>
      <c r="E2882" s="1">
        <f>IFERROR(__xludf.DUMMYFUNCTION("""COMPUTED_VALUE"""),17130.0)</f>
        <v>17130</v>
      </c>
      <c r="F2882" s="1">
        <f>IFERROR(__xludf.DUMMYFUNCTION("""COMPUTED_VALUE"""),14224.0)</f>
        <v>14224</v>
      </c>
    </row>
    <row r="2883">
      <c r="A2883" s="2">
        <f>IFERROR(__xludf.DUMMYFUNCTION("""COMPUTED_VALUE"""),45187.64583333333)</f>
        <v>45187.64583</v>
      </c>
      <c r="B2883" s="1">
        <f>IFERROR(__xludf.DUMMYFUNCTION("""COMPUTED_VALUE"""),16500.0)</f>
        <v>16500</v>
      </c>
      <c r="C2883" s="1">
        <f>IFERROR(__xludf.DUMMYFUNCTION("""COMPUTED_VALUE"""),16950.0)</f>
        <v>16950</v>
      </c>
      <c r="D2883" s="1">
        <f>IFERROR(__xludf.DUMMYFUNCTION("""COMPUTED_VALUE"""),16500.0)</f>
        <v>16500</v>
      </c>
      <c r="E2883" s="1">
        <f>IFERROR(__xludf.DUMMYFUNCTION("""COMPUTED_VALUE"""),16810.0)</f>
        <v>16810</v>
      </c>
      <c r="F2883" s="1">
        <f>IFERROR(__xludf.DUMMYFUNCTION("""COMPUTED_VALUE"""),20107.0)</f>
        <v>20107</v>
      </c>
    </row>
    <row r="2884">
      <c r="A2884" s="2">
        <f>IFERROR(__xludf.DUMMYFUNCTION("""COMPUTED_VALUE"""),45188.64583333333)</f>
        <v>45188.64583</v>
      </c>
      <c r="B2884" s="1">
        <f>IFERROR(__xludf.DUMMYFUNCTION("""COMPUTED_VALUE"""),16670.0)</f>
        <v>16670</v>
      </c>
      <c r="C2884" s="1">
        <f>IFERROR(__xludf.DUMMYFUNCTION("""COMPUTED_VALUE"""),16700.0)</f>
        <v>16700</v>
      </c>
      <c r="D2884" s="1">
        <f>IFERROR(__xludf.DUMMYFUNCTION("""COMPUTED_VALUE"""),16400.0)</f>
        <v>16400</v>
      </c>
      <c r="E2884" s="1">
        <f>IFERROR(__xludf.DUMMYFUNCTION("""COMPUTED_VALUE"""),16470.0)</f>
        <v>16470</v>
      </c>
      <c r="F2884" s="1">
        <f>IFERROR(__xludf.DUMMYFUNCTION("""COMPUTED_VALUE"""),16713.0)</f>
        <v>16713</v>
      </c>
    </row>
    <row r="2885">
      <c r="A2885" s="2">
        <f>IFERROR(__xludf.DUMMYFUNCTION("""COMPUTED_VALUE"""),45189.64583333333)</f>
        <v>45189.64583</v>
      </c>
      <c r="B2885" s="1">
        <f>IFERROR(__xludf.DUMMYFUNCTION("""COMPUTED_VALUE"""),16370.0)</f>
        <v>16370</v>
      </c>
      <c r="C2885" s="1">
        <f>IFERROR(__xludf.DUMMYFUNCTION("""COMPUTED_VALUE"""),16410.0)</f>
        <v>16410</v>
      </c>
      <c r="D2885" s="1">
        <f>IFERROR(__xludf.DUMMYFUNCTION("""COMPUTED_VALUE"""),16140.0)</f>
        <v>16140</v>
      </c>
      <c r="E2885" s="1">
        <f>IFERROR(__xludf.DUMMYFUNCTION("""COMPUTED_VALUE"""),16140.0)</f>
        <v>16140</v>
      </c>
      <c r="F2885" s="1">
        <f>IFERROR(__xludf.DUMMYFUNCTION("""COMPUTED_VALUE"""),12889.0)</f>
        <v>12889</v>
      </c>
    </row>
    <row r="2886">
      <c r="A2886" s="2">
        <f>IFERROR(__xludf.DUMMYFUNCTION("""COMPUTED_VALUE"""),45190.64583333333)</f>
        <v>45190.64583</v>
      </c>
      <c r="B2886" s="1">
        <f>IFERROR(__xludf.DUMMYFUNCTION("""COMPUTED_VALUE"""),16140.0)</f>
        <v>16140</v>
      </c>
      <c r="C2886" s="1">
        <f>IFERROR(__xludf.DUMMYFUNCTION("""COMPUTED_VALUE"""),16190.0)</f>
        <v>16190</v>
      </c>
      <c r="D2886" s="1">
        <f>IFERROR(__xludf.DUMMYFUNCTION("""COMPUTED_VALUE"""),15640.0)</f>
        <v>15640</v>
      </c>
      <c r="E2886" s="1">
        <f>IFERROR(__xludf.DUMMYFUNCTION("""COMPUTED_VALUE"""),15790.0)</f>
        <v>15790</v>
      </c>
      <c r="F2886" s="1">
        <f>IFERROR(__xludf.DUMMYFUNCTION("""COMPUTED_VALUE"""),39956.0)</f>
        <v>39956</v>
      </c>
    </row>
    <row r="2887">
      <c r="A2887" s="2">
        <f>IFERROR(__xludf.DUMMYFUNCTION("""COMPUTED_VALUE"""),45191.64583333333)</f>
        <v>45191.64583</v>
      </c>
      <c r="B2887" s="1">
        <f>IFERROR(__xludf.DUMMYFUNCTION("""COMPUTED_VALUE"""),15480.0)</f>
        <v>15480</v>
      </c>
      <c r="C2887" s="1">
        <f>IFERROR(__xludf.DUMMYFUNCTION("""COMPUTED_VALUE"""),15810.0)</f>
        <v>15810</v>
      </c>
      <c r="D2887" s="1">
        <f>IFERROR(__xludf.DUMMYFUNCTION("""COMPUTED_VALUE"""),15430.0)</f>
        <v>15430</v>
      </c>
      <c r="E2887" s="1">
        <f>IFERROR(__xludf.DUMMYFUNCTION("""COMPUTED_VALUE"""),15540.0)</f>
        <v>15540</v>
      </c>
      <c r="F2887" s="1">
        <f>IFERROR(__xludf.DUMMYFUNCTION("""COMPUTED_VALUE"""),12264.0)</f>
        <v>12264</v>
      </c>
    </row>
    <row r="2888">
      <c r="A2888" s="2">
        <f>IFERROR(__xludf.DUMMYFUNCTION("""COMPUTED_VALUE"""),45194.64583333333)</f>
        <v>45194.64583</v>
      </c>
      <c r="B2888" s="1">
        <f>IFERROR(__xludf.DUMMYFUNCTION("""COMPUTED_VALUE"""),15380.0)</f>
        <v>15380</v>
      </c>
      <c r="C2888" s="1">
        <f>IFERROR(__xludf.DUMMYFUNCTION("""COMPUTED_VALUE"""),15600.0)</f>
        <v>15600</v>
      </c>
      <c r="D2888" s="1">
        <f>IFERROR(__xludf.DUMMYFUNCTION("""COMPUTED_VALUE"""),15180.0)</f>
        <v>15180</v>
      </c>
      <c r="E2888" s="1">
        <f>IFERROR(__xludf.DUMMYFUNCTION("""COMPUTED_VALUE"""),15450.0)</f>
        <v>15450</v>
      </c>
      <c r="F2888" s="1">
        <f>IFERROR(__xludf.DUMMYFUNCTION("""COMPUTED_VALUE"""),12237.0)</f>
        <v>12237</v>
      </c>
    </row>
    <row r="2889">
      <c r="A2889" s="2">
        <f>IFERROR(__xludf.DUMMYFUNCTION("""COMPUTED_VALUE"""),45195.64583333333)</f>
        <v>45195.64583</v>
      </c>
      <c r="B2889" s="1">
        <f>IFERROR(__xludf.DUMMYFUNCTION("""COMPUTED_VALUE"""),15340.0)</f>
        <v>15340</v>
      </c>
      <c r="C2889" s="1">
        <f>IFERROR(__xludf.DUMMYFUNCTION("""COMPUTED_VALUE"""),15450.0)</f>
        <v>15450</v>
      </c>
      <c r="D2889" s="1">
        <f>IFERROR(__xludf.DUMMYFUNCTION("""COMPUTED_VALUE"""),15100.0)</f>
        <v>15100</v>
      </c>
      <c r="E2889" s="1">
        <f>IFERROR(__xludf.DUMMYFUNCTION("""COMPUTED_VALUE"""),15170.0)</f>
        <v>15170</v>
      </c>
      <c r="F2889" s="1">
        <f>IFERROR(__xludf.DUMMYFUNCTION("""COMPUTED_VALUE"""),17409.0)</f>
        <v>17409</v>
      </c>
    </row>
    <row r="2890">
      <c r="A2890" s="2">
        <f>IFERROR(__xludf.DUMMYFUNCTION("""COMPUTED_VALUE"""),45196.64583333333)</f>
        <v>45196.64583</v>
      </c>
      <c r="B2890" s="1">
        <f>IFERROR(__xludf.DUMMYFUNCTION("""COMPUTED_VALUE"""),14800.0)</f>
        <v>14800</v>
      </c>
      <c r="C2890" s="1">
        <f>IFERROR(__xludf.DUMMYFUNCTION("""COMPUTED_VALUE"""),15420.0)</f>
        <v>15420</v>
      </c>
      <c r="D2890" s="1">
        <f>IFERROR(__xludf.DUMMYFUNCTION("""COMPUTED_VALUE"""),14800.0)</f>
        <v>14800</v>
      </c>
      <c r="E2890" s="1">
        <f>IFERROR(__xludf.DUMMYFUNCTION("""COMPUTED_VALUE"""),15390.0)</f>
        <v>15390</v>
      </c>
      <c r="F2890" s="1">
        <f>IFERROR(__xludf.DUMMYFUNCTION("""COMPUTED_VALUE"""),17651.0)</f>
        <v>17651</v>
      </c>
    </row>
    <row r="2891">
      <c r="A2891" s="2">
        <f>IFERROR(__xludf.DUMMYFUNCTION("""COMPUTED_VALUE"""),45203.64583333333)</f>
        <v>45203.64583</v>
      </c>
      <c r="B2891" s="1">
        <f>IFERROR(__xludf.DUMMYFUNCTION("""COMPUTED_VALUE"""),15240.0)</f>
        <v>15240</v>
      </c>
      <c r="C2891" s="1">
        <f>IFERROR(__xludf.DUMMYFUNCTION("""COMPUTED_VALUE"""),15330.0)</f>
        <v>15330</v>
      </c>
      <c r="D2891" s="1">
        <f>IFERROR(__xludf.DUMMYFUNCTION("""COMPUTED_VALUE"""),14770.0)</f>
        <v>14770</v>
      </c>
      <c r="E2891" s="1">
        <f>IFERROR(__xludf.DUMMYFUNCTION("""COMPUTED_VALUE"""),14970.0)</f>
        <v>14970</v>
      </c>
      <c r="F2891" s="1">
        <f>IFERROR(__xludf.DUMMYFUNCTION("""COMPUTED_VALUE"""),11718.0)</f>
        <v>11718</v>
      </c>
    </row>
    <row r="2892">
      <c r="A2892" s="2">
        <f>IFERROR(__xludf.DUMMYFUNCTION("""COMPUTED_VALUE"""),45204.64583333333)</f>
        <v>45204.64583</v>
      </c>
      <c r="B2892" s="1">
        <f>IFERROR(__xludf.DUMMYFUNCTION("""COMPUTED_VALUE"""),14970.0)</f>
        <v>14970</v>
      </c>
      <c r="C2892" s="1">
        <f>IFERROR(__xludf.DUMMYFUNCTION("""COMPUTED_VALUE"""),15100.0)</f>
        <v>15100</v>
      </c>
      <c r="D2892" s="1">
        <f>IFERROR(__xludf.DUMMYFUNCTION("""COMPUTED_VALUE"""),14340.0)</f>
        <v>14340</v>
      </c>
      <c r="E2892" s="1">
        <f>IFERROR(__xludf.DUMMYFUNCTION("""COMPUTED_VALUE"""),14380.0)</f>
        <v>14380</v>
      </c>
      <c r="F2892" s="1">
        <f>IFERROR(__xludf.DUMMYFUNCTION("""COMPUTED_VALUE"""),16522.0)</f>
        <v>16522</v>
      </c>
    </row>
    <row r="2893">
      <c r="A2893" s="2">
        <f>IFERROR(__xludf.DUMMYFUNCTION("""COMPUTED_VALUE"""),45205.64583333333)</f>
        <v>45205.64583</v>
      </c>
      <c r="B2893" s="1">
        <f>IFERROR(__xludf.DUMMYFUNCTION("""COMPUTED_VALUE"""),14040.0)</f>
        <v>14040</v>
      </c>
      <c r="C2893" s="1">
        <f>IFERROR(__xludf.DUMMYFUNCTION("""COMPUTED_VALUE"""),14490.0)</f>
        <v>14490</v>
      </c>
      <c r="D2893" s="1">
        <f>IFERROR(__xludf.DUMMYFUNCTION("""COMPUTED_VALUE"""),14040.0)</f>
        <v>14040</v>
      </c>
      <c r="E2893" s="1">
        <f>IFERROR(__xludf.DUMMYFUNCTION("""COMPUTED_VALUE"""),14360.0)</f>
        <v>14360</v>
      </c>
      <c r="F2893" s="1">
        <f>IFERROR(__xludf.DUMMYFUNCTION("""COMPUTED_VALUE"""),17174.0)</f>
        <v>17174</v>
      </c>
    </row>
    <row r="2894">
      <c r="A2894" s="2">
        <f>IFERROR(__xludf.DUMMYFUNCTION("""COMPUTED_VALUE"""),45209.64583333333)</f>
        <v>45209.64583</v>
      </c>
      <c r="B2894" s="1">
        <f>IFERROR(__xludf.DUMMYFUNCTION("""COMPUTED_VALUE"""),14360.0)</f>
        <v>14360</v>
      </c>
      <c r="C2894" s="1">
        <f>IFERROR(__xludf.DUMMYFUNCTION("""COMPUTED_VALUE"""),14500.0)</f>
        <v>14500</v>
      </c>
      <c r="D2894" s="1">
        <f>IFERROR(__xludf.DUMMYFUNCTION("""COMPUTED_VALUE"""),13510.0)</f>
        <v>13510</v>
      </c>
      <c r="E2894" s="1">
        <f>IFERROR(__xludf.DUMMYFUNCTION("""COMPUTED_VALUE"""),13700.0)</f>
        <v>13700</v>
      </c>
      <c r="F2894" s="1">
        <f>IFERROR(__xludf.DUMMYFUNCTION("""COMPUTED_VALUE"""),17838.0)</f>
        <v>17838</v>
      </c>
    </row>
    <row r="2895">
      <c r="A2895" s="2">
        <f>IFERROR(__xludf.DUMMYFUNCTION("""COMPUTED_VALUE"""),45210.64583333333)</f>
        <v>45210.64583</v>
      </c>
      <c r="B2895" s="1">
        <f>IFERROR(__xludf.DUMMYFUNCTION("""COMPUTED_VALUE"""),13940.0)</f>
        <v>13940</v>
      </c>
      <c r="C2895" s="1">
        <f>IFERROR(__xludf.DUMMYFUNCTION("""COMPUTED_VALUE"""),14360.0)</f>
        <v>14360</v>
      </c>
      <c r="D2895" s="1">
        <f>IFERROR(__xludf.DUMMYFUNCTION("""COMPUTED_VALUE"""),13800.0)</f>
        <v>13800</v>
      </c>
      <c r="E2895" s="1">
        <f>IFERROR(__xludf.DUMMYFUNCTION("""COMPUTED_VALUE"""),14220.0)</f>
        <v>14220</v>
      </c>
      <c r="F2895" s="1">
        <f>IFERROR(__xludf.DUMMYFUNCTION("""COMPUTED_VALUE"""),12440.0)</f>
        <v>12440</v>
      </c>
    </row>
    <row r="2896">
      <c r="A2896" s="2">
        <f>IFERROR(__xludf.DUMMYFUNCTION("""COMPUTED_VALUE"""),45211.64583333333)</f>
        <v>45211.64583</v>
      </c>
      <c r="B2896" s="1">
        <f>IFERROR(__xludf.DUMMYFUNCTION("""COMPUTED_VALUE"""),14120.0)</f>
        <v>14120</v>
      </c>
      <c r="C2896" s="1">
        <f>IFERROR(__xludf.DUMMYFUNCTION("""COMPUTED_VALUE"""),14620.0)</f>
        <v>14620</v>
      </c>
      <c r="D2896" s="1">
        <f>IFERROR(__xludf.DUMMYFUNCTION("""COMPUTED_VALUE"""),14120.0)</f>
        <v>14120</v>
      </c>
      <c r="E2896" s="1">
        <f>IFERROR(__xludf.DUMMYFUNCTION("""COMPUTED_VALUE"""),14600.0)</f>
        <v>14600</v>
      </c>
      <c r="F2896" s="1">
        <f>IFERROR(__xludf.DUMMYFUNCTION("""COMPUTED_VALUE"""),11927.0)</f>
        <v>11927</v>
      </c>
    </row>
    <row r="2897">
      <c r="A2897" s="2">
        <f>IFERROR(__xludf.DUMMYFUNCTION("""COMPUTED_VALUE"""),45212.64583333333)</f>
        <v>45212.64583</v>
      </c>
      <c r="B2897" s="1">
        <f>IFERROR(__xludf.DUMMYFUNCTION("""COMPUTED_VALUE"""),14600.0)</f>
        <v>14600</v>
      </c>
      <c r="C2897" s="1">
        <f>IFERROR(__xludf.DUMMYFUNCTION("""COMPUTED_VALUE"""),14600.0)</f>
        <v>14600</v>
      </c>
      <c r="D2897" s="1">
        <f>IFERROR(__xludf.DUMMYFUNCTION("""COMPUTED_VALUE"""),14040.0)</f>
        <v>14040</v>
      </c>
      <c r="E2897" s="1">
        <f>IFERROR(__xludf.DUMMYFUNCTION("""COMPUTED_VALUE"""),14200.0)</f>
        <v>14200</v>
      </c>
      <c r="F2897" s="1">
        <f>IFERROR(__xludf.DUMMYFUNCTION("""COMPUTED_VALUE"""),7835.0)</f>
        <v>7835</v>
      </c>
    </row>
    <row r="2898">
      <c r="A2898" s="2">
        <f>IFERROR(__xludf.DUMMYFUNCTION("""COMPUTED_VALUE"""),45215.64583333333)</f>
        <v>45215.64583</v>
      </c>
      <c r="B2898" s="1">
        <f>IFERROR(__xludf.DUMMYFUNCTION("""COMPUTED_VALUE"""),14200.0)</f>
        <v>14200</v>
      </c>
      <c r="C2898" s="1">
        <f>IFERROR(__xludf.DUMMYFUNCTION("""COMPUTED_VALUE"""),14200.0)</f>
        <v>14200</v>
      </c>
      <c r="D2898" s="1">
        <f>IFERROR(__xludf.DUMMYFUNCTION("""COMPUTED_VALUE"""),13620.0)</f>
        <v>13620</v>
      </c>
      <c r="E2898" s="1">
        <f>IFERROR(__xludf.DUMMYFUNCTION("""COMPUTED_VALUE"""),13860.0)</f>
        <v>13860</v>
      </c>
      <c r="F2898" s="1">
        <f>IFERROR(__xludf.DUMMYFUNCTION("""COMPUTED_VALUE"""),13339.0)</f>
        <v>13339</v>
      </c>
    </row>
    <row r="2899">
      <c r="A2899" s="2">
        <f>IFERROR(__xludf.DUMMYFUNCTION("""COMPUTED_VALUE"""),45216.64583333333)</f>
        <v>45216.64583</v>
      </c>
      <c r="B2899" s="1">
        <f>IFERROR(__xludf.DUMMYFUNCTION("""COMPUTED_VALUE"""),13860.0)</f>
        <v>13860</v>
      </c>
      <c r="C2899" s="1">
        <f>IFERROR(__xludf.DUMMYFUNCTION("""COMPUTED_VALUE"""),14290.0)</f>
        <v>14290</v>
      </c>
      <c r="D2899" s="1">
        <f>IFERROR(__xludf.DUMMYFUNCTION("""COMPUTED_VALUE"""),13850.0)</f>
        <v>13850</v>
      </c>
      <c r="E2899" s="1">
        <f>IFERROR(__xludf.DUMMYFUNCTION("""COMPUTED_VALUE"""),14270.0)</f>
        <v>14270</v>
      </c>
      <c r="F2899" s="1">
        <f>IFERROR(__xludf.DUMMYFUNCTION("""COMPUTED_VALUE"""),13450.0)</f>
        <v>13450</v>
      </c>
    </row>
    <row r="2900">
      <c r="A2900" s="2">
        <f>IFERROR(__xludf.DUMMYFUNCTION("""COMPUTED_VALUE"""),45217.64583333333)</f>
        <v>45217.64583</v>
      </c>
      <c r="B2900" s="1">
        <f>IFERROR(__xludf.DUMMYFUNCTION("""COMPUTED_VALUE"""),14090.0)</f>
        <v>14090</v>
      </c>
      <c r="C2900" s="1">
        <f>IFERROR(__xludf.DUMMYFUNCTION("""COMPUTED_VALUE"""),14300.0)</f>
        <v>14300</v>
      </c>
      <c r="D2900" s="1">
        <f>IFERROR(__xludf.DUMMYFUNCTION("""COMPUTED_VALUE"""),13930.0)</f>
        <v>13930</v>
      </c>
      <c r="E2900" s="1">
        <f>IFERROR(__xludf.DUMMYFUNCTION("""COMPUTED_VALUE"""),14150.0)</f>
        <v>14150</v>
      </c>
      <c r="F2900" s="1">
        <f>IFERROR(__xludf.DUMMYFUNCTION("""COMPUTED_VALUE"""),9527.0)</f>
        <v>9527</v>
      </c>
    </row>
    <row r="2901">
      <c r="A2901" s="2">
        <f>IFERROR(__xludf.DUMMYFUNCTION("""COMPUTED_VALUE"""),45218.64583333333)</f>
        <v>45218.64583</v>
      </c>
      <c r="B2901" s="1">
        <f>IFERROR(__xludf.DUMMYFUNCTION("""COMPUTED_VALUE"""),14090.0)</f>
        <v>14090</v>
      </c>
      <c r="C2901" s="1">
        <f>IFERROR(__xludf.DUMMYFUNCTION("""COMPUTED_VALUE"""),14090.0)</f>
        <v>14090</v>
      </c>
      <c r="D2901" s="1">
        <f>IFERROR(__xludf.DUMMYFUNCTION("""COMPUTED_VALUE"""),13400.0)</f>
        <v>13400</v>
      </c>
      <c r="E2901" s="1">
        <f>IFERROR(__xludf.DUMMYFUNCTION("""COMPUTED_VALUE"""),13500.0)</f>
        <v>13500</v>
      </c>
      <c r="F2901" s="1">
        <f>IFERROR(__xludf.DUMMYFUNCTION("""COMPUTED_VALUE"""),19574.0)</f>
        <v>19574</v>
      </c>
    </row>
    <row r="2902">
      <c r="A2902" s="2">
        <f>IFERROR(__xludf.DUMMYFUNCTION("""COMPUTED_VALUE"""),45219.64583333333)</f>
        <v>45219.64583</v>
      </c>
      <c r="B2902" s="1">
        <f>IFERROR(__xludf.DUMMYFUNCTION("""COMPUTED_VALUE"""),13370.0)</f>
        <v>13370</v>
      </c>
      <c r="C2902" s="1">
        <f>IFERROR(__xludf.DUMMYFUNCTION("""COMPUTED_VALUE"""),13390.0)</f>
        <v>13390</v>
      </c>
      <c r="D2902" s="1">
        <f>IFERROR(__xludf.DUMMYFUNCTION("""COMPUTED_VALUE"""),12670.0)</f>
        <v>12670</v>
      </c>
      <c r="E2902" s="1">
        <f>IFERROR(__xludf.DUMMYFUNCTION("""COMPUTED_VALUE"""),13070.0)</f>
        <v>13070</v>
      </c>
      <c r="F2902" s="1">
        <f>IFERROR(__xludf.DUMMYFUNCTION("""COMPUTED_VALUE"""),29144.0)</f>
        <v>29144</v>
      </c>
    </row>
    <row r="2903">
      <c r="A2903" s="2">
        <f>IFERROR(__xludf.DUMMYFUNCTION("""COMPUTED_VALUE"""),45222.64583333333)</f>
        <v>45222.64583</v>
      </c>
      <c r="B2903" s="1">
        <f>IFERROR(__xludf.DUMMYFUNCTION("""COMPUTED_VALUE"""),13060.0)</f>
        <v>13060</v>
      </c>
      <c r="C2903" s="1">
        <f>IFERROR(__xludf.DUMMYFUNCTION("""COMPUTED_VALUE"""),13280.0)</f>
        <v>13280</v>
      </c>
      <c r="D2903" s="1">
        <f>IFERROR(__xludf.DUMMYFUNCTION("""COMPUTED_VALUE"""),12310.0)</f>
        <v>12310</v>
      </c>
      <c r="E2903" s="1">
        <f>IFERROR(__xludf.DUMMYFUNCTION("""COMPUTED_VALUE"""),12700.0)</f>
        <v>12700</v>
      </c>
      <c r="F2903" s="1">
        <f>IFERROR(__xludf.DUMMYFUNCTION("""COMPUTED_VALUE"""),12203.0)</f>
        <v>12203</v>
      </c>
    </row>
    <row r="2904">
      <c r="A2904" s="2">
        <f>IFERROR(__xludf.DUMMYFUNCTION("""COMPUTED_VALUE"""),45223.64583333333)</f>
        <v>45223.64583</v>
      </c>
      <c r="B2904" s="1">
        <f>IFERROR(__xludf.DUMMYFUNCTION("""COMPUTED_VALUE"""),12640.0)</f>
        <v>12640</v>
      </c>
      <c r="C2904" s="1">
        <f>IFERROR(__xludf.DUMMYFUNCTION("""COMPUTED_VALUE"""),13250.0)</f>
        <v>13250</v>
      </c>
      <c r="D2904" s="1">
        <f>IFERROR(__xludf.DUMMYFUNCTION("""COMPUTED_VALUE"""),12310.0)</f>
        <v>12310</v>
      </c>
      <c r="E2904" s="1">
        <f>IFERROR(__xludf.DUMMYFUNCTION("""COMPUTED_VALUE"""),13210.0)</f>
        <v>13210</v>
      </c>
      <c r="F2904" s="1">
        <f>IFERROR(__xludf.DUMMYFUNCTION("""COMPUTED_VALUE"""),27789.0)</f>
        <v>27789</v>
      </c>
    </row>
    <row r="2905">
      <c r="A2905" s="2">
        <f>IFERROR(__xludf.DUMMYFUNCTION("""COMPUTED_VALUE"""),45224.64583333333)</f>
        <v>45224.64583</v>
      </c>
      <c r="B2905" s="1">
        <f>IFERROR(__xludf.DUMMYFUNCTION("""COMPUTED_VALUE"""),13210.0)</f>
        <v>13210</v>
      </c>
      <c r="C2905" s="1">
        <f>IFERROR(__xludf.DUMMYFUNCTION("""COMPUTED_VALUE"""),13360.0)</f>
        <v>13360</v>
      </c>
      <c r="D2905" s="1">
        <f>IFERROR(__xludf.DUMMYFUNCTION("""COMPUTED_VALUE"""),13070.0)</f>
        <v>13070</v>
      </c>
      <c r="E2905" s="1">
        <f>IFERROR(__xludf.DUMMYFUNCTION("""COMPUTED_VALUE"""),13220.0)</f>
        <v>13220</v>
      </c>
      <c r="F2905" s="1">
        <f>IFERROR(__xludf.DUMMYFUNCTION("""COMPUTED_VALUE"""),9346.0)</f>
        <v>9346</v>
      </c>
    </row>
    <row r="2906">
      <c r="A2906" s="2">
        <f>IFERROR(__xludf.DUMMYFUNCTION("""COMPUTED_VALUE"""),45225.64583333333)</f>
        <v>45225.64583</v>
      </c>
      <c r="B2906" s="1">
        <f>IFERROR(__xludf.DUMMYFUNCTION("""COMPUTED_VALUE"""),13020.0)</f>
        <v>13020</v>
      </c>
      <c r="C2906" s="1">
        <f>IFERROR(__xludf.DUMMYFUNCTION("""COMPUTED_VALUE"""),17180.0)</f>
        <v>17180</v>
      </c>
      <c r="D2906" s="1">
        <f>IFERROR(__xludf.DUMMYFUNCTION("""COMPUTED_VALUE"""),12840.0)</f>
        <v>12840</v>
      </c>
      <c r="E2906" s="1">
        <f>IFERROR(__xludf.DUMMYFUNCTION("""COMPUTED_VALUE"""),17180.0)</f>
        <v>17180</v>
      </c>
      <c r="F2906" s="1">
        <f>IFERROR(__xludf.DUMMYFUNCTION("""COMPUTED_VALUE"""),969119.0)</f>
        <v>969119</v>
      </c>
    </row>
    <row r="2907">
      <c r="A2907" s="2">
        <f>IFERROR(__xludf.DUMMYFUNCTION("""COMPUTED_VALUE"""),45226.64583333333)</f>
        <v>45226.64583</v>
      </c>
      <c r="B2907" s="1">
        <f>IFERROR(__xludf.DUMMYFUNCTION("""COMPUTED_VALUE"""),17760.0)</f>
        <v>17760</v>
      </c>
      <c r="C2907" s="1">
        <f>IFERROR(__xludf.DUMMYFUNCTION("""COMPUTED_VALUE"""),20400.0)</f>
        <v>20400</v>
      </c>
      <c r="D2907" s="1">
        <f>IFERROR(__xludf.DUMMYFUNCTION("""COMPUTED_VALUE"""),16810.0)</f>
        <v>16810</v>
      </c>
      <c r="E2907" s="1">
        <f>IFERROR(__xludf.DUMMYFUNCTION("""COMPUTED_VALUE"""),17420.0)</f>
        <v>17420</v>
      </c>
      <c r="F2907" s="1">
        <f>IFERROR(__xludf.DUMMYFUNCTION("""COMPUTED_VALUE"""),4712803.0)</f>
        <v>4712803</v>
      </c>
    </row>
    <row r="2908">
      <c r="A2908" s="2">
        <f>IFERROR(__xludf.DUMMYFUNCTION("""COMPUTED_VALUE"""),45229.64583333333)</f>
        <v>45229.64583</v>
      </c>
      <c r="B2908" s="1">
        <f>IFERROR(__xludf.DUMMYFUNCTION("""COMPUTED_VALUE"""),16890.0)</f>
        <v>16890</v>
      </c>
      <c r="C2908" s="1">
        <f>IFERROR(__xludf.DUMMYFUNCTION("""COMPUTED_VALUE"""),16890.0)</f>
        <v>16890</v>
      </c>
      <c r="D2908" s="1">
        <f>IFERROR(__xludf.DUMMYFUNCTION("""COMPUTED_VALUE"""),15170.0)</f>
        <v>15170</v>
      </c>
      <c r="E2908" s="1">
        <f>IFERROR(__xludf.DUMMYFUNCTION("""COMPUTED_VALUE"""),16440.0)</f>
        <v>16440</v>
      </c>
      <c r="F2908" s="1">
        <f>IFERROR(__xludf.DUMMYFUNCTION("""COMPUTED_VALUE"""),537309.0)</f>
        <v>537309</v>
      </c>
    </row>
    <row r="2909">
      <c r="A2909" s="2">
        <f>IFERROR(__xludf.DUMMYFUNCTION("""COMPUTED_VALUE"""),45230.64583333333)</f>
        <v>45230.64583</v>
      </c>
      <c r="B2909" s="1">
        <f>IFERROR(__xludf.DUMMYFUNCTION("""COMPUTED_VALUE"""),16430.0)</f>
        <v>16430</v>
      </c>
      <c r="C2909" s="1">
        <f>IFERROR(__xludf.DUMMYFUNCTION("""COMPUTED_VALUE"""),16430.0)</f>
        <v>16430</v>
      </c>
      <c r="D2909" s="1">
        <f>IFERROR(__xludf.DUMMYFUNCTION("""COMPUTED_VALUE"""),14620.0)</f>
        <v>14620</v>
      </c>
      <c r="E2909" s="1">
        <f>IFERROR(__xludf.DUMMYFUNCTION("""COMPUTED_VALUE"""),14730.0)</f>
        <v>14730</v>
      </c>
      <c r="F2909" s="1">
        <f>IFERROR(__xludf.DUMMYFUNCTION("""COMPUTED_VALUE"""),276661.0)</f>
        <v>276661</v>
      </c>
    </row>
    <row r="2910">
      <c r="A2910" s="2">
        <f>IFERROR(__xludf.DUMMYFUNCTION("""COMPUTED_VALUE"""),45231.64583333333)</f>
        <v>45231.64583</v>
      </c>
      <c r="B2910" s="1">
        <f>IFERROR(__xludf.DUMMYFUNCTION("""COMPUTED_VALUE"""),14530.0)</f>
        <v>14530</v>
      </c>
      <c r="C2910" s="1">
        <f>IFERROR(__xludf.DUMMYFUNCTION("""COMPUTED_VALUE"""),15330.0)</f>
        <v>15330</v>
      </c>
      <c r="D2910" s="1">
        <f>IFERROR(__xludf.DUMMYFUNCTION("""COMPUTED_VALUE"""),14070.0)</f>
        <v>14070</v>
      </c>
      <c r="E2910" s="1">
        <f>IFERROR(__xludf.DUMMYFUNCTION("""COMPUTED_VALUE"""),14090.0)</f>
        <v>14090</v>
      </c>
      <c r="F2910" s="1">
        <f>IFERROR(__xludf.DUMMYFUNCTION("""COMPUTED_VALUE"""),282794.0)</f>
        <v>282794</v>
      </c>
    </row>
    <row r="2911">
      <c r="A2911" s="2">
        <f>IFERROR(__xludf.DUMMYFUNCTION("""COMPUTED_VALUE"""),45232.64583333333)</f>
        <v>45232.64583</v>
      </c>
      <c r="B2911" s="1">
        <f>IFERROR(__xludf.DUMMYFUNCTION("""COMPUTED_VALUE"""),14090.0)</f>
        <v>14090</v>
      </c>
      <c r="C2911" s="1">
        <f>IFERROR(__xludf.DUMMYFUNCTION("""COMPUTED_VALUE"""),14370.0)</f>
        <v>14370</v>
      </c>
      <c r="D2911" s="1">
        <f>IFERROR(__xludf.DUMMYFUNCTION("""COMPUTED_VALUE"""),13800.0)</f>
        <v>13800</v>
      </c>
      <c r="E2911" s="1">
        <f>IFERROR(__xludf.DUMMYFUNCTION("""COMPUTED_VALUE"""),14230.0)</f>
        <v>14230</v>
      </c>
      <c r="F2911" s="1">
        <f>IFERROR(__xludf.DUMMYFUNCTION("""COMPUTED_VALUE"""),158159.0)</f>
        <v>158159</v>
      </c>
    </row>
    <row r="2912">
      <c r="A2912" s="2">
        <f>IFERROR(__xludf.DUMMYFUNCTION("""COMPUTED_VALUE"""),45233.64583333333)</f>
        <v>45233.64583</v>
      </c>
      <c r="B2912" s="1">
        <f>IFERROR(__xludf.DUMMYFUNCTION("""COMPUTED_VALUE"""),14230.0)</f>
        <v>14230</v>
      </c>
      <c r="C2912" s="1">
        <f>IFERROR(__xludf.DUMMYFUNCTION("""COMPUTED_VALUE"""),15470.0)</f>
        <v>15470</v>
      </c>
      <c r="D2912" s="1">
        <f>IFERROR(__xludf.DUMMYFUNCTION("""COMPUTED_VALUE"""),13680.0)</f>
        <v>13680</v>
      </c>
      <c r="E2912" s="1">
        <f>IFERROR(__xludf.DUMMYFUNCTION("""COMPUTED_VALUE"""),14870.0)</f>
        <v>14870</v>
      </c>
      <c r="F2912" s="1">
        <f>IFERROR(__xludf.DUMMYFUNCTION("""COMPUTED_VALUE"""),667598.0)</f>
        <v>667598</v>
      </c>
    </row>
    <row r="2913">
      <c r="A2913" s="2">
        <f>IFERROR(__xludf.DUMMYFUNCTION("""COMPUTED_VALUE"""),45236.64583333333)</f>
        <v>45236.64583</v>
      </c>
      <c r="B2913" s="1">
        <f>IFERROR(__xludf.DUMMYFUNCTION("""COMPUTED_VALUE"""),15420.0)</f>
        <v>15420</v>
      </c>
      <c r="C2913" s="1">
        <f>IFERROR(__xludf.DUMMYFUNCTION("""COMPUTED_VALUE"""),15500.0)</f>
        <v>15500</v>
      </c>
      <c r="D2913" s="1">
        <f>IFERROR(__xludf.DUMMYFUNCTION("""COMPUTED_VALUE"""),14960.0)</f>
        <v>14960</v>
      </c>
      <c r="E2913" s="1">
        <f>IFERROR(__xludf.DUMMYFUNCTION("""COMPUTED_VALUE"""),15140.0)</f>
        <v>15140</v>
      </c>
      <c r="F2913" s="1">
        <f>IFERROR(__xludf.DUMMYFUNCTION("""COMPUTED_VALUE"""),214437.0)</f>
        <v>214437</v>
      </c>
    </row>
    <row r="2914">
      <c r="A2914" s="2">
        <f>IFERROR(__xludf.DUMMYFUNCTION("""COMPUTED_VALUE"""),45237.64583333333)</f>
        <v>45237.64583</v>
      </c>
      <c r="B2914" s="1">
        <f>IFERROR(__xludf.DUMMYFUNCTION("""COMPUTED_VALUE"""),14890.0)</f>
        <v>14890</v>
      </c>
      <c r="C2914" s="1">
        <f>IFERROR(__xludf.DUMMYFUNCTION("""COMPUTED_VALUE"""),15960.0)</f>
        <v>15960</v>
      </c>
      <c r="D2914" s="1">
        <f>IFERROR(__xludf.DUMMYFUNCTION("""COMPUTED_VALUE"""),14640.0)</f>
        <v>14640</v>
      </c>
      <c r="E2914" s="1">
        <f>IFERROR(__xludf.DUMMYFUNCTION("""COMPUTED_VALUE"""),15940.0)</f>
        <v>15940</v>
      </c>
      <c r="F2914" s="1">
        <f>IFERROR(__xludf.DUMMYFUNCTION("""COMPUTED_VALUE"""),295640.0)</f>
        <v>295640</v>
      </c>
    </row>
    <row r="2915">
      <c r="A2915" s="2">
        <f>IFERROR(__xludf.DUMMYFUNCTION("""COMPUTED_VALUE"""),45238.64583333333)</f>
        <v>45238.64583</v>
      </c>
      <c r="B2915" s="1">
        <f>IFERROR(__xludf.DUMMYFUNCTION("""COMPUTED_VALUE"""),15750.0)</f>
        <v>15750</v>
      </c>
      <c r="C2915" s="1">
        <f>IFERROR(__xludf.DUMMYFUNCTION("""COMPUTED_VALUE"""),15920.0)</f>
        <v>15920</v>
      </c>
      <c r="D2915" s="1">
        <f>IFERROR(__xludf.DUMMYFUNCTION("""COMPUTED_VALUE"""),15230.0)</f>
        <v>15230</v>
      </c>
      <c r="E2915" s="1">
        <f>IFERROR(__xludf.DUMMYFUNCTION("""COMPUTED_VALUE"""),15740.0)</f>
        <v>15740</v>
      </c>
      <c r="F2915" s="1">
        <f>IFERROR(__xludf.DUMMYFUNCTION("""COMPUTED_VALUE"""),151822.0)</f>
        <v>151822</v>
      </c>
    </row>
    <row r="2916">
      <c r="A2916" s="2">
        <f>IFERROR(__xludf.DUMMYFUNCTION("""COMPUTED_VALUE"""),45239.64583333333)</f>
        <v>45239.64583</v>
      </c>
      <c r="B2916" s="1">
        <f>IFERROR(__xludf.DUMMYFUNCTION("""COMPUTED_VALUE"""),15630.0)</f>
        <v>15630</v>
      </c>
      <c r="C2916" s="1">
        <f>IFERROR(__xludf.DUMMYFUNCTION("""COMPUTED_VALUE"""),15680.0)</f>
        <v>15680</v>
      </c>
      <c r="D2916" s="1">
        <f>IFERROR(__xludf.DUMMYFUNCTION("""COMPUTED_VALUE"""),15190.0)</f>
        <v>15190</v>
      </c>
      <c r="E2916" s="1">
        <f>IFERROR(__xludf.DUMMYFUNCTION("""COMPUTED_VALUE"""),15370.0)</f>
        <v>15370</v>
      </c>
      <c r="F2916" s="1">
        <f>IFERROR(__xludf.DUMMYFUNCTION("""COMPUTED_VALUE"""),75214.0)</f>
        <v>75214</v>
      </c>
    </row>
    <row r="2917">
      <c r="A2917" s="2">
        <f>IFERROR(__xludf.DUMMYFUNCTION("""COMPUTED_VALUE"""),45240.64583333333)</f>
        <v>45240.64583</v>
      </c>
      <c r="B2917" s="1">
        <f>IFERROR(__xludf.DUMMYFUNCTION("""COMPUTED_VALUE"""),15200.0)</f>
        <v>15200</v>
      </c>
      <c r="C2917" s="1">
        <f>IFERROR(__xludf.DUMMYFUNCTION("""COMPUTED_VALUE"""),15200.0)</f>
        <v>15200</v>
      </c>
      <c r="D2917" s="1">
        <f>IFERROR(__xludf.DUMMYFUNCTION("""COMPUTED_VALUE"""),14050.0)</f>
        <v>14050</v>
      </c>
      <c r="E2917" s="1">
        <f>IFERROR(__xludf.DUMMYFUNCTION("""COMPUTED_VALUE"""),14720.0)</f>
        <v>14720</v>
      </c>
      <c r="F2917" s="1">
        <f>IFERROR(__xludf.DUMMYFUNCTION("""COMPUTED_VALUE"""),71960.0)</f>
        <v>71960</v>
      </c>
    </row>
    <row r="2918">
      <c r="A2918" s="2">
        <f>IFERROR(__xludf.DUMMYFUNCTION("""COMPUTED_VALUE"""),45243.64583333333)</f>
        <v>45243.64583</v>
      </c>
      <c r="B2918" s="1">
        <f>IFERROR(__xludf.DUMMYFUNCTION("""COMPUTED_VALUE"""),14650.0)</f>
        <v>14650</v>
      </c>
      <c r="C2918" s="1">
        <f>IFERROR(__xludf.DUMMYFUNCTION("""COMPUTED_VALUE"""),14980.0)</f>
        <v>14980</v>
      </c>
      <c r="D2918" s="1">
        <f>IFERROR(__xludf.DUMMYFUNCTION("""COMPUTED_VALUE"""),14110.0)</f>
        <v>14110</v>
      </c>
      <c r="E2918" s="1">
        <f>IFERROR(__xludf.DUMMYFUNCTION("""COMPUTED_VALUE"""),14370.0)</f>
        <v>14370</v>
      </c>
      <c r="F2918" s="1">
        <f>IFERROR(__xludf.DUMMYFUNCTION("""COMPUTED_VALUE"""),42645.0)</f>
        <v>42645</v>
      </c>
    </row>
    <row r="2919">
      <c r="A2919" s="2">
        <f>IFERROR(__xludf.DUMMYFUNCTION("""COMPUTED_VALUE"""),45244.64583333333)</f>
        <v>45244.64583</v>
      </c>
      <c r="B2919" s="1">
        <f>IFERROR(__xludf.DUMMYFUNCTION("""COMPUTED_VALUE"""),14320.0)</f>
        <v>14320</v>
      </c>
      <c r="C2919" s="1">
        <f>IFERROR(__xludf.DUMMYFUNCTION("""COMPUTED_VALUE"""),14980.0)</f>
        <v>14980</v>
      </c>
      <c r="D2919" s="1">
        <f>IFERROR(__xludf.DUMMYFUNCTION("""COMPUTED_VALUE"""),14320.0)</f>
        <v>14320</v>
      </c>
      <c r="E2919" s="1">
        <f>IFERROR(__xludf.DUMMYFUNCTION("""COMPUTED_VALUE"""),14900.0)</f>
        <v>14900</v>
      </c>
      <c r="F2919" s="1">
        <f>IFERROR(__xludf.DUMMYFUNCTION("""COMPUTED_VALUE"""),35868.0)</f>
        <v>35868</v>
      </c>
    </row>
    <row r="2920">
      <c r="A2920" s="2">
        <f>IFERROR(__xludf.DUMMYFUNCTION("""COMPUTED_VALUE"""),45245.64583333333)</f>
        <v>45245.64583</v>
      </c>
      <c r="B2920" s="1">
        <f>IFERROR(__xludf.DUMMYFUNCTION("""COMPUTED_VALUE"""),15140.0)</f>
        <v>15140</v>
      </c>
      <c r="C2920" s="1">
        <f>IFERROR(__xludf.DUMMYFUNCTION("""COMPUTED_VALUE"""),15260.0)</f>
        <v>15260</v>
      </c>
      <c r="D2920" s="1">
        <f>IFERROR(__xludf.DUMMYFUNCTION("""COMPUTED_VALUE"""),14930.0)</f>
        <v>14930</v>
      </c>
      <c r="E2920" s="1">
        <f>IFERROR(__xludf.DUMMYFUNCTION("""COMPUTED_VALUE"""),15210.0)</f>
        <v>15210</v>
      </c>
      <c r="F2920" s="1">
        <f>IFERROR(__xludf.DUMMYFUNCTION("""COMPUTED_VALUE"""),52670.0)</f>
        <v>52670</v>
      </c>
    </row>
    <row r="2921">
      <c r="A2921" s="2">
        <f>IFERROR(__xludf.DUMMYFUNCTION("""COMPUTED_VALUE"""),45246.64583333333)</f>
        <v>45246.64583</v>
      </c>
      <c r="B2921" s="1">
        <f>IFERROR(__xludf.DUMMYFUNCTION("""COMPUTED_VALUE"""),15210.0)</f>
        <v>15210</v>
      </c>
      <c r="C2921" s="1">
        <f>IFERROR(__xludf.DUMMYFUNCTION("""COMPUTED_VALUE"""),15550.0)</f>
        <v>15550</v>
      </c>
      <c r="D2921" s="1">
        <f>IFERROR(__xludf.DUMMYFUNCTION("""COMPUTED_VALUE"""),15010.0)</f>
        <v>15010</v>
      </c>
      <c r="E2921" s="1">
        <f>IFERROR(__xludf.DUMMYFUNCTION("""COMPUTED_VALUE"""),15250.0)</f>
        <v>15250</v>
      </c>
      <c r="F2921" s="1">
        <f>IFERROR(__xludf.DUMMYFUNCTION("""COMPUTED_VALUE"""),35473.0)</f>
        <v>35473</v>
      </c>
    </row>
    <row r="2922">
      <c r="A2922" s="2">
        <f>IFERROR(__xludf.DUMMYFUNCTION("""COMPUTED_VALUE"""),45247.64583333333)</f>
        <v>45247.64583</v>
      </c>
      <c r="B2922" s="1">
        <f>IFERROR(__xludf.DUMMYFUNCTION("""COMPUTED_VALUE"""),15250.0)</f>
        <v>15250</v>
      </c>
      <c r="C2922" s="1">
        <f>IFERROR(__xludf.DUMMYFUNCTION("""COMPUTED_VALUE"""),15250.0)</f>
        <v>15250</v>
      </c>
      <c r="D2922" s="1">
        <f>IFERROR(__xludf.DUMMYFUNCTION("""COMPUTED_VALUE"""),14760.0)</f>
        <v>14760</v>
      </c>
      <c r="E2922" s="1">
        <f>IFERROR(__xludf.DUMMYFUNCTION("""COMPUTED_VALUE"""),14850.0)</f>
        <v>14850</v>
      </c>
      <c r="F2922" s="1">
        <f>IFERROR(__xludf.DUMMYFUNCTION("""COMPUTED_VALUE"""),38926.0)</f>
        <v>38926</v>
      </c>
    </row>
    <row r="2923">
      <c r="A2923" s="2">
        <f>IFERROR(__xludf.DUMMYFUNCTION("""COMPUTED_VALUE"""),45250.64583333333)</f>
        <v>45250.64583</v>
      </c>
      <c r="B2923" s="1">
        <f>IFERROR(__xludf.DUMMYFUNCTION("""COMPUTED_VALUE"""),14730.0)</f>
        <v>14730</v>
      </c>
      <c r="C2923" s="1">
        <f>IFERROR(__xludf.DUMMYFUNCTION("""COMPUTED_VALUE"""),15490.0)</f>
        <v>15490</v>
      </c>
      <c r="D2923" s="1">
        <f>IFERROR(__xludf.DUMMYFUNCTION("""COMPUTED_VALUE"""),14730.0)</f>
        <v>14730</v>
      </c>
      <c r="E2923" s="1">
        <f>IFERROR(__xludf.DUMMYFUNCTION("""COMPUTED_VALUE"""),15400.0)</f>
        <v>15400</v>
      </c>
      <c r="F2923" s="1">
        <f>IFERROR(__xludf.DUMMYFUNCTION("""COMPUTED_VALUE"""),48177.0)</f>
        <v>48177</v>
      </c>
    </row>
    <row r="2924">
      <c r="A2924" s="2">
        <f>IFERROR(__xludf.DUMMYFUNCTION("""COMPUTED_VALUE"""),45251.64583333333)</f>
        <v>45251.64583</v>
      </c>
      <c r="B2924" s="1">
        <f>IFERROR(__xludf.DUMMYFUNCTION("""COMPUTED_VALUE"""),15400.0)</f>
        <v>15400</v>
      </c>
      <c r="C2924" s="1">
        <f>IFERROR(__xludf.DUMMYFUNCTION("""COMPUTED_VALUE"""),15900.0)</f>
        <v>15900</v>
      </c>
      <c r="D2924" s="1">
        <f>IFERROR(__xludf.DUMMYFUNCTION("""COMPUTED_VALUE"""),15400.0)</f>
        <v>15400</v>
      </c>
      <c r="E2924" s="1">
        <f>IFERROR(__xludf.DUMMYFUNCTION("""COMPUTED_VALUE"""),15760.0)</f>
        <v>15760</v>
      </c>
      <c r="F2924" s="1">
        <f>IFERROR(__xludf.DUMMYFUNCTION("""COMPUTED_VALUE"""),98347.0)</f>
        <v>98347</v>
      </c>
    </row>
    <row r="2925">
      <c r="A2925" s="2">
        <f>IFERROR(__xludf.DUMMYFUNCTION("""COMPUTED_VALUE"""),45252.64583333333)</f>
        <v>45252.64583</v>
      </c>
      <c r="B2925" s="1">
        <f>IFERROR(__xludf.DUMMYFUNCTION("""COMPUTED_VALUE"""),15670.0)</f>
        <v>15670</v>
      </c>
      <c r="C2925" s="1">
        <f>IFERROR(__xludf.DUMMYFUNCTION("""COMPUTED_VALUE"""),16130.0)</f>
        <v>16130</v>
      </c>
      <c r="D2925" s="1">
        <f>IFERROR(__xludf.DUMMYFUNCTION("""COMPUTED_VALUE"""),15540.0)</f>
        <v>15540</v>
      </c>
      <c r="E2925" s="1">
        <f>IFERROR(__xludf.DUMMYFUNCTION("""COMPUTED_VALUE"""),15640.0)</f>
        <v>15640</v>
      </c>
      <c r="F2925" s="1">
        <f>IFERROR(__xludf.DUMMYFUNCTION("""COMPUTED_VALUE"""),57620.0)</f>
        <v>57620</v>
      </c>
    </row>
    <row r="2926">
      <c r="A2926" s="2">
        <f>IFERROR(__xludf.DUMMYFUNCTION("""COMPUTED_VALUE"""),45253.64583333333)</f>
        <v>45253.64583</v>
      </c>
      <c r="B2926" s="1">
        <f>IFERROR(__xludf.DUMMYFUNCTION("""COMPUTED_VALUE"""),15630.0)</f>
        <v>15630</v>
      </c>
      <c r="C2926" s="1">
        <f>IFERROR(__xludf.DUMMYFUNCTION("""COMPUTED_VALUE"""),16200.0)</f>
        <v>16200</v>
      </c>
      <c r="D2926" s="1">
        <f>IFERROR(__xludf.DUMMYFUNCTION("""COMPUTED_VALUE"""),15520.0)</f>
        <v>15520</v>
      </c>
      <c r="E2926" s="1">
        <f>IFERROR(__xludf.DUMMYFUNCTION("""COMPUTED_VALUE"""),15950.0)</f>
        <v>15950</v>
      </c>
      <c r="F2926" s="1">
        <f>IFERROR(__xludf.DUMMYFUNCTION("""COMPUTED_VALUE"""),65525.0)</f>
        <v>65525</v>
      </c>
    </row>
    <row r="2927">
      <c r="A2927" s="2">
        <f>IFERROR(__xludf.DUMMYFUNCTION("""COMPUTED_VALUE"""),45254.64583333333)</f>
        <v>45254.64583</v>
      </c>
      <c r="B2927" s="1">
        <f>IFERROR(__xludf.DUMMYFUNCTION("""COMPUTED_VALUE"""),16100.0)</f>
        <v>16100</v>
      </c>
      <c r="C2927" s="1">
        <f>IFERROR(__xludf.DUMMYFUNCTION("""COMPUTED_VALUE"""),16180.0)</f>
        <v>16180</v>
      </c>
      <c r="D2927" s="1">
        <f>IFERROR(__xludf.DUMMYFUNCTION("""COMPUTED_VALUE"""),15530.0)</f>
        <v>15530</v>
      </c>
      <c r="E2927" s="1">
        <f>IFERROR(__xludf.DUMMYFUNCTION("""COMPUTED_VALUE"""),15540.0)</f>
        <v>15540</v>
      </c>
      <c r="F2927" s="1">
        <f>IFERROR(__xludf.DUMMYFUNCTION("""COMPUTED_VALUE"""),72990.0)</f>
        <v>72990</v>
      </c>
    </row>
    <row r="2928">
      <c r="A2928" s="2">
        <f>IFERROR(__xludf.DUMMYFUNCTION("""COMPUTED_VALUE"""),45257.64583333333)</f>
        <v>45257.64583</v>
      </c>
      <c r="B2928" s="1">
        <f>IFERROR(__xludf.DUMMYFUNCTION("""COMPUTED_VALUE"""),15420.0)</f>
        <v>15420</v>
      </c>
      <c r="C2928" s="1">
        <f>IFERROR(__xludf.DUMMYFUNCTION("""COMPUTED_VALUE"""),15600.0)</f>
        <v>15600</v>
      </c>
      <c r="D2928" s="1">
        <f>IFERROR(__xludf.DUMMYFUNCTION("""COMPUTED_VALUE"""),15190.0)</f>
        <v>15190</v>
      </c>
      <c r="E2928" s="1">
        <f>IFERROR(__xludf.DUMMYFUNCTION("""COMPUTED_VALUE"""),15210.0)</f>
        <v>15210</v>
      </c>
      <c r="F2928" s="1">
        <f>IFERROR(__xludf.DUMMYFUNCTION("""COMPUTED_VALUE"""),31989.0)</f>
        <v>31989</v>
      </c>
    </row>
    <row r="2929">
      <c r="A2929" s="2">
        <f>IFERROR(__xludf.DUMMYFUNCTION("""COMPUTED_VALUE"""),45258.64583333333)</f>
        <v>45258.64583</v>
      </c>
      <c r="B2929" s="1">
        <f>IFERROR(__xludf.DUMMYFUNCTION("""COMPUTED_VALUE"""),15100.0)</f>
        <v>15100</v>
      </c>
      <c r="C2929" s="1">
        <f>IFERROR(__xludf.DUMMYFUNCTION("""COMPUTED_VALUE"""),15300.0)</f>
        <v>15300</v>
      </c>
      <c r="D2929" s="1">
        <f>IFERROR(__xludf.DUMMYFUNCTION("""COMPUTED_VALUE"""),14740.0)</f>
        <v>14740</v>
      </c>
      <c r="E2929" s="1">
        <f>IFERROR(__xludf.DUMMYFUNCTION("""COMPUTED_VALUE"""),15090.0)</f>
        <v>15090</v>
      </c>
      <c r="F2929" s="1">
        <f>IFERROR(__xludf.DUMMYFUNCTION("""COMPUTED_VALUE"""),48501.0)</f>
        <v>48501</v>
      </c>
    </row>
    <row r="2930">
      <c r="A2930" s="2">
        <f>IFERROR(__xludf.DUMMYFUNCTION("""COMPUTED_VALUE"""),45259.64583333333)</f>
        <v>45259.64583</v>
      </c>
      <c r="B2930" s="1">
        <f>IFERROR(__xludf.DUMMYFUNCTION("""COMPUTED_VALUE"""),15000.0)</f>
        <v>15000</v>
      </c>
      <c r="C2930" s="1">
        <f>IFERROR(__xludf.DUMMYFUNCTION("""COMPUTED_VALUE"""),15090.0)</f>
        <v>15090</v>
      </c>
      <c r="D2930" s="1">
        <f>IFERROR(__xludf.DUMMYFUNCTION("""COMPUTED_VALUE"""),14800.0)</f>
        <v>14800</v>
      </c>
      <c r="E2930" s="1">
        <f>IFERROR(__xludf.DUMMYFUNCTION("""COMPUTED_VALUE"""),14930.0)</f>
        <v>14930</v>
      </c>
      <c r="F2930" s="1">
        <f>IFERROR(__xludf.DUMMYFUNCTION("""COMPUTED_VALUE"""),22401.0)</f>
        <v>22401</v>
      </c>
    </row>
    <row r="2931">
      <c r="A2931" s="2">
        <f>IFERROR(__xludf.DUMMYFUNCTION("""COMPUTED_VALUE"""),45260.64583333333)</f>
        <v>45260.64583</v>
      </c>
      <c r="B2931" s="1">
        <f>IFERROR(__xludf.DUMMYFUNCTION("""COMPUTED_VALUE"""),14920.0)</f>
        <v>14920</v>
      </c>
      <c r="C2931" s="1">
        <f>IFERROR(__xludf.DUMMYFUNCTION("""COMPUTED_VALUE"""),15090.0)</f>
        <v>15090</v>
      </c>
      <c r="D2931" s="1">
        <f>IFERROR(__xludf.DUMMYFUNCTION("""COMPUTED_VALUE"""),14800.0)</f>
        <v>14800</v>
      </c>
      <c r="E2931" s="1">
        <f>IFERROR(__xludf.DUMMYFUNCTION("""COMPUTED_VALUE"""),15070.0)</f>
        <v>15070</v>
      </c>
      <c r="F2931" s="1">
        <f>IFERROR(__xludf.DUMMYFUNCTION("""COMPUTED_VALUE"""),18169.0)</f>
        <v>18169</v>
      </c>
    </row>
    <row r="2932">
      <c r="A2932" s="2">
        <f>IFERROR(__xludf.DUMMYFUNCTION("""COMPUTED_VALUE"""),45261.64583333333)</f>
        <v>45261.64583</v>
      </c>
      <c r="B2932" s="1">
        <f>IFERROR(__xludf.DUMMYFUNCTION("""COMPUTED_VALUE"""),15070.0)</f>
        <v>15070</v>
      </c>
      <c r="C2932" s="1">
        <f>IFERROR(__xludf.DUMMYFUNCTION("""COMPUTED_VALUE"""),15070.0)</f>
        <v>15070</v>
      </c>
      <c r="D2932" s="1">
        <f>IFERROR(__xludf.DUMMYFUNCTION("""COMPUTED_VALUE"""),14870.0)</f>
        <v>14870</v>
      </c>
      <c r="E2932" s="1">
        <f>IFERROR(__xludf.DUMMYFUNCTION("""COMPUTED_VALUE"""),14870.0)</f>
        <v>14870</v>
      </c>
      <c r="F2932" s="1">
        <f>IFERROR(__xludf.DUMMYFUNCTION("""COMPUTED_VALUE"""),19405.0)</f>
        <v>19405</v>
      </c>
    </row>
    <row r="2933">
      <c r="A2933" s="2">
        <f>IFERROR(__xludf.DUMMYFUNCTION("""COMPUTED_VALUE"""),45264.64583333333)</f>
        <v>45264.64583</v>
      </c>
      <c r="B2933" s="1">
        <f>IFERROR(__xludf.DUMMYFUNCTION("""COMPUTED_VALUE"""),14800.0)</f>
        <v>14800</v>
      </c>
      <c r="C2933" s="1">
        <f>IFERROR(__xludf.DUMMYFUNCTION("""COMPUTED_VALUE"""),15100.0)</f>
        <v>15100</v>
      </c>
      <c r="D2933" s="1">
        <f>IFERROR(__xludf.DUMMYFUNCTION("""COMPUTED_VALUE"""),14700.0)</f>
        <v>14700</v>
      </c>
      <c r="E2933" s="1">
        <f>IFERROR(__xludf.DUMMYFUNCTION("""COMPUTED_VALUE"""),15000.0)</f>
        <v>15000</v>
      </c>
      <c r="F2933" s="1">
        <f>IFERROR(__xludf.DUMMYFUNCTION("""COMPUTED_VALUE"""),27296.0)</f>
        <v>27296</v>
      </c>
    </row>
    <row r="2934">
      <c r="A2934" s="2">
        <f>IFERROR(__xludf.DUMMYFUNCTION("""COMPUTED_VALUE"""),45265.64583333333)</f>
        <v>45265.64583</v>
      </c>
      <c r="B2934" s="1">
        <f>IFERROR(__xludf.DUMMYFUNCTION("""COMPUTED_VALUE"""),14800.0)</f>
        <v>14800</v>
      </c>
      <c r="C2934" s="1">
        <f>IFERROR(__xludf.DUMMYFUNCTION("""COMPUTED_VALUE"""),15110.0)</f>
        <v>15110</v>
      </c>
      <c r="D2934" s="1">
        <f>IFERROR(__xludf.DUMMYFUNCTION("""COMPUTED_VALUE"""),14270.0)</f>
        <v>14270</v>
      </c>
      <c r="E2934" s="1">
        <f>IFERROR(__xludf.DUMMYFUNCTION("""COMPUTED_VALUE"""),14320.0)</f>
        <v>14320</v>
      </c>
      <c r="F2934" s="1">
        <f>IFERROR(__xludf.DUMMYFUNCTION("""COMPUTED_VALUE"""),49256.0)</f>
        <v>49256</v>
      </c>
    </row>
    <row r="2935">
      <c r="A2935" s="2">
        <f>IFERROR(__xludf.DUMMYFUNCTION("""COMPUTED_VALUE"""),45266.64583333333)</f>
        <v>45266.64583</v>
      </c>
      <c r="B2935" s="1">
        <f>IFERROR(__xludf.DUMMYFUNCTION("""COMPUTED_VALUE"""),14320.0)</f>
        <v>14320</v>
      </c>
      <c r="C2935" s="1">
        <f>IFERROR(__xludf.DUMMYFUNCTION("""COMPUTED_VALUE"""),15000.0)</f>
        <v>15000</v>
      </c>
      <c r="D2935" s="1">
        <f>IFERROR(__xludf.DUMMYFUNCTION("""COMPUTED_VALUE"""),14320.0)</f>
        <v>14320</v>
      </c>
      <c r="E2935" s="1">
        <f>IFERROR(__xludf.DUMMYFUNCTION("""COMPUTED_VALUE"""),14960.0)</f>
        <v>14960</v>
      </c>
      <c r="F2935" s="1">
        <f>IFERROR(__xludf.DUMMYFUNCTION("""COMPUTED_VALUE"""),37005.0)</f>
        <v>37005</v>
      </c>
    </row>
    <row r="2936">
      <c r="A2936" s="2">
        <f>IFERROR(__xludf.DUMMYFUNCTION("""COMPUTED_VALUE"""),45267.64583333333)</f>
        <v>45267.64583</v>
      </c>
      <c r="B2936" s="1">
        <f>IFERROR(__xludf.DUMMYFUNCTION("""COMPUTED_VALUE"""),15000.0)</f>
        <v>15000</v>
      </c>
      <c r="C2936" s="1">
        <f>IFERROR(__xludf.DUMMYFUNCTION("""COMPUTED_VALUE"""),15000.0)</f>
        <v>15000</v>
      </c>
      <c r="D2936" s="1">
        <f>IFERROR(__xludf.DUMMYFUNCTION("""COMPUTED_VALUE"""),14500.0)</f>
        <v>14500</v>
      </c>
      <c r="E2936" s="1">
        <f>IFERROR(__xludf.DUMMYFUNCTION("""COMPUTED_VALUE"""),14610.0)</f>
        <v>14610</v>
      </c>
      <c r="F2936" s="1">
        <f>IFERROR(__xludf.DUMMYFUNCTION("""COMPUTED_VALUE"""),15274.0)</f>
        <v>15274</v>
      </c>
    </row>
    <row r="2937">
      <c r="A2937" s="2">
        <f>IFERROR(__xludf.DUMMYFUNCTION("""COMPUTED_VALUE"""),45268.64583333333)</f>
        <v>45268.64583</v>
      </c>
      <c r="B2937" s="1">
        <f>IFERROR(__xludf.DUMMYFUNCTION("""COMPUTED_VALUE"""),14620.0)</f>
        <v>14620</v>
      </c>
      <c r="C2937" s="1">
        <f>IFERROR(__xludf.DUMMYFUNCTION("""COMPUTED_VALUE"""),15000.0)</f>
        <v>15000</v>
      </c>
      <c r="D2937" s="1">
        <f>IFERROR(__xludf.DUMMYFUNCTION("""COMPUTED_VALUE"""),14560.0)</f>
        <v>14560</v>
      </c>
      <c r="E2937" s="1">
        <f>IFERROR(__xludf.DUMMYFUNCTION("""COMPUTED_VALUE"""),14880.0)</f>
        <v>14880</v>
      </c>
      <c r="F2937" s="1">
        <f>IFERROR(__xludf.DUMMYFUNCTION("""COMPUTED_VALUE"""),20224.0)</f>
        <v>20224</v>
      </c>
    </row>
    <row r="2938">
      <c r="A2938" s="2">
        <f>IFERROR(__xludf.DUMMYFUNCTION("""COMPUTED_VALUE"""),45271.64583333333)</f>
        <v>45271.64583</v>
      </c>
      <c r="B2938" s="1">
        <f>IFERROR(__xludf.DUMMYFUNCTION("""COMPUTED_VALUE"""),14800.0)</f>
        <v>14800</v>
      </c>
      <c r="C2938" s="1">
        <f>IFERROR(__xludf.DUMMYFUNCTION("""COMPUTED_VALUE"""),15220.0)</f>
        <v>15220</v>
      </c>
      <c r="D2938" s="1">
        <f>IFERROR(__xludf.DUMMYFUNCTION("""COMPUTED_VALUE"""),14800.0)</f>
        <v>14800</v>
      </c>
      <c r="E2938" s="1">
        <f>IFERROR(__xludf.DUMMYFUNCTION("""COMPUTED_VALUE"""),15050.0)</f>
        <v>15050</v>
      </c>
      <c r="F2938" s="1">
        <f>IFERROR(__xludf.DUMMYFUNCTION("""COMPUTED_VALUE"""),30382.0)</f>
        <v>30382</v>
      </c>
    </row>
    <row r="2939">
      <c r="A2939" s="2">
        <f>IFERROR(__xludf.DUMMYFUNCTION("""COMPUTED_VALUE"""),45272.64583333333)</f>
        <v>45272.64583</v>
      </c>
      <c r="B2939" s="1">
        <f>IFERROR(__xludf.DUMMYFUNCTION("""COMPUTED_VALUE"""),15210.0)</f>
        <v>15210</v>
      </c>
      <c r="C2939" s="1">
        <f>IFERROR(__xludf.DUMMYFUNCTION("""COMPUTED_VALUE"""),15210.0)</f>
        <v>15210</v>
      </c>
      <c r="D2939" s="1">
        <f>IFERROR(__xludf.DUMMYFUNCTION("""COMPUTED_VALUE"""),14800.0)</f>
        <v>14800</v>
      </c>
      <c r="E2939" s="1">
        <f>IFERROR(__xludf.DUMMYFUNCTION("""COMPUTED_VALUE"""),14900.0)</f>
        <v>14900</v>
      </c>
      <c r="F2939" s="1">
        <f>IFERROR(__xludf.DUMMYFUNCTION("""COMPUTED_VALUE"""),16253.0)</f>
        <v>16253</v>
      </c>
    </row>
    <row r="2940">
      <c r="A2940" s="2">
        <f>IFERROR(__xludf.DUMMYFUNCTION("""COMPUTED_VALUE"""),45273.64583333333)</f>
        <v>45273.64583</v>
      </c>
      <c r="B2940" s="1">
        <f>IFERROR(__xludf.DUMMYFUNCTION("""COMPUTED_VALUE"""),15100.0)</f>
        <v>15100</v>
      </c>
      <c r="C2940" s="1">
        <f>IFERROR(__xludf.DUMMYFUNCTION("""COMPUTED_VALUE"""),15100.0)</f>
        <v>15100</v>
      </c>
      <c r="D2940" s="1">
        <f>IFERROR(__xludf.DUMMYFUNCTION("""COMPUTED_VALUE"""),14460.0)</f>
        <v>14460</v>
      </c>
      <c r="E2940" s="1">
        <f>IFERROR(__xludf.DUMMYFUNCTION("""COMPUTED_VALUE"""),14470.0)</f>
        <v>14470</v>
      </c>
      <c r="F2940" s="1">
        <f>IFERROR(__xludf.DUMMYFUNCTION("""COMPUTED_VALUE"""),30969.0)</f>
        <v>30969</v>
      </c>
    </row>
    <row r="2941">
      <c r="A2941" s="2">
        <f>IFERROR(__xludf.DUMMYFUNCTION("""COMPUTED_VALUE"""),45274.64583333333)</f>
        <v>45274.64583</v>
      </c>
      <c r="B2941" s="1">
        <f>IFERROR(__xludf.DUMMYFUNCTION("""COMPUTED_VALUE"""),14520.0)</f>
        <v>14520</v>
      </c>
      <c r="C2941" s="1">
        <f>IFERROR(__xludf.DUMMYFUNCTION("""COMPUTED_VALUE"""),14870.0)</f>
        <v>14870</v>
      </c>
      <c r="D2941" s="1">
        <f>IFERROR(__xludf.DUMMYFUNCTION("""COMPUTED_VALUE"""),14520.0)</f>
        <v>14520</v>
      </c>
      <c r="E2941" s="1">
        <f>IFERROR(__xludf.DUMMYFUNCTION("""COMPUTED_VALUE"""),14690.0)</f>
        <v>14690</v>
      </c>
      <c r="F2941" s="1">
        <f>IFERROR(__xludf.DUMMYFUNCTION("""COMPUTED_VALUE"""),15500.0)</f>
        <v>15500</v>
      </c>
    </row>
    <row r="2942">
      <c r="A2942" s="2">
        <f>IFERROR(__xludf.DUMMYFUNCTION("""COMPUTED_VALUE"""),45275.64583333333)</f>
        <v>45275.64583</v>
      </c>
      <c r="B2942" s="1">
        <f>IFERROR(__xludf.DUMMYFUNCTION("""COMPUTED_VALUE"""),14690.0)</f>
        <v>14690</v>
      </c>
      <c r="C2942" s="1">
        <f>IFERROR(__xludf.DUMMYFUNCTION("""COMPUTED_VALUE"""),15000.0)</f>
        <v>15000</v>
      </c>
      <c r="D2942" s="1">
        <f>IFERROR(__xludf.DUMMYFUNCTION("""COMPUTED_VALUE"""),14300.0)</f>
        <v>14300</v>
      </c>
      <c r="E2942" s="1">
        <f>IFERROR(__xludf.DUMMYFUNCTION("""COMPUTED_VALUE"""),15000.0)</f>
        <v>15000</v>
      </c>
      <c r="F2942" s="1">
        <f>IFERROR(__xludf.DUMMYFUNCTION("""COMPUTED_VALUE"""),45730.0)</f>
        <v>45730</v>
      </c>
    </row>
    <row r="2943">
      <c r="A2943" s="2">
        <f>IFERROR(__xludf.DUMMYFUNCTION("""COMPUTED_VALUE"""),45278.64583333333)</f>
        <v>45278.64583</v>
      </c>
      <c r="B2943" s="1">
        <f>IFERROR(__xludf.DUMMYFUNCTION("""COMPUTED_VALUE"""),15000.0)</f>
        <v>15000</v>
      </c>
      <c r="C2943" s="1">
        <f>IFERROR(__xludf.DUMMYFUNCTION("""COMPUTED_VALUE"""),15480.0)</f>
        <v>15480</v>
      </c>
      <c r="D2943" s="1">
        <f>IFERROR(__xludf.DUMMYFUNCTION("""COMPUTED_VALUE"""),14840.0)</f>
        <v>14840</v>
      </c>
      <c r="E2943" s="1">
        <f>IFERROR(__xludf.DUMMYFUNCTION("""COMPUTED_VALUE"""),15200.0)</f>
        <v>15200</v>
      </c>
      <c r="F2943" s="1">
        <f>IFERROR(__xludf.DUMMYFUNCTION("""COMPUTED_VALUE"""),43793.0)</f>
        <v>43793</v>
      </c>
    </row>
    <row r="2944">
      <c r="A2944" s="2">
        <f>IFERROR(__xludf.DUMMYFUNCTION("""COMPUTED_VALUE"""),45279.64583333333)</f>
        <v>45279.64583</v>
      </c>
      <c r="B2944" s="1">
        <f>IFERROR(__xludf.DUMMYFUNCTION("""COMPUTED_VALUE"""),15290.0)</f>
        <v>15290</v>
      </c>
      <c r="C2944" s="1">
        <f>IFERROR(__xludf.DUMMYFUNCTION("""COMPUTED_VALUE"""),15290.0)</f>
        <v>15290</v>
      </c>
      <c r="D2944" s="1">
        <f>IFERROR(__xludf.DUMMYFUNCTION("""COMPUTED_VALUE"""),14940.0)</f>
        <v>14940</v>
      </c>
      <c r="E2944" s="1">
        <f>IFERROR(__xludf.DUMMYFUNCTION("""COMPUTED_VALUE"""),15130.0)</f>
        <v>15130</v>
      </c>
      <c r="F2944" s="1">
        <f>IFERROR(__xludf.DUMMYFUNCTION("""COMPUTED_VALUE"""),17314.0)</f>
        <v>17314</v>
      </c>
    </row>
    <row r="2945">
      <c r="A2945" s="2">
        <f>IFERROR(__xludf.DUMMYFUNCTION("""COMPUTED_VALUE"""),45280.64583333333)</f>
        <v>45280.64583</v>
      </c>
      <c r="B2945" s="1">
        <f>IFERROR(__xludf.DUMMYFUNCTION("""COMPUTED_VALUE"""),15070.0)</f>
        <v>15070</v>
      </c>
      <c r="C2945" s="1">
        <f>IFERROR(__xludf.DUMMYFUNCTION("""COMPUTED_VALUE"""),15420.0)</f>
        <v>15420</v>
      </c>
      <c r="D2945" s="1">
        <f>IFERROR(__xludf.DUMMYFUNCTION("""COMPUTED_VALUE"""),14950.0)</f>
        <v>14950</v>
      </c>
      <c r="E2945" s="1">
        <f>IFERROR(__xludf.DUMMYFUNCTION("""COMPUTED_VALUE"""),15380.0)</f>
        <v>15380</v>
      </c>
      <c r="F2945" s="1">
        <f>IFERROR(__xludf.DUMMYFUNCTION("""COMPUTED_VALUE"""),44281.0)</f>
        <v>44281</v>
      </c>
    </row>
    <row r="2946">
      <c r="A2946" s="2">
        <f>IFERROR(__xludf.DUMMYFUNCTION("""COMPUTED_VALUE"""),45281.64583333333)</f>
        <v>45281.64583</v>
      </c>
      <c r="B2946" s="1">
        <f>IFERROR(__xludf.DUMMYFUNCTION("""COMPUTED_VALUE"""),16220.0)</f>
        <v>16220</v>
      </c>
      <c r="C2946" s="1">
        <f>IFERROR(__xludf.DUMMYFUNCTION("""COMPUTED_VALUE"""),19990.0)</f>
        <v>19990</v>
      </c>
      <c r="D2946" s="1">
        <f>IFERROR(__xludf.DUMMYFUNCTION("""COMPUTED_VALUE"""),15880.0)</f>
        <v>15880</v>
      </c>
      <c r="E2946" s="1">
        <f>IFERROR(__xludf.DUMMYFUNCTION("""COMPUTED_VALUE"""),19990.0)</f>
        <v>19990</v>
      </c>
      <c r="F2946" s="1">
        <f>IFERROR(__xludf.DUMMYFUNCTION("""COMPUTED_VALUE"""),1537922.0)</f>
        <v>1537922</v>
      </c>
    </row>
    <row r="2947">
      <c r="A2947" s="2">
        <f>IFERROR(__xludf.DUMMYFUNCTION("""COMPUTED_VALUE"""),45282.64583333333)</f>
        <v>45282.64583</v>
      </c>
      <c r="B2947" s="1">
        <f>IFERROR(__xludf.DUMMYFUNCTION("""COMPUTED_VALUE"""),18600.0)</f>
        <v>18600</v>
      </c>
      <c r="C2947" s="1">
        <f>IFERROR(__xludf.DUMMYFUNCTION("""COMPUTED_VALUE"""),23050.0)</f>
        <v>23050</v>
      </c>
      <c r="D2947" s="1">
        <f>IFERROR(__xludf.DUMMYFUNCTION("""COMPUTED_VALUE"""),17170.0)</f>
        <v>17170</v>
      </c>
      <c r="E2947" s="1">
        <f>IFERROR(__xludf.DUMMYFUNCTION("""COMPUTED_VALUE"""),19110.0)</f>
        <v>19110</v>
      </c>
      <c r="F2947" s="1">
        <f>IFERROR(__xludf.DUMMYFUNCTION("""COMPUTED_VALUE"""),7648938.0)</f>
        <v>7648938</v>
      </c>
    </row>
    <row r="2948">
      <c r="A2948" s="2">
        <f>IFERROR(__xludf.DUMMYFUNCTION("""COMPUTED_VALUE"""),45286.64583333333)</f>
        <v>45286.64583</v>
      </c>
      <c r="B2948" s="1">
        <f>IFERROR(__xludf.DUMMYFUNCTION("""COMPUTED_VALUE"""),18800.0)</f>
        <v>18800</v>
      </c>
      <c r="C2948" s="1">
        <f>IFERROR(__xludf.DUMMYFUNCTION("""COMPUTED_VALUE"""),22650.0)</f>
        <v>22650</v>
      </c>
      <c r="D2948" s="1">
        <f>IFERROR(__xludf.DUMMYFUNCTION("""COMPUTED_VALUE"""),18250.0)</f>
        <v>18250</v>
      </c>
      <c r="E2948" s="1">
        <f>IFERROR(__xludf.DUMMYFUNCTION("""COMPUTED_VALUE"""),20400.0)</f>
        <v>20400</v>
      </c>
      <c r="F2948" s="1">
        <f>IFERROR(__xludf.DUMMYFUNCTION("""COMPUTED_VALUE"""),6093280.0)</f>
        <v>6093280</v>
      </c>
    </row>
    <row r="2949">
      <c r="A2949" s="2">
        <f>IFERROR(__xludf.DUMMYFUNCTION("""COMPUTED_VALUE"""),45287.64583333333)</f>
        <v>45287.64583</v>
      </c>
      <c r="B2949" s="1">
        <f>IFERROR(__xludf.DUMMYFUNCTION("""COMPUTED_VALUE"""),20750.0)</f>
        <v>20750</v>
      </c>
      <c r="C2949" s="1">
        <f>IFERROR(__xludf.DUMMYFUNCTION("""COMPUTED_VALUE"""),22300.0)</f>
        <v>22300</v>
      </c>
      <c r="D2949" s="1">
        <f>IFERROR(__xludf.DUMMYFUNCTION("""COMPUTED_VALUE"""),20050.0)</f>
        <v>20050</v>
      </c>
      <c r="E2949" s="1">
        <f>IFERROR(__xludf.DUMMYFUNCTION("""COMPUTED_VALUE"""),20150.0)</f>
        <v>20150</v>
      </c>
      <c r="F2949" s="1">
        <f>IFERROR(__xludf.DUMMYFUNCTION("""COMPUTED_VALUE"""),2163841.0)</f>
        <v>2163841</v>
      </c>
    </row>
    <row r="2950">
      <c r="A2950" s="2">
        <f>IFERROR(__xludf.DUMMYFUNCTION("""COMPUTED_VALUE"""),45288.64583333333)</f>
        <v>45288.64583</v>
      </c>
      <c r="B2950" s="1">
        <f>IFERROR(__xludf.DUMMYFUNCTION("""COMPUTED_VALUE"""),19950.0)</f>
        <v>19950</v>
      </c>
      <c r="C2950" s="1">
        <f>IFERROR(__xludf.DUMMYFUNCTION("""COMPUTED_VALUE"""),21500.0)</f>
        <v>21500</v>
      </c>
      <c r="D2950" s="1">
        <f>IFERROR(__xludf.DUMMYFUNCTION("""COMPUTED_VALUE"""),19650.0)</f>
        <v>19650</v>
      </c>
      <c r="E2950" s="1">
        <f>IFERROR(__xludf.DUMMYFUNCTION("""COMPUTED_VALUE"""),19950.0)</f>
        <v>19950</v>
      </c>
      <c r="F2950" s="1">
        <f>IFERROR(__xludf.DUMMYFUNCTION("""COMPUTED_VALUE"""),973209.0)</f>
        <v>973209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IFERROR(__xludf.DUMMYFUNCTION("GOOGLEFINANCE(""KRX:002100"", ""all"", DATE(2012,1,1), DATE(2023,12,31), ""DAILY"")"),"Date")</f>
        <v>Date</v>
      </c>
      <c r="B1" s="1" t="str">
        <f>IFERROR(__xludf.DUMMYFUNCTION("""COMPUTED_VALUE"""),"Open")</f>
        <v>Open</v>
      </c>
      <c r="C1" s="1" t="str">
        <f>IFERROR(__xludf.DUMMYFUNCTION("""COMPUTED_VALUE"""),"High")</f>
        <v>High</v>
      </c>
      <c r="D1" s="1" t="str">
        <f>IFERROR(__xludf.DUMMYFUNCTION("""COMPUTED_VALUE"""),"Low")</f>
        <v>Low</v>
      </c>
      <c r="E1" s="1" t="str">
        <f>IFERROR(__xludf.DUMMYFUNCTION("""COMPUTED_VALUE"""),"Close")</f>
        <v>Close</v>
      </c>
      <c r="F1" s="1" t="str">
        <f>IFERROR(__xludf.DUMMYFUNCTION("""COMPUTED_VALUE"""),"Volume")</f>
        <v>Volume</v>
      </c>
    </row>
    <row r="2">
      <c r="A2" s="2">
        <f>IFERROR(__xludf.DUMMYFUNCTION("""COMPUTED_VALUE"""),40910.645833333336)</f>
        <v>40910.64583</v>
      </c>
      <c r="B2" s="1">
        <f>IFERROR(__xludf.DUMMYFUNCTION("""COMPUTED_VALUE"""),3000.0)</f>
        <v>3000</v>
      </c>
      <c r="C2" s="1">
        <f>IFERROR(__xludf.DUMMYFUNCTION("""COMPUTED_VALUE"""),3015.0)</f>
        <v>3015</v>
      </c>
      <c r="D2" s="1">
        <f>IFERROR(__xludf.DUMMYFUNCTION("""COMPUTED_VALUE"""),2980.0)</f>
        <v>2980</v>
      </c>
      <c r="E2" s="1">
        <f>IFERROR(__xludf.DUMMYFUNCTION("""COMPUTED_VALUE"""),3015.0)</f>
        <v>3015</v>
      </c>
      <c r="F2" s="1">
        <f>IFERROR(__xludf.DUMMYFUNCTION("""COMPUTED_VALUE"""),6000.0)</f>
        <v>6000</v>
      </c>
    </row>
    <row r="3">
      <c r="A3" s="2">
        <f>IFERROR(__xludf.DUMMYFUNCTION("""COMPUTED_VALUE"""),40911.645833333336)</f>
        <v>40911.64583</v>
      </c>
      <c r="B3" s="1">
        <f>IFERROR(__xludf.DUMMYFUNCTION("""COMPUTED_VALUE"""),3020.0)</f>
        <v>3020</v>
      </c>
      <c r="C3" s="1">
        <f>IFERROR(__xludf.DUMMYFUNCTION("""COMPUTED_VALUE"""),3100.0)</f>
        <v>3100</v>
      </c>
      <c r="D3" s="1">
        <f>IFERROR(__xludf.DUMMYFUNCTION("""COMPUTED_VALUE"""),3020.0)</f>
        <v>3020</v>
      </c>
      <c r="E3" s="1">
        <f>IFERROR(__xludf.DUMMYFUNCTION("""COMPUTED_VALUE"""),3080.0)</f>
        <v>3080</v>
      </c>
      <c r="F3" s="1">
        <f>IFERROR(__xludf.DUMMYFUNCTION("""COMPUTED_VALUE"""),6519.0)</f>
        <v>6519</v>
      </c>
    </row>
    <row r="4">
      <c r="A4" s="2">
        <f>IFERROR(__xludf.DUMMYFUNCTION("""COMPUTED_VALUE"""),40912.645833333336)</f>
        <v>40912.64583</v>
      </c>
      <c r="B4" s="1">
        <f>IFERROR(__xludf.DUMMYFUNCTION("""COMPUTED_VALUE"""),3070.0)</f>
        <v>3070</v>
      </c>
      <c r="C4" s="1">
        <f>IFERROR(__xludf.DUMMYFUNCTION("""COMPUTED_VALUE"""),3070.0)</f>
        <v>3070</v>
      </c>
      <c r="D4" s="1">
        <f>IFERROR(__xludf.DUMMYFUNCTION("""COMPUTED_VALUE"""),3035.0)</f>
        <v>3035</v>
      </c>
      <c r="E4" s="1">
        <f>IFERROR(__xludf.DUMMYFUNCTION("""COMPUTED_VALUE"""),3035.0)</f>
        <v>3035</v>
      </c>
      <c r="F4" s="1">
        <f>IFERROR(__xludf.DUMMYFUNCTION("""COMPUTED_VALUE"""),470.0)</f>
        <v>470</v>
      </c>
    </row>
    <row r="5">
      <c r="A5" s="2">
        <f>IFERROR(__xludf.DUMMYFUNCTION("""COMPUTED_VALUE"""),40913.645833333336)</f>
        <v>40913.64583</v>
      </c>
      <c r="B5" s="1">
        <f>IFERROR(__xludf.DUMMYFUNCTION("""COMPUTED_VALUE"""),3035.0)</f>
        <v>3035</v>
      </c>
      <c r="C5" s="1">
        <f>IFERROR(__xludf.DUMMYFUNCTION("""COMPUTED_VALUE"""),3045.0)</f>
        <v>3045</v>
      </c>
      <c r="D5" s="1">
        <f>IFERROR(__xludf.DUMMYFUNCTION("""COMPUTED_VALUE"""),3025.0)</f>
        <v>3025</v>
      </c>
      <c r="E5" s="1">
        <f>IFERROR(__xludf.DUMMYFUNCTION("""COMPUTED_VALUE"""),3030.0)</f>
        <v>3030</v>
      </c>
      <c r="F5" s="1">
        <f>IFERROR(__xludf.DUMMYFUNCTION("""COMPUTED_VALUE"""),1540.0)</f>
        <v>1540</v>
      </c>
    </row>
    <row r="6">
      <c r="A6" s="2">
        <f>IFERROR(__xludf.DUMMYFUNCTION("""COMPUTED_VALUE"""),40914.645833333336)</f>
        <v>40914.64583</v>
      </c>
      <c r="B6" s="1">
        <f>IFERROR(__xludf.DUMMYFUNCTION("""COMPUTED_VALUE"""),2990.0)</f>
        <v>2990</v>
      </c>
      <c r="C6" s="1">
        <f>IFERROR(__xludf.DUMMYFUNCTION("""COMPUTED_VALUE"""),3010.0)</f>
        <v>3010</v>
      </c>
      <c r="D6" s="1">
        <f>IFERROR(__xludf.DUMMYFUNCTION("""COMPUTED_VALUE"""),2865.0)</f>
        <v>2865</v>
      </c>
      <c r="E6" s="1">
        <f>IFERROR(__xludf.DUMMYFUNCTION("""COMPUTED_VALUE"""),2990.0)</f>
        <v>2990</v>
      </c>
      <c r="F6" s="1">
        <f>IFERROR(__xludf.DUMMYFUNCTION("""COMPUTED_VALUE"""),33792.0)</f>
        <v>33792</v>
      </c>
    </row>
    <row r="7">
      <c r="A7" s="2">
        <f>IFERROR(__xludf.DUMMYFUNCTION("""COMPUTED_VALUE"""),40917.645833333336)</f>
        <v>40917.64583</v>
      </c>
      <c r="B7" s="1">
        <f>IFERROR(__xludf.DUMMYFUNCTION("""COMPUTED_VALUE"""),2990.0)</f>
        <v>2990</v>
      </c>
      <c r="C7" s="1">
        <f>IFERROR(__xludf.DUMMYFUNCTION("""COMPUTED_VALUE"""),3000.0)</f>
        <v>3000</v>
      </c>
      <c r="D7" s="1">
        <f>IFERROR(__xludf.DUMMYFUNCTION("""COMPUTED_VALUE"""),2945.0)</f>
        <v>2945</v>
      </c>
      <c r="E7" s="1">
        <f>IFERROR(__xludf.DUMMYFUNCTION("""COMPUTED_VALUE"""),2945.0)</f>
        <v>2945</v>
      </c>
      <c r="F7" s="1">
        <f>IFERROR(__xludf.DUMMYFUNCTION("""COMPUTED_VALUE"""),4030.0)</f>
        <v>4030</v>
      </c>
    </row>
    <row r="8">
      <c r="A8" s="2">
        <f>IFERROR(__xludf.DUMMYFUNCTION("""COMPUTED_VALUE"""),40918.645833333336)</f>
        <v>40918.64583</v>
      </c>
      <c r="B8" s="1">
        <f>IFERROR(__xludf.DUMMYFUNCTION("""COMPUTED_VALUE"""),2970.0)</f>
        <v>2970</v>
      </c>
      <c r="C8" s="1">
        <f>IFERROR(__xludf.DUMMYFUNCTION("""COMPUTED_VALUE"""),2985.0)</f>
        <v>2985</v>
      </c>
      <c r="D8" s="1">
        <f>IFERROR(__xludf.DUMMYFUNCTION("""COMPUTED_VALUE"""),2935.0)</f>
        <v>2935</v>
      </c>
      <c r="E8" s="1">
        <f>IFERROR(__xludf.DUMMYFUNCTION("""COMPUTED_VALUE"""),2980.0)</f>
        <v>2980</v>
      </c>
      <c r="F8" s="1">
        <f>IFERROR(__xludf.DUMMYFUNCTION("""COMPUTED_VALUE"""),14860.0)</f>
        <v>14860</v>
      </c>
    </row>
    <row r="9">
      <c r="A9" s="2">
        <f>IFERROR(__xludf.DUMMYFUNCTION("""COMPUTED_VALUE"""),40919.645833333336)</f>
        <v>40919.64583</v>
      </c>
      <c r="B9" s="1">
        <f>IFERROR(__xludf.DUMMYFUNCTION("""COMPUTED_VALUE"""),2990.0)</f>
        <v>2990</v>
      </c>
      <c r="C9" s="1">
        <f>IFERROR(__xludf.DUMMYFUNCTION("""COMPUTED_VALUE"""),2990.0)</f>
        <v>2990</v>
      </c>
      <c r="D9" s="1">
        <f>IFERROR(__xludf.DUMMYFUNCTION("""COMPUTED_VALUE"""),2955.0)</f>
        <v>2955</v>
      </c>
      <c r="E9" s="1">
        <f>IFERROR(__xludf.DUMMYFUNCTION("""COMPUTED_VALUE"""),2980.0)</f>
        <v>2980</v>
      </c>
      <c r="F9" s="1">
        <f>IFERROR(__xludf.DUMMYFUNCTION("""COMPUTED_VALUE"""),3371.0)</f>
        <v>3371</v>
      </c>
    </row>
    <row r="10">
      <c r="A10" s="2">
        <f>IFERROR(__xludf.DUMMYFUNCTION("""COMPUTED_VALUE"""),40920.645833333336)</f>
        <v>40920.64583</v>
      </c>
      <c r="B10" s="1">
        <f>IFERROR(__xludf.DUMMYFUNCTION("""COMPUTED_VALUE"""),2990.0)</f>
        <v>2990</v>
      </c>
      <c r="C10" s="1">
        <f>IFERROR(__xludf.DUMMYFUNCTION("""COMPUTED_VALUE"""),2990.0)</f>
        <v>2990</v>
      </c>
      <c r="D10" s="1">
        <f>IFERROR(__xludf.DUMMYFUNCTION("""COMPUTED_VALUE"""),2965.0)</f>
        <v>2965</v>
      </c>
      <c r="E10" s="1">
        <f>IFERROR(__xludf.DUMMYFUNCTION("""COMPUTED_VALUE"""),2985.0)</f>
        <v>2985</v>
      </c>
      <c r="F10" s="1">
        <f>IFERROR(__xludf.DUMMYFUNCTION("""COMPUTED_VALUE"""),3191.0)</f>
        <v>3191</v>
      </c>
    </row>
    <row r="11">
      <c r="A11" s="2">
        <f>IFERROR(__xludf.DUMMYFUNCTION("""COMPUTED_VALUE"""),40921.645833333336)</f>
        <v>40921.64583</v>
      </c>
      <c r="B11" s="1">
        <f>IFERROR(__xludf.DUMMYFUNCTION("""COMPUTED_VALUE"""),2975.0)</f>
        <v>2975</v>
      </c>
      <c r="C11" s="1">
        <f>IFERROR(__xludf.DUMMYFUNCTION("""COMPUTED_VALUE"""),3055.0)</f>
        <v>3055</v>
      </c>
      <c r="D11" s="1">
        <f>IFERROR(__xludf.DUMMYFUNCTION("""COMPUTED_VALUE"""),2970.0)</f>
        <v>2970</v>
      </c>
      <c r="E11" s="1">
        <f>IFERROR(__xludf.DUMMYFUNCTION("""COMPUTED_VALUE"""),3015.0)</f>
        <v>3015</v>
      </c>
      <c r="F11" s="1">
        <f>IFERROR(__xludf.DUMMYFUNCTION("""COMPUTED_VALUE"""),28005.0)</f>
        <v>28005</v>
      </c>
    </row>
    <row r="12">
      <c r="A12" s="2">
        <f>IFERROR(__xludf.DUMMYFUNCTION("""COMPUTED_VALUE"""),40924.645833333336)</f>
        <v>40924.64583</v>
      </c>
      <c r="B12" s="1">
        <f>IFERROR(__xludf.DUMMYFUNCTION("""COMPUTED_VALUE"""),3015.0)</f>
        <v>3015</v>
      </c>
      <c r="C12" s="1">
        <f>IFERROR(__xludf.DUMMYFUNCTION("""COMPUTED_VALUE"""),3015.0)</f>
        <v>3015</v>
      </c>
      <c r="D12" s="1">
        <f>IFERROR(__xludf.DUMMYFUNCTION("""COMPUTED_VALUE"""),2965.0)</f>
        <v>2965</v>
      </c>
      <c r="E12" s="1">
        <f>IFERROR(__xludf.DUMMYFUNCTION("""COMPUTED_VALUE"""),2985.0)</f>
        <v>2985</v>
      </c>
      <c r="F12" s="1">
        <f>IFERROR(__xludf.DUMMYFUNCTION("""COMPUTED_VALUE"""),6440.0)</f>
        <v>6440</v>
      </c>
    </row>
    <row r="13">
      <c r="A13" s="2">
        <f>IFERROR(__xludf.DUMMYFUNCTION("""COMPUTED_VALUE"""),40925.645833333336)</f>
        <v>40925.64583</v>
      </c>
      <c r="B13" s="1">
        <f>IFERROR(__xludf.DUMMYFUNCTION("""COMPUTED_VALUE"""),3010.0)</f>
        <v>3010</v>
      </c>
      <c r="C13" s="1">
        <f>IFERROR(__xludf.DUMMYFUNCTION("""COMPUTED_VALUE"""),3030.0)</f>
        <v>3030</v>
      </c>
      <c r="D13" s="1">
        <f>IFERROR(__xludf.DUMMYFUNCTION("""COMPUTED_VALUE"""),2980.0)</f>
        <v>2980</v>
      </c>
      <c r="E13" s="1">
        <f>IFERROR(__xludf.DUMMYFUNCTION("""COMPUTED_VALUE"""),3015.0)</f>
        <v>3015</v>
      </c>
      <c r="F13" s="1">
        <f>IFERROR(__xludf.DUMMYFUNCTION("""COMPUTED_VALUE"""),16460.0)</f>
        <v>16460</v>
      </c>
    </row>
    <row r="14">
      <c r="A14" s="2">
        <f>IFERROR(__xludf.DUMMYFUNCTION("""COMPUTED_VALUE"""),40926.645833333336)</f>
        <v>40926.64583</v>
      </c>
      <c r="B14" s="1">
        <f>IFERROR(__xludf.DUMMYFUNCTION("""COMPUTED_VALUE"""),3025.0)</f>
        <v>3025</v>
      </c>
      <c r="C14" s="1">
        <f>IFERROR(__xludf.DUMMYFUNCTION("""COMPUTED_VALUE"""),3055.0)</f>
        <v>3055</v>
      </c>
      <c r="D14" s="1">
        <f>IFERROR(__xludf.DUMMYFUNCTION("""COMPUTED_VALUE"""),3000.0)</f>
        <v>3000</v>
      </c>
      <c r="E14" s="1">
        <f>IFERROR(__xludf.DUMMYFUNCTION("""COMPUTED_VALUE"""),3050.0)</f>
        <v>3050</v>
      </c>
      <c r="F14" s="1">
        <f>IFERROR(__xludf.DUMMYFUNCTION("""COMPUTED_VALUE"""),18640.0)</f>
        <v>18640</v>
      </c>
    </row>
    <row r="15">
      <c r="A15" s="2">
        <f>IFERROR(__xludf.DUMMYFUNCTION("""COMPUTED_VALUE"""),40927.645833333336)</f>
        <v>40927.64583</v>
      </c>
      <c r="B15" s="1">
        <f>IFERROR(__xludf.DUMMYFUNCTION("""COMPUTED_VALUE"""),3030.0)</f>
        <v>3030</v>
      </c>
      <c r="C15" s="1">
        <f>IFERROR(__xludf.DUMMYFUNCTION("""COMPUTED_VALUE"""),3050.0)</f>
        <v>3050</v>
      </c>
      <c r="D15" s="1">
        <f>IFERROR(__xludf.DUMMYFUNCTION("""COMPUTED_VALUE"""),3000.0)</f>
        <v>3000</v>
      </c>
      <c r="E15" s="1">
        <f>IFERROR(__xludf.DUMMYFUNCTION("""COMPUTED_VALUE"""),3035.0)</f>
        <v>3035</v>
      </c>
      <c r="F15" s="1">
        <f>IFERROR(__xludf.DUMMYFUNCTION("""COMPUTED_VALUE"""),10712.0)</f>
        <v>10712</v>
      </c>
    </row>
    <row r="16">
      <c r="A16" s="2">
        <f>IFERROR(__xludf.DUMMYFUNCTION("""COMPUTED_VALUE"""),40928.645833333336)</f>
        <v>40928.64583</v>
      </c>
      <c r="B16" s="1">
        <f>IFERROR(__xludf.DUMMYFUNCTION("""COMPUTED_VALUE"""),3030.0)</f>
        <v>3030</v>
      </c>
      <c r="C16" s="1">
        <f>IFERROR(__xludf.DUMMYFUNCTION("""COMPUTED_VALUE"""),3030.0)</f>
        <v>3030</v>
      </c>
      <c r="D16" s="1">
        <f>IFERROR(__xludf.DUMMYFUNCTION("""COMPUTED_VALUE"""),3000.0)</f>
        <v>3000</v>
      </c>
      <c r="E16" s="1">
        <f>IFERROR(__xludf.DUMMYFUNCTION("""COMPUTED_VALUE"""),3015.0)</f>
        <v>3015</v>
      </c>
      <c r="F16" s="1">
        <f>IFERROR(__xludf.DUMMYFUNCTION("""COMPUTED_VALUE"""),6100.0)</f>
        <v>6100</v>
      </c>
    </row>
    <row r="17">
      <c r="A17" s="2">
        <f>IFERROR(__xludf.DUMMYFUNCTION("""COMPUTED_VALUE"""),40933.645833333336)</f>
        <v>40933.64583</v>
      </c>
      <c r="B17" s="1">
        <f>IFERROR(__xludf.DUMMYFUNCTION("""COMPUTED_VALUE"""),3020.0)</f>
        <v>3020</v>
      </c>
      <c r="C17" s="1">
        <f>IFERROR(__xludf.DUMMYFUNCTION("""COMPUTED_VALUE"""),3025.0)</f>
        <v>3025</v>
      </c>
      <c r="D17" s="1">
        <f>IFERROR(__xludf.DUMMYFUNCTION("""COMPUTED_VALUE"""),3000.0)</f>
        <v>3000</v>
      </c>
      <c r="E17" s="1">
        <f>IFERROR(__xludf.DUMMYFUNCTION("""COMPUTED_VALUE"""),3020.0)</f>
        <v>3020</v>
      </c>
      <c r="F17" s="1">
        <f>IFERROR(__xludf.DUMMYFUNCTION("""COMPUTED_VALUE"""),4873.0)</f>
        <v>4873</v>
      </c>
    </row>
    <row r="18">
      <c r="A18" s="2">
        <f>IFERROR(__xludf.DUMMYFUNCTION("""COMPUTED_VALUE"""),40934.645833333336)</f>
        <v>40934.64583</v>
      </c>
      <c r="B18" s="1">
        <f>IFERROR(__xludf.DUMMYFUNCTION("""COMPUTED_VALUE"""),3005.0)</f>
        <v>3005</v>
      </c>
      <c r="C18" s="1">
        <f>IFERROR(__xludf.DUMMYFUNCTION("""COMPUTED_VALUE"""),3030.0)</f>
        <v>3030</v>
      </c>
      <c r="D18" s="1">
        <f>IFERROR(__xludf.DUMMYFUNCTION("""COMPUTED_VALUE"""),2990.0)</f>
        <v>2990</v>
      </c>
      <c r="E18" s="1">
        <f>IFERROR(__xludf.DUMMYFUNCTION("""COMPUTED_VALUE"""),3010.0)</f>
        <v>3010</v>
      </c>
      <c r="F18" s="1">
        <f>IFERROR(__xludf.DUMMYFUNCTION("""COMPUTED_VALUE"""),15261.0)</f>
        <v>15261</v>
      </c>
    </row>
    <row r="19">
      <c r="A19" s="2">
        <f>IFERROR(__xludf.DUMMYFUNCTION("""COMPUTED_VALUE"""),40935.645833333336)</f>
        <v>40935.64583</v>
      </c>
      <c r="B19" s="1">
        <f>IFERROR(__xludf.DUMMYFUNCTION("""COMPUTED_VALUE"""),3170.0)</f>
        <v>3170</v>
      </c>
      <c r="C19" s="1">
        <f>IFERROR(__xludf.DUMMYFUNCTION("""COMPUTED_VALUE"""),3190.0)</f>
        <v>3190</v>
      </c>
      <c r="D19" s="1">
        <f>IFERROR(__xludf.DUMMYFUNCTION("""COMPUTED_VALUE"""),3025.0)</f>
        <v>3025</v>
      </c>
      <c r="E19" s="1">
        <f>IFERROR(__xludf.DUMMYFUNCTION("""COMPUTED_VALUE"""),3025.0)</f>
        <v>3025</v>
      </c>
      <c r="F19" s="1">
        <f>IFERROR(__xludf.DUMMYFUNCTION("""COMPUTED_VALUE"""),189910.0)</f>
        <v>189910</v>
      </c>
    </row>
    <row r="20">
      <c r="A20" s="2">
        <f>IFERROR(__xludf.DUMMYFUNCTION("""COMPUTED_VALUE"""),40938.645833333336)</f>
        <v>40938.64583</v>
      </c>
      <c r="B20" s="1">
        <f>IFERROR(__xludf.DUMMYFUNCTION("""COMPUTED_VALUE"""),3025.0)</f>
        <v>3025</v>
      </c>
      <c r="C20" s="1">
        <f>IFERROR(__xludf.DUMMYFUNCTION("""COMPUTED_VALUE"""),3045.0)</f>
        <v>3045</v>
      </c>
      <c r="D20" s="1">
        <f>IFERROR(__xludf.DUMMYFUNCTION("""COMPUTED_VALUE"""),3010.0)</f>
        <v>3010</v>
      </c>
      <c r="E20" s="1">
        <f>IFERROR(__xludf.DUMMYFUNCTION("""COMPUTED_VALUE"""),3030.0)</f>
        <v>3030</v>
      </c>
      <c r="F20" s="1">
        <f>IFERROR(__xludf.DUMMYFUNCTION("""COMPUTED_VALUE"""),26227.0)</f>
        <v>26227</v>
      </c>
    </row>
    <row r="21">
      <c r="A21" s="2">
        <f>IFERROR(__xludf.DUMMYFUNCTION("""COMPUTED_VALUE"""),40939.645833333336)</f>
        <v>40939.64583</v>
      </c>
      <c r="B21" s="1">
        <f>IFERROR(__xludf.DUMMYFUNCTION("""COMPUTED_VALUE"""),3010.0)</f>
        <v>3010</v>
      </c>
      <c r="C21" s="1">
        <f>IFERROR(__xludf.DUMMYFUNCTION("""COMPUTED_VALUE"""),3035.0)</f>
        <v>3035</v>
      </c>
      <c r="D21" s="1">
        <f>IFERROR(__xludf.DUMMYFUNCTION("""COMPUTED_VALUE"""),2985.0)</f>
        <v>2985</v>
      </c>
      <c r="E21" s="1">
        <f>IFERROR(__xludf.DUMMYFUNCTION("""COMPUTED_VALUE"""),3015.0)</f>
        <v>3015</v>
      </c>
      <c r="F21" s="1">
        <f>IFERROR(__xludf.DUMMYFUNCTION("""COMPUTED_VALUE"""),27534.0)</f>
        <v>27534</v>
      </c>
    </row>
    <row r="22">
      <c r="A22" s="2">
        <f>IFERROR(__xludf.DUMMYFUNCTION("""COMPUTED_VALUE"""),40940.645833333336)</f>
        <v>40940.64583</v>
      </c>
      <c r="B22" s="1">
        <f>IFERROR(__xludf.DUMMYFUNCTION("""COMPUTED_VALUE"""),2990.0)</f>
        <v>2990</v>
      </c>
      <c r="C22" s="1">
        <f>IFERROR(__xludf.DUMMYFUNCTION("""COMPUTED_VALUE"""),3060.0)</f>
        <v>3060</v>
      </c>
      <c r="D22" s="1">
        <f>IFERROR(__xludf.DUMMYFUNCTION("""COMPUTED_VALUE"""),2990.0)</f>
        <v>2990</v>
      </c>
      <c r="E22" s="1">
        <f>IFERROR(__xludf.DUMMYFUNCTION("""COMPUTED_VALUE"""),3030.0)</f>
        <v>3030</v>
      </c>
      <c r="F22" s="1">
        <f>IFERROR(__xludf.DUMMYFUNCTION("""COMPUTED_VALUE"""),17769.0)</f>
        <v>17769</v>
      </c>
    </row>
    <row r="23">
      <c r="A23" s="2">
        <f>IFERROR(__xludf.DUMMYFUNCTION("""COMPUTED_VALUE"""),40941.645833333336)</f>
        <v>40941.64583</v>
      </c>
      <c r="B23" s="1">
        <f>IFERROR(__xludf.DUMMYFUNCTION("""COMPUTED_VALUE"""),3050.0)</f>
        <v>3050</v>
      </c>
      <c r="C23" s="1">
        <f>IFERROR(__xludf.DUMMYFUNCTION("""COMPUTED_VALUE"""),3070.0)</f>
        <v>3070</v>
      </c>
      <c r="D23" s="1">
        <f>IFERROR(__xludf.DUMMYFUNCTION("""COMPUTED_VALUE"""),3020.0)</f>
        <v>3020</v>
      </c>
      <c r="E23" s="1">
        <f>IFERROR(__xludf.DUMMYFUNCTION("""COMPUTED_VALUE"""),3055.0)</f>
        <v>3055</v>
      </c>
      <c r="F23" s="1">
        <f>IFERROR(__xludf.DUMMYFUNCTION("""COMPUTED_VALUE"""),24550.0)</f>
        <v>24550</v>
      </c>
    </row>
    <row r="24">
      <c r="A24" s="2">
        <f>IFERROR(__xludf.DUMMYFUNCTION("""COMPUTED_VALUE"""),40942.645833333336)</f>
        <v>40942.64583</v>
      </c>
      <c r="B24" s="1">
        <f>IFERROR(__xludf.DUMMYFUNCTION("""COMPUTED_VALUE"""),3055.0)</f>
        <v>3055</v>
      </c>
      <c r="C24" s="1">
        <f>IFERROR(__xludf.DUMMYFUNCTION("""COMPUTED_VALUE"""),3060.0)</f>
        <v>3060</v>
      </c>
      <c r="D24" s="1">
        <f>IFERROR(__xludf.DUMMYFUNCTION("""COMPUTED_VALUE"""),3020.0)</f>
        <v>3020</v>
      </c>
      <c r="E24" s="1">
        <f>IFERROR(__xludf.DUMMYFUNCTION("""COMPUTED_VALUE"""),3040.0)</f>
        <v>3040</v>
      </c>
      <c r="F24" s="1">
        <f>IFERROR(__xludf.DUMMYFUNCTION("""COMPUTED_VALUE"""),20640.0)</f>
        <v>20640</v>
      </c>
    </row>
    <row r="25">
      <c r="A25" s="2">
        <f>IFERROR(__xludf.DUMMYFUNCTION("""COMPUTED_VALUE"""),40945.645833333336)</f>
        <v>40945.64583</v>
      </c>
      <c r="B25" s="1">
        <f>IFERROR(__xludf.DUMMYFUNCTION("""COMPUTED_VALUE"""),3030.0)</f>
        <v>3030</v>
      </c>
      <c r="C25" s="1">
        <f>IFERROR(__xludf.DUMMYFUNCTION("""COMPUTED_VALUE"""),3075.0)</f>
        <v>3075</v>
      </c>
      <c r="D25" s="1">
        <f>IFERROR(__xludf.DUMMYFUNCTION("""COMPUTED_VALUE"""),3030.0)</f>
        <v>3030</v>
      </c>
      <c r="E25" s="1">
        <f>IFERROR(__xludf.DUMMYFUNCTION("""COMPUTED_VALUE"""),3055.0)</f>
        <v>3055</v>
      </c>
      <c r="F25" s="1">
        <f>IFERROR(__xludf.DUMMYFUNCTION("""COMPUTED_VALUE"""),24641.0)</f>
        <v>24641</v>
      </c>
    </row>
    <row r="26">
      <c r="A26" s="2">
        <f>IFERROR(__xludf.DUMMYFUNCTION("""COMPUTED_VALUE"""),40946.645833333336)</f>
        <v>40946.64583</v>
      </c>
      <c r="B26" s="1">
        <f>IFERROR(__xludf.DUMMYFUNCTION("""COMPUTED_VALUE"""),3060.0)</f>
        <v>3060</v>
      </c>
      <c r="C26" s="1">
        <f>IFERROR(__xludf.DUMMYFUNCTION("""COMPUTED_VALUE"""),3120.0)</f>
        <v>3120</v>
      </c>
      <c r="D26" s="1">
        <f>IFERROR(__xludf.DUMMYFUNCTION("""COMPUTED_VALUE"""),3005.0)</f>
        <v>3005</v>
      </c>
      <c r="E26" s="1">
        <f>IFERROR(__xludf.DUMMYFUNCTION("""COMPUTED_VALUE"""),3075.0)</f>
        <v>3075</v>
      </c>
      <c r="F26" s="1">
        <f>IFERROR(__xludf.DUMMYFUNCTION("""COMPUTED_VALUE"""),38940.0)</f>
        <v>38940</v>
      </c>
    </row>
    <row r="27">
      <c r="A27" s="2">
        <f>IFERROR(__xludf.DUMMYFUNCTION("""COMPUTED_VALUE"""),40947.645833333336)</f>
        <v>40947.64583</v>
      </c>
      <c r="B27" s="1">
        <f>IFERROR(__xludf.DUMMYFUNCTION("""COMPUTED_VALUE"""),3120.0)</f>
        <v>3120</v>
      </c>
      <c r="C27" s="1">
        <f>IFERROR(__xludf.DUMMYFUNCTION("""COMPUTED_VALUE"""),3140.0)</f>
        <v>3140</v>
      </c>
      <c r="D27" s="1">
        <f>IFERROR(__xludf.DUMMYFUNCTION("""COMPUTED_VALUE"""),3080.0)</f>
        <v>3080</v>
      </c>
      <c r="E27" s="1">
        <f>IFERROR(__xludf.DUMMYFUNCTION("""COMPUTED_VALUE"""),3120.0)</f>
        <v>3120</v>
      </c>
      <c r="F27" s="1">
        <f>IFERROR(__xludf.DUMMYFUNCTION("""COMPUTED_VALUE"""),23642.0)</f>
        <v>23642</v>
      </c>
    </row>
    <row r="28">
      <c r="A28" s="2">
        <f>IFERROR(__xludf.DUMMYFUNCTION("""COMPUTED_VALUE"""),40948.645833333336)</f>
        <v>40948.64583</v>
      </c>
      <c r="B28" s="1">
        <f>IFERROR(__xludf.DUMMYFUNCTION("""COMPUTED_VALUE"""),3115.0)</f>
        <v>3115</v>
      </c>
      <c r="C28" s="1">
        <f>IFERROR(__xludf.DUMMYFUNCTION("""COMPUTED_VALUE"""),3175.0)</f>
        <v>3175</v>
      </c>
      <c r="D28" s="1">
        <f>IFERROR(__xludf.DUMMYFUNCTION("""COMPUTED_VALUE"""),3100.0)</f>
        <v>3100</v>
      </c>
      <c r="E28" s="1">
        <f>IFERROR(__xludf.DUMMYFUNCTION("""COMPUTED_VALUE"""),3125.0)</f>
        <v>3125</v>
      </c>
      <c r="F28" s="1">
        <f>IFERROR(__xludf.DUMMYFUNCTION("""COMPUTED_VALUE"""),40197.0)</f>
        <v>40197</v>
      </c>
    </row>
    <row r="29">
      <c r="A29" s="2">
        <f>IFERROR(__xludf.DUMMYFUNCTION("""COMPUTED_VALUE"""),40949.645833333336)</f>
        <v>40949.64583</v>
      </c>
      <c r="B29" s="1">
        <f>IFERROR(__xludf.DUMMYFUNCTION("""COMPUTED_VALUE"""),3135.0)</f>
        <v>3135</v>
      </c>
      <c r="C29" s="1">
        <f>IFERROR(__xludf.DUMMYFUNCTION("""COMPUTED_VALUE"""),3235.0)</f>
        <v>3235</v>
      </c>
      <c r="D29" s="1">
        <f>IFERROR(__xludf.DUMMYFUNCTION("""COMPUTED_VALUE"""),3105.0)</f>
        <v>3105</v>
      </c>
      <c r="E29" s="1">
        <f>IFERROR(__xludf.DUMMYFUNCTION("""COMPUTED_VALUE"""),3230.0)</f>
        <v>3230</v>
      </c>
      <c r="F29" s="1">
        <f>IFERROR(__xludf.DUMMYFUNCTION("""COMPUTED_VALUE"""),43400.0)</f>
        <v>43400</v>
      </c>
    </row>
    <row r="30">
      <c r="A30" s="2">
        <f>IFERROR(__xludf.DUMMYFUNCTION("""COMPUTED_VALUE"""),40952.645833333336)</f>
        <v>40952.64583</v>
      </c>
      <c r="B30" s="1">
        <f>IFERROR(__xludf.DUMMYFUNCTION("""COMPUTED_VALUE"""),3230.0)</f>
        <v>3230</v>
      </c>
      <c r="C30" s="1">
        <f>IFERROR(__xludf.DUMMYFUNCTION("""COMPUTED_VALUE"""),3230.0)</f>
        <v>3230</v>
      </c>
      <c r="D30" s="1">
        <f>IFERROR(__xludf.DUMMYFUNCTION("""COMPUTED_VALUE"""),3095.0)</f>
        <v>3095</v>
      </c>
      <c r="E30" s="1">
        <f>IFERROR(__xludf.DUMMYFUNCTION("""COMPUTED_VALUE"""),3120.0)</f>
        <v>3120</v>
      </c>
      <c r="F30" s="1">
        <f>IFERROR(__xludf.DUMMYFUNCTION("""COMPUTED_VALUE"""),59783.0)</f>
        <v>59783</v>
      </c>
    </row>
    <row r="31">
      <c r="A31" s="2">
        <f>IFERROR(__xludf.DUMMYFUNCTION("""COMPUTED_VALUE"""),40953.645833333336)</f>
        <v>40953.64583</v>
      </c>
      <c r="B31" s="1">
        <f>IFERROR(__xludf.DUMMYFUNCTION("""COMPUTED_VALUE"""),3130.0)</f>
        <v>3130</v>
      </c>
      <c r="C31" s="1">
        <f>IFERROR(__xludf.DUMMYFUNCTION("""COMPUTED_VALUE"""),3135.0)</f>
        <v>3135</v>
      </c>
      <c r="D31" s="1">
        <f>IFERROR(__xludf.DUMMYFUNCTION("""COMPUTED_VALUE"""),3095.0)</f>
        <v>3095</v>
      </c>
      <c r="E31" s="1">
        <f>IFERROR(__xludf.DUMMYFUNCTION("""COMPUTED_VALUE"""),3110.0)</f>
        <v>3110</v>
      </c>
      <c r="F31" s="1">
        <f>IFERROR(__xludf.DUMMYFUNCTION("""COMPUTED_VALUE"""),31970.0)</f>
        <v>31970</v>
      </c>
    </row>
    <row r="32">
      <c r="A32" s="2">
        <f>IFERROR(__xludf.DUMMYFUNCTION("""COMPUTED_VALUE"""),40954.645833333336)</f>
        <v>40954.64583</v>
      </c>
      <c r="B32" s="1">
        <f>IFERROR(__xludf.DUMMYFUNCTION("""COMPUTED_VALUE"""),3110.0)</f>
        <v>3110</v>
      </c>
      <c r="C32" s="1">
        <f>IFERROR(__xludf.DUMMYFUNCTION("""COMPUTED_VALUE"""),3130.0)</f>
        <v>3130</v>
      </c>
      <c r="D32" s="1">
        <f>IFERROR(__xludf.DUMMYFUNCTION("""COMPUTED_VALUE"""),3085.0)</f>
        <v>3085</v>
      </c>
      <c r="E32" s="1">
        <f>IFERROR(__xludf.DUMMYFUNCTION("""COMPUTED_VALUE"""),3115.0)</f>
        <v>3115</v>
      </c>
      <c r="F32" s="1">
        <f>IFERROR(__xludf.DUMMYFUNCTION("""COMPUTED_VALUE"""),19390.0)</f>
        <v>19390</v>
      </c>
    </row>
    <row r="33">
      <c r="A33" s="2">
        <f>IFERROR(__xludf.DUMMYFUNCTION("""COMPUTED_VALUE"""),40955.645833333336)</f>
        <v>40955.64583</v>
      </c>
      <c r="B33" s="1">
        <f>IFERROR(__xludf.DUMMYFUNCTION("""COMPUTED_VALUE"""),3130.0)</f>
        <v>3130</v>
      </c>
      <c r="C33" s="1">
        <f>IFERROR(__xludf.DUMMYFUNCTION("""COMPUTED_VALUE"""),3130.0)</f>
        <v>3130</v>
      </c>
      <c r="D33" s="1">
        <f>IFERROR(__xludf.DUMMYFUNCTION("""COMPUTED_VALUE"""),3095.0)</f>
        <v>3095</v>
      </c>
      <c r="E33" s="1">
        <f>IFERROR(__xludf.DUMMYFUNCTION("""COMPUTED_VALUE"""),3125.0)</f>
        <v>3125</v>
      </c>
      <c r="F33" s="1">
        <f>IFERROR(__xludf.DUMMYFUNCTION("""COMPUTED_VALUE"""),21117.0)</f>
        <v>21117</v>
      </c>
    </row>
    <row r="34">
      <c r="A34" s="2">
        <f>IFERROR(__xludf.DUMMYFUNCTION("""COMPUTED_VALUE"""),40956.645833333336)</f>
        <v>40956.64583</v>
      </c>
      <c r="B34" s="1">
        <f>IFERROR(__xludf.DUMMYFUNCTION("""COMPUTED_VALUE"""),3130.0)</f>
        <v>3130</v>
      </c>
      <c r="C34" s="1">
        <f>IFERROR(__xludf.DUMMYFUNCTION("""COMPUTED_VALUE"""),3150.0)</f>
        <v>3150</v>
      </c>
      <c r="D34" s="1">
        <f>IFERROR(__xludf.DUMMYFUNCTION("""COMPUTED_VALUE"""),3095.0)</f>
        <v>3095</v>
      </c>
      <c r="E34" s="1">
        <f>IFERROR(__xludf.DUMMYFUNCTION("""COMPUTED_VALUE"""),3095.0)</f>
        <v>3095</v>
      </c>
      <c r="F34" s="1">
        <f>IFERROR(__xludf.DUMMYFUNCTION("""COMPUTED_VALUE"""),35489.0)</f>
        <v>35489</v>
      </c>
    </row>
    <row r="35">
      <c r="A35" s="2">
        <f>IFERROR(__xludf.DUMMYFUNCTION("""COMPUTED_VALUE"""),40959.645833333336)</f>
        <v>40959.64583</v>
      </c>
      <c r="B35" s="1">
        <f>IFERROR(__xludf.DUMMYFUNCTION("""COMPUTED_VALUE"""),3120.0)</f>
        <v>3120</v>
      </c>
      <c r="C35" s="1">
        <f>IFERROR(__xludf.DUMMYFUNCTION("""COMPUTED_VALUE"""),3120.0)</f>
        <v>3120</v>
      </c>
      <c r="D35" s="1">
        <f>IFERROR(__xludf.DUMMYFUNCTION("""COMPUTED_VALUE"""),3090.0)</f>
        <v>3090</v>
      </c>
      <c r="E35" s="1">
        <f>IFERROR(__xludf.DUMMYFUNCTION("""COMPUTED_VALUE"""),3115.0)</f>
        <v>3115</v>
      </c>
      <c r="F35" s="1">
        <f>IFERROR(__xludf.DUMMYFUNCTION("""COMPUTED_VALUE"""),21960.0)</f>
        <v>21960</v>
      </c>
    </row>
    <row r="36">
      <c r="A36" s="2">
        <f>IFERROR(__xludf.DUMMYFUNCTION("""COMPUTED_VALUE"""),40960.645833333336)</f>
        <v>40960.64583</v>
      </c>
      <c r="B36" s="1">
        <f>IFERROR(__xludf.DUMMYFUNCTION("""COMPUTED_VALUE"""),3140.0)</f>
        <v>3140</v>
      </c>
      <c r="C36" s="1">
        <f>IFERROR(__xludf.DUMMYFUNCTION("""COMPUTED_VALUE"""),3140.0)</f>
        <v>3140</v>
      </c>
      <c r="D36" s="1">
        <f>IFERROR(__xludf.DUMMYFUNCTION("""COMPUTED_VALUE"""),3100.0)</f>
        <v>3100</v>
      </c>
      <c r="E36" s="1">
        <f>IFERROR(__xludf.DUMMYFUNCTION("""COMPUTED_VALUE"""),3135.0)</f>
        <v>3135</v>
      </c>
      <c r="F36" s="1">
        <f>IFERROR(__xludf.DUMMYFUNCTION("""COMPUTED_VALUE"""),38420.0)</f>
        <v>38420</v>
      </c>
    </row>
    <row r="37">
      <c r="A37" s="2">
        <f>IFERROR(__xludf.DUMMYFUNCTION("""COMPUTED_VALUE"""),40961.645833333336)</f>
        <v>40961.64583</v>
      </c>
      <c r="B37" s="1">
        <f>IFERROR(__xludf.DUMMYFUNCTION("""COMPUTED_VALUE"""),3140.0)</f>
        <v>3140</v>
      </c>
      <c r="C37" s="1">
        <f>IFERROR(__xludf.DUMMYFUNCTION("""COMPUTED_VALUE"""),3160.0)</f>
        <v>3160</v>
      </c>
      <c r="D37" s="1">
        <f>IFERROR(__xludf.DUMMYFUNCTION("""COMPUTED_VALUE"""),3100.0)</f>
        <v>3100</v>
      </c>
      <c r="E37" s="1">
        <f>IFERROR(__xludf.DUMMYFUNCTION("""COMPUTED_VALUE"""),3135.0)</f>
        <v>3135</v>
      </c>
      <c r="F37" s="1">
        <f>IFERROR(__xludf.DUMMYFUNCTION("""COMPUTED_VALUE"""),70799.0)</f>
        <v>70799</v>
      </c>
    </row>
    <row r="38">
      <c r="A38" s="2">
        <f>IFERROR(__xludf.DUMMYFUNCTION("""COMPUTED_VALUE"""),40962.645833333336)</f>
        <v>40962.64583</v>
      </c>
      <c r="B38" s="1">
        <f>IFERROR(__xludf.DUMMYFUNCTION("""COMPUTED_VALUE"""),3135.0)</f>
        <v>3135</v>
      </c>
      <c r="C38" s="1">
        <f>IFERROR(__xludf.DUMMYFUNCTION("""COMPUTED_VALUE"""),3135.0)</f>
        <v>3135</v>
      </c>
      <c r="D38" s="1">
        <f>IFERROR(__xludf.DUMMYFUNCTION("""COMPUTED_VALUE"""),3100.0)</f>
        <v>3100</v>
      </c>
      <c r="E38" s="1">
        <f>IFERROR(__xludf.DUMMYFUNCTION("""COMPUTED_VALUE"""),3135.0)</f>
        <v>3135</v>
      </c>
      <c r="F38" s="1">
        <f>IFERROR(__xludf.DUMMYFUNCTION("""COMPUTED_VALUE"""),39721.0)</f>
        <v>39721</v>
      </c>
    </row>
    <row r="39">
      <c r="A39" s="2">
        <f>IFERROR(__xludf.DUMMYFUNCTION("""COMPUTED_VALUE"""),40963.645833333336)</f>
        <v>40963.64583</v>
      </c>
      <c r="B39" s="1">
        <f>IFERROR(__xludf.DUMMYFUNCTION("""COMPUTED_VALUE"""),3140.0)</f>
        <v>3140</v>
      </c>
      <c r="C39" s="1">
        <f>IFERROR(__xludf.DUMMYFUNCTION("""COMPUTED_VALUE"""),3200.0)</f>
        <v>3200</v>
      </c>
      <c r="D39" s="1">
        <f>IFERROR(__xludf.DUMMYFUNCTION("""COMPUTED_VALUE"""),3115.0)</f>
        <v>3115</v>
      </c>
      <c r="E39" s="1">
        <f>IFERROR(__xludf.DUMMYFUNCTION("""COMPUTED_VALUE"""),3190.0)</f>
        <v>3190</v>
      </c>
      <c r="F39" s="1">
        <f>IFERROR(__xludf.DUMMYFUNCTION("""COMPUTED_VALUE"""),56227.0)</f>
        <v>56227</v>
      </c>
    </row>
    <row r="40">
      <c r="A40" s="2">
        <f>IFERROR(__xludf.DUMMYFUNCTION("""COMPUTED_VALUE"""),40966.645833333336)</f>
        <v>40966.64583</v>
      </c>
      <c r="B40" s="1">
        <f>IFERROR(__xludf.DUMMYFUNCTION("""COMPUTED_VALUE"""),3200.0)</f>
        <v>3200</v>
      </c>
      <c r="C40" s="1">
        <f>IFERROR(__xludf.DUMMYFUNCTION("""COMPUTED_VALUE"""),3200.0)</f>
        <v>3200</v>
      </c>
      <c r="D40" s="1">
        <f>IFERROR(__xludf.DUMMYFUNCTION("""COMPUTED_VALUE"""),3155.0)</f>
        <v>3155</v>
      </c>
      <c r="E40" s="1">
        <f>IFERROR(__xludf.DUMMYFUNCTION("""COMPUTED_VALUE"""),3195.0)</f>
        <v>3195</v>
      </c>
      <c r="F40" s="1">
        <f>IFERROR(__xludf.DUMMYFUNCTION("""COMPUTED_VALUE"""),23681.0)</f>
        <v>23681</v>
      </c>
    </row>
    <row r="41">
      <c r="A41" s="2">
        <f>IFERROR(__xludf.DUMMYFUNCTION("""COMPUTED_VALUE"""),40967.645833333336)</f>
        <v>40967.64583</v>
      </c>
      <c r="B41" s="1">
        <f>IFERROR(__xludf.DUMMYFUNCTION("""COMPUTED_VALUE"""),3215.0)</f>
        <v>3215</v>
      </c>
      <c r="C41" s="1">
        <f>IFERROR(__xludf.DUMMYFUNCTION("""COMPUTED_VALUE"""),3535.0)</f>
        <v>3535</v>
      </c>
      <c r="D41" s="1">
        <f>IFERROR(__xludf.DUMMYFUNCTION("""COMPUTED_VALUE"""),3160.0)</f>
        <v>3160</v>
      </c>
      <c r="E41" s="1">
        <f>IFERROR(__xludf.DUMMYFUNCTION("""COMPUTED_VALUE"""),3330.0)</f>
        <v>3330</v>
      </c>
      <c r="F41" s="1">
        <f>IFERROR(__xludf.DUMMYFUNCTION("""COMPUTED_VALUE"""),321131.0)</f>
        <v>321131</v>
      </c>
    </row>
    <row r="42">
      <c r="A42" s="2">
        <f>IFERROR(__xludf.DUMMYFUNCTION("""COMPUTED_VALUE"""),40968.645833333336)</f>
        <v>40968.64583</v>
      </c>
      <c r="B42" s="1">
        <f>IFERROR(__xludf.DUMMYFUNCTION("""COMPUTED_VALUE"""),3330.0)</f>
        <v>3330</v>
      </c>
      <c r="C42" s="1">
        <f>IFERROR(__xludf.DUMMYFUNCTION("""COMPUTED_VALUE"""),3360.0)</f>
        <v>3360</v>
      </c>
      <c r="D42" s="1">
        <f>IFERROR(__xludf.DUMMYFUNCTION("""COMPUTED_VALUE"""),3230.0)</f>
        <v>3230</v>
      </c>
      <c r="E42" s="1">
        <f>IFERROR(__xludf.DUMMYFUNCTION("""COMPUTED_VALUE"""),3330.0)</f>
        <v>3330</v>
      </c>
      <c r="F42" s="1">
        <f>IFERROR(__xludf.DUMMYFUNCTION("""COMPUTED_VALUE"""),101329.0)</f>
        <v>101329</v>
      </c>
    </row>
    <row r="43">
      <c r="A43" s="2">
        <f>IFERROR(__xludf.DUMMYFUNCTION("""COMPUTED_VALUE"""),40970.645833333336)</f>
        <v>40970.64583</v>
      </c>
      <c r="B43" s="1">
        <f>IFERROR(__xludf.DUMMYFUNCTION("""COMPUTED_VALUE"""),3390.0)</f>
        <v>3390</v>
      </c>
      <c r="C43" s="1">
        <f>IFERROR(__xludf.DUMMYFUNCTION("""COMPUTED_VALUE"""),3465.0)</f>
        <v>3465</v>
      </c>
      <c r="D43" s="1">
        <f>IFERROR(__xludf.DUMMYFUNCTION("""COMPUTED_VALUE"""),3330.0)</f>
        <v>3330</v>
      </c>
      <c r="E43" s="1">
        <f>IFERROR(__xludf.DUMMYFUNCTION("""COMPUTED_VALUE"""),3415.0)</f>
        <v>3415</v>
      </c>
      <c r="F43" s="1">
        <f>IFERROR(__xludf.DUMMYFUNCTION("""COMPUTED_VALUE"""),106481.0)</f>
        <v>106481</v>
      </c>
    </row>
    <row r="44">
      <c r="A44" s="2">
        <f>IFERROR(__xludf.DUMMYFUNCTION("""COMPUTED_VALUE"""),40973.645833333336)</f>
        <v>40973.64583</v>
      </c>
      <c r="B44" s="1">
        <f>IFERROR(__xludf.DUMMYFUNCTION("""COMPUTED_VALUE"""),3455.0)</f>
        <v>3455</v>
      </c>
      <c r="C44" s="1">
        <f>IFERROR(__xludf.DUMMYFUNCTION("""COMPUTED_VALUE"""),3455.0)</f>
        <v>3455</v>
      </c>
      <c r="D44" s="1">
        <f>IFERROR(__xludf.DUMMYFUNCTION("""COMPUTED_VALUE"""),3300.0)</f>
        <v>3300</v>
      </c>
      <c r="E44" s="1">
        <f>IFERROR(__xludf.DUMMYFUNCTION("""COMPUTED_VALUE"""),3330.0)</f>
        <v>3330</v>
      </c>
      <c r="F44" s="1">
        <f>IFERROR(__xludf.DUMMYFUNCTION("""COMPUTED_VALUE"""),82211.0)</f>
        <v>82211</v>
      </c>
    </row>
    <row r="45">
      <c r="A45" s="2">
        <f>IFERROR(__xludf.DUMMYFUNCTION("""COMPUTED_VALUE"""),40974.645833333336)</f>
        <v>40974.64583</v>
      </c>
      <c r="B45" s="1">
        <f>IFERROR(__xludf.DUMMYFUNCTION("""COMPUTED_VALUE"""),3335.0)</f>
        <v>3335</v>
      </c>
      <c r="C45" s="1">
        <f>IFERROR(__xludf.DUMMYFUNCTION("""COMPUTED_VALUE"""),3335.0)</f>
        <v>3335</v>
      </c>
      <c r="D45" s="1">
        <f>IFERROR(__xludf.DUMMYFUNCTION("""COMPUTED_VALUE"""),3255.0)</f>
        <v>3255</v>
      </c>
      <c r="E45" s="1">
        <f>IFERROR(__xludf.DUMMYFUNCTION("""COMPUTED_VALUE"""),3285.0)</f>
        <v>3285</v>
      </c>
      <c r="F45" s="1">
        <f>IFERROR(__xludf.DUMMYFUNCTION("""COMPUTED_VALUE"""),35271.0)</f>
        <v>35271</v>
      </c>
    </row>
    <row r="46">
      <c r="A46" s="2">
        <f>IFERROR(__xludf.DUMMYFUNCTION("""COMPUTED_VALUE"""),40975.645833333336)</f>
        <v>40975.64583</v>
      </c>
      <c r="B46" s="1">
        <f>IFERROR(__xludf.DUMMYFUNCTION("""COMPUTED_VALUE"""),3245.0)</f>
        <v>3245</v>
      </c>
      <c r="C46" s="1">
        <f>IFERROR(__xludf.DUMMYFUNCTION("""COMPUTED_VALUE"""),3270.0)</f>
        <v>3270</v>
      </c>
      <c r="D46" s="1">
        <f>IFERROR(__xludf.DUMMYFUNCTION("""COMPUTED_VALUE"""),3205.0)</f>
        <v>3205</v>
      </c>
      <c r="E46" s="1">
        <f>IFERROR(__xludf.DUMMYFUNCTION("""COMPUTED_VALUE"""),3265.0)</f>
        <v>3265</v>
      </c>
      <c r="F46" s="1">
        <f>IFERROR(__xludf.DUMMYFUNCTION("""COMPUTED_VALUE"""),30991.0)</f>
        <v>30991</v>
      </c>
    </row>
    <row r="47">
      <c r="A47" s="2">
        <f>IFERROR(__xludf.DUMMYFUNCTION("""COMPUTED_VALUE"""),40976.645833333336)</f>
        <v>40976.64583</v>
      </c>
      <c r="B47" s="1">
        <f>IFERROR(__xludf.DUMMYFUNCTION("""COMPUTED_VALUE"""),3255.0)</f>
        <v>3255</v>
      </c>
      <c r="C47" s="1">
        <f>IFERROR(__xludf.DUMMYFUNCTION("""COMPUTED_VALUE"""),3280.0)</f>
        <v>3280</v>
      </c>
      <c r="D47" s="1">
        <f>IFERROR(__xludf.DUMMYFUNCTION("""COMPUTED_VALUE"""),3230.0)</f>
        <v>3230</v>
      </c>
      <c r="E47" s="1">
        <f>IFERROR(__xludf.DUMMYFUNCTION("""COMPUTED_VALUE"""),3275.0)</f>
        <v>3275</v>
      </c>
      <c r="F47" s="1">
        <f>IFERROR(__xludf.DUMMYFUNCTION("""COMPUTED_VALUE"""),24427.0)</f>
        <v>24427</v>
      </c>
    </row>
    <row r="48">
      <c r="A48" s="2">
        <f>IFERROR(__xludf.DUMMYFUNCTION("""COMPUTED_VALUE"""),40977.645833333336)</f>
        <v>40977.64583</v>
      </c>
      <c r="B48" s="1">
        <f>IFERROR(__xludf.DUMMYFUNCTION("""COMPUTED_VALUE"""),3290.0)</f>
        <v>3290</v>
      </c>
      <c r="C48" s="1">
        <f>IFERROR(__xludf.DUMMYFUNCTION("""COMPUTED_VALUE"""),3305.0)</f>
        <v>3305</v>
      </c>
      <c r="D48" s="1">
        <f>IFERROR(__xludf.DUMMYFUNCTION("""COMPUTED_VALUE"""),3250.0)</f>
        <v>3250</v>
      </c>
      <c r="E48" s="1">
        <f>IFERROR(__xludf.DUMMYFUNCTION("""COMPUTED_VALUE"""),3300.0)</f>
        <v>3300</v>
      </c>
      <c r="F48" s="1">
        <f>IFERROR(__xludf.DUMMYFUNCTION("""COMPUTED_VALUE"""),20010.0)</f>
        <v>20010</v>
      </c>
    </row>
    <row r="49">
      <c r="A49" s="2">
        <f>IFERROR(__xludf.DUMMYFUNCTION("""COMPUTED_VALUE"""),40980.645833333336)</f>
        <v>40980.64583</v>
      </c>
      <c r="B49" s="1">
        <f>IFERROR(__xludf.DUMMYFUNCTION("""COMPUTED_VALUE"""),3315.0)</f>
        <v>3315</v>
      </c>
      <c r="C49" s="1">
        <f>IFERROR(__xludf.DUMMYFUNCTION("""COMPUTED_VALUE"""),3315.0)</f>
        <v>3315</v>
      </c>
      <c r="D49" s="1">
        <f>IFERROR(__xludf.DUMMYFUNCTION("""COMPUTED_VALUE"""),3255.0)</f>
        <v>3255</v>
      </c>
      <c r="E49" s="1">
        <f>IFERROR(__xludf.DUMMYFUNCTION("""COMPUTED_VALUE"""),3275.0)</f>
        <v>3275</v>
      </c>
      <c r="F49" s="1">
        <f>IFERROR(__xludf.DUMMYFUNCTION("""COMPUTED_VALUE"""),9810.0)</f>
        <v>9810</v>
      </c>
    </row>
    <row r="50">
      <c r="A50" s="2">
        <f>IFERROR(__xludf.DUMMYFUNCTION("""COMPUTED_VALUE"""),40981.645833333336)</f>
        <v>40981.64583</v>
      </c>
      <c r="B50" s="1">
        <f>IFERROR(__xludf.DUMMYFUNCTION("""COMPUTED_VALUE"""),3250.0)</f>
        <v>3250</v>
      </c>
      <c r="C50" s="1">
        <f>IFERROR(__xludf.DUMMYFUNCTION("""COMPUTED_VALUE"""),3285.0)</f>
        <v>3285</v>
      </c>
      <c r="D50" s="1">
        <f>IFERROR(__xludf.DUMMYFUNCTION("""COMPUTED_VALUE"""),3250.0)</f>
        <v>3250</v>
      </c>
      <c r="E50" s="1">
        <f>IFERROR(__xludf.DUMMYFUNCTION("""COMPUTED_VALUE"""),3270.0)</f>
        <v>3270</v>
      </c>
      <c r="F50" s="1">
        <f>IFERROR(__xludf.DUMMYFUNCTION("""COMPUTED_VALUE"""),9060.0)</f>
        <v>9060</v>
      </c>
    </row>
    <row r="51">
      <c r="A51" s="2">
        <f>IFERROR(__xludf.DUMMYFUNCTION("""COMPUTED_VALUE"""),40982.645833333336)</f>
        <v>40982.64583</v>
      </c>
      <c r="B51" s="1">
        <f>IFERROR(__xludf.DUMMYFUNCTION("""COMPUTED_VALUE"""),3285.0)</f>
        <v>3285</v>
      </c>
      <c r="C51" s="1">
        <f>IFERROR(__xludf.DUMMYFUNCTION("""COMPUTED_VALUE"""),3285.0)</f>
        <v>3285</v>
      </c>
      <c r="D51" s="1">
        <f>IFERROR(__xludf.DUMMYFUNCTION("""COMPUTED_VALUE"""),3245.0)</f>
        <v>3245</v>
      </c>
      <c r="E51" s="1">
        <f>IFERROR(__xludf.DUMMYFUNCTION("""COMPUTED_VALUE"""),3270.0)</f>
        <v>3270</v>
      </c>
      <c r="F51" s="1">
        <f>IFERROR(__xludf.DUMMYFUNCTION("""COMPUTED_VALUE"""),11860.0)</f>
        <v>11860</v>
      </c>
    </row>
    <row r="52">
      <c r="A52" s="2">
        <f>IFERROR(__xludf.DUMMYFUNCTION("""COMPUTED_VALUE"""),40983.645833333336)</f>
        <v>40983.64583</v>
      </c>
      <c r="B52" s="1">
        <f>IFERROR(__xludf.DUMMYFUNCTION("""COMPUTED_VALUE"""),3280.0)</f>
        <v>3280</v>
      </c>
      <c r="C52" s="1">
        <f>IFERROR(__xludf.DUMMYFUNCTION("""COMPUTED_VALUE"""),3280.0)</f>
        <v>3280</v>
      </c>
      <c r="D52" s="1">
        <f>IFERROR(__xludf.DUMMYFUNCTION("""COMPUTED_VALUE"""),3240.0)</f>
        <v>3240</v>
      </c>
      <c r="E52" s="1">
        <f>IFERROR(__xludf.DUMMYFUNCTION("""COMPUTED_VALUE"""),3275.0)</f>
        <v>3275</v>
      </c>
      <c r="F52" s="1">
        <f>IFERROR(__xludf.DUMMYFUNCTION("""COMPUTED_VALUE"""),38111.0)</f>
        <v>38111</v>
      </c>
    </row>
    <row r="53">
      <c r="A53" s="2">
        <f>IFERROR(__xludf.DUMMYFUNCTION("""COMPUTED_VALUE"""),40984.645833333336)</f>
        <v>40984.64583</v>
      </c>
      <c r="B53" s="1">
        <f>IFERROR(__xludf.DUMMYFUNCTION("""COMPUTED_VALUE"""),3275.0)</f>
        <v>3275</v>
      </c>
      <c r="C53" s="1">
        <f>IFERROR(__xludf.DUMMYFUNCTION("""COMPUTED_VALUE"""),3275.0)</f>
        <v>3275</v>
      </c>
      <c r="D53" s="1">
        <f>IFERROR(__xludf.DUMMYFUNCTION("""COMPUTED_VALUE"""),3225.0)</f>
        <v>3225</v>
      </c>
      <c r="E53" s="1">
        <f>IFERROR(__xludf.DUMMYFUNCTION("""COMPUTED_VALUE"""),3245.0)</f>
        <v>3245</v>
      </c>
      <c r="F53" s="1">
        <f>IFERROR(__xludf.DUMMYFUNCTION("""COMPUTED_VALUE"""),17870.0)</f>
        <v>17870</v>
      </c>
    </row>
    <row r="54">
      <c r="A54" s="2">
        <f>IFERROR(__xludf.DUMMYFUNCTION("""COMPUTED_VALUE"""),40987.645833333336)</f>
        <v>40987.64583</v>
      </c>
      <c r="B54" s="1">
        <f>IFERROR(__xludf.DUMMYFUNCTION("""COMPUTED_VALUE"""),3225.0)</f>
        <v>3225</v>
      </c>
      <c r="C54" s="1">
        <f>IFERROR(__xludf.DUMMYFUNCTION("""COMPUTED_VALUE"""),3260.0)</f>
        <v>3260</v>
      </c>
      <c r="D54" s="1">
        <f>IFERROR(__xludf.DUMMYFUNCTION("""COMPUTED_VALUE"""),3190.0)</f>
        <v>3190</v>
      </c>
      <c r="E54" s="1">
        <f>IFERROR(__xludf.DUMMYFUNCTION("""COMPUTED_VALUE"""),3210.0)</f>
        <v>3210</v>
      </c>
      <c r="F54" s="1">
        <f>IFERROR(__xludf.DUMMYFUNCTION("""COMPUTED_VALUE"""),17290.0)</f>
        <v>17290</v>
      </c>
    </row>
    <row r="55">
      <c r="A55" s="2">
        <f>IFERROR(__xludf.DUMMYFUNCTION("""COMPUTED_VALUE"""),40988.645833333336)</f>
        <v>40988.64583</v>
      </c>
      <c r="B55" s="1">
        <f>IFERROR(__xludf.DUMMYFUNCTION("""COMPUTED_VALUE"""),3220.0)</f>
        <v>3220</v>
      </c>
      <c r="C55" s="1">
        <f>IFERROR(__xludf.DUMMYFUNCTION("""COMPUTED_VALUE"""),3230.0)</f>
        <v>3230</v>
      </c>
      <c r="D55" s="1">
        <f>IFERROR(__xludf.DUMMYFUNCTION("""COMPUTED_VALUE"""),3180.0)</f>
        <v>3180</v>
      </c>
      <c r="E55" s="1">
        <f>IFERROR(__xludf.DUMMYFUNCTION("""COMPUTED_VALUE"""),3180.0)</f>
        <v>3180</v>
      </c>
      <c r="F55" s="1">
        <f>IFERROR(__xludf.DUMMYFUNCTION("""COMPUTED_VALUE"""),18910.0)</f>
        <v>18910</v>
      </c>
    </row>
    <row r="56">
      <c r="A56" s="2">
        <f>IFERROR(__xludf.DUMMYFUNCTION("""COMPUTED_VALUE"""),40989.645833333336)</f>
        <v>40989.64583</v>
      </c>
      <c r="B56" s="1">
        <f>IFERROR(__xludf.DUMMYFUNCTION("""COMPUTED_VALUE"""),3170.0)</f>
        <v>3170</v>
      </c>
      <c r="C56" s="1">
        <f>IFERROR(__xludf.DUMMYFUNCTION("""COMPUTED_VALUE"""),3195.0)</f>
        <v>3195</v>
      </c>
      <c r="D56" s="1">
        <f>IFERROR(__xludf.DUMMYFUNCTION("""COMPUTED_VALUE"""),3135.0)</f>
        <v>3135</v>
      </c>
      <c r="E56" s="1">
        <f>IFERROR(__xludf.DUMMYFUNCTION("""COMPUTED_VALUE"""),3160.0)</f>
        <v>3160</v>
      </c>
      <c r="F56" s="1">
        <f>IFERROR(__xludf.DUMMYFUNCTION("""COMPUTED_VALUE"""),21972.0)</f>
        <v>21972</v>
      </c>
    </row>
    <row r="57">
      <c r="A57" s="2">
        <f>IFERROR(__xludf.DUMMYFUNCTION("""COMPUTED_VALUE"""),40990.645833333336)</f>
        <v>40990.64583</v>
      </c>
      <c r="B57" s="1">
        <f>IFERROR(__xludf.DUMMYFUNCTION("""COMPUTED_VALUE"""),3160.0)</f>
        <v>3160</v>
      </c>
      <c r="C57" s="1">
        <f>IFERROR(__xludf.DUMMYFUNCTION("""COMPUTED_VALUE"""),3175.0)</f>
        <v>3175</v>
      </c>
      <c r="D57" s="1">
        <f>IFERROR(__xludf.DUMMYFUNCTION("""COMPUTED_VALUE"""),3135.0)</f>
        <v>3135</v>
      </c>
      <c r="E57" s="1">
        <f>IFERROR(__xludf.DUMMYFUNCTION("""COMPUTED_VALUE"""),3135.0)</f>
        <v>3135</v>
      </c>
      <c r="F57" s="1">
        <f>IFERROR(__xludf.DUMMYFUNCTION("""COMPUTED_VALUE"""),14510.0)</f>
        <v>14510</v>
      </c>
    </row>
    <row r="58">
      <c r="A58" s="2">
        <f>IFERROR(__xludf.DUMMYFUNCTION("""COMPUTED_VALUE"""),40991.645833333336)</f>
        <v>40991.64583</v>
      </c>
      <c r="B58" s="1">
        <f>IFERROR(__xludf.DUMMYFUNCTION("""COMPUTED_VALUE"""),3135.0)</f>
        <v>3135</v>
      </c>
      <c r="C58" s="1">
        <f>IFERROR(__xludf.DUMMYFUNCTION("""COMPUTED_VALUE"""),3160.0)</f>
        <v>3160</v>
      </c>
      <c r="D58" s="1">
        <f>IFERROR(__xludf.DUMMYFUNCTION("""COMPUTED_VALUE"""),3135.0)</f>
        <v>3135</v>
      </c>
      <c r="E58" s="1">
        <f>IFERROR(__xludf.DUMMYFUNCTION("""COMPUTED_VALUE"""),3135.0)</f>
        <v>3135</v>
      </c>
      <c r="F58" s="1">
        <f>IFERROR(__xludf.DUMMYFUNCTION("""COMPUTED_VALUE"""),8140.0)</f>
        <v>8140</v>
      </c>
    </row>
    <row r="59">
      <c r="A59" s="2">
        <f>IFERROR(__xludf.DUMMYFUNCTION("""COMPUTED_VALUE"""),40994.645833333336)</f>
        <v>40994.64583</v>
      </c>
      <c r="B59" s="1">
        <f>IFERROR(__xludf.DUMMYFUNCTION("""COMPUTED_VALUE"""),3170.0)</f>
        <v>3170</v>
      </c>
      <c r="C59" s="1">
        <f>IFERROR(__xludf.DUMMYFUNCTION("""COMPUTED_VALUE"""),3205.0)</f>
        <v>3205</v>
      </c>
      <c r="D59" s="1">
        <f>IFERROR(__xludf.DUMMYFUNCTION("""COMPUTED_VALUE"""),3135.0)</f>
        <v>3135</v>
      </c>
      <c r="E59" s="1">
        <f>IFERROR(__xludf.DUMMYFUNCTION("""COMPUTED_VALUE"""),3150.0)</f>
        <v>3150</v>
      </c>
      <c r="F59" s="1">
        <f>IFERROR(__xludf.DUMMYFUNCTION("""COMPUTED_VALUE"""),7500.0)</f>
        <v>7500</v>
      </c>
    </row>
    <row r="60">
      <c r="A60" s="2">
        <f>IFERROR(__xludf.DUMMYFUNCTION("""COMPUTED_VALUE"""),40995.645833333336)</f>
        <v>40995.64583</v>
      </c>
      <c r="B60" s="1">
        <f>IFERROR(__xludf.DUMMYFUNCTION("""COMPUTED_VALUE"""),3165.0)</f>
        <v>3165</v>
      </c>
      <c r="C60" s="1">
        <f>IFERROR(__xludf.DUMMYFUNCTION("""COMPUTED_VALUE"""),3165.0)</f>
        <v>3165</v>
      </c>
      <c r="D60" s="1">
        <f>IFERROR(__xludf.DUMMYFUNCTION("""COMPUTED_VALUE"""),3120.0)</f>
        <v>3120</v>
      </c>
      <c r="E60" s="1">
        <f>IFERROR(__xludf.DUMMYFUNCTION("""COMPUTED_VALUE"""),3140.0)</f>
        <v>3140</v>
      </c>
      <c r="F60" s="1">
        <f>IFERROR(__xludf.DUMMYFUNCTION("""COMPUTED_VALUE"""),17820.0)</f>
        <v>17820</v>
      </c>
    </row>
    <row r="61">
      <c r="A61" s="2">
        <f>IFERROR(__xludf.DUMMYFUNCTION("""COMPUTED_VALUE"""),40996.645833333336)</f>
        <v>40996.64583</v>
      </c>
      <c r="B61" s="1">
        <f>IFERROR(__xludf.DUMMYFUNCTION("""COMPUTED_VALUE"""),3140.0)</f>
        <v>3140</v>
      </c>
      <c r="C61" s="1">
        <f>IFERROR(__xludf.DUMMYFUNCTION("""COMPUTED_VALUE"""),3150.0)</f>
        <v>3150</v>
      </c>
      <c r="D61" s="1">
        <f>IFERROR(__xludf.DUMMYFUNCTION("""COMPUTED_VALUE"""),3105.0)</f>
        <v>3105</v>
      </c>
      <c r="E61" s="1">
        <f>IFERROR(__xludf.DUMMYFUNCTION("""COMPUTED_VALUE"""),3135.0)</f>
        <v>3135</v>
      </c>
      <c r="F61" s="1">
        <f>IFERROR(__xludf.DUMMYFUNCTION("""COMPUTED_VALUE"""),4361.0)</f>
        <v>4361</v>
      </c>
    </row>
    <row r="62">
      <c r="A62" s="2">
        <f>IFERROR(__xludf.DUMMYFUNCTION("""COMPUTED_VALUE"""),40997.645833333336)</f>
        <v>40997.64583</v>
      </c>
      <c r="B62" s="1">
        <f>IFERROR(__xludf.DUMMYFUNCTION("""COMPUTED_VALUE"""),3150.0)</f>
        <v>3150</v>
      </c>
      <c r="C62" s="1">
        <f>IFERROR(__xludf.DUMMYFUNCTION("""COMPUTED_VALUE"""),3160.0)</f>
        <v>3160</v>
      </c>
      <c r="D62" s="1">
        <f>IFERROR(__xludf.DUMMYFUNCTION("""COMPUTED_VALUE"""),3060.0)</f>
        <v>3060</v>
      </c>
      <c r="E62" s="1">
        <f>IFERROR(__xludf.DUMMYFUNCTION("""COMPUTED_VALUE"""),3160.0)</f>
        <v>3160</v>
      </c>
      <c r="F62" s="1">
        <f>IFERROR(__xludf.DUMMYFUNCTION("""COMPUTED_VALUE"""),77230.0)</f>
        <v>77230</v>
      </c>
    </row>
    <row r="63">
      <c r="A63" s="2">
        <f>IFERROR(__xludf.DUMMYFUNCTION("""COMPUTED_VALUE"""),40998.645833333336)</f>
        <v>40998.64583</v>
      </c>
      <c r="B63" s="1">
        <f>IFERROR(__xludf.DUMMYFUNCTION("""COMPUTED_VALUE"""),3135.0)</f>
        <v>3135</v>
      </c>
      <c r="C63" s="1">
        <f>IFERROR(__xludf.DUMMYFUNCTION("""COMPUTED_VALUE"""),3155.0)</f>
        <v>3155</v>
      </c>
      <c r="D63" s="1">
        <f>IFERROR(__xludf.DUMMYFUNCTION("""COMPUTED_VALUE"""),3110.0)</f>
        <v>3110</v>
      </c>
      <c r="E63" s="1">
        <f>IFERROR(__xludf.DUMMYFUNCTION("""COMPUTED_VALUE"""),3140.0)</f>
        <v>3140</v>
      </c>
      <c r="F63" s="1">
        <f>IFERROR(__xludf.DUMMYFUNCTION("""COMPUTED_VALUE"""),8941.0)</f>
        <v>8941</v>
      </c>
    </row>
    <row r="64">
      <c r="A64" s="2">
        <f>IFERROR(__xludf.DUMMYFUNCTION("""COMPUTED_VALUE"""),41001.645833333336)</f>
        <v>41001.64583</v>
      </c>
      <c r="B64" s="1">
        <f>IFERROR(__xludf.DUMMYFUNCTION("""COMPUTED_VALUE"""),3150.0)</f>
        <v>3150</v>
      </c>
      <c r="C64" s="1">
        <f>IFERROR(__xludf.DUMMYFUNCTION("""COMPUTED_VALUE"""),3170.0)</f>
        <v>3170</v>
      </c>
      <c r="D64" s="1">
        <f>IFERROR(__xludf.DUMMYFUNCTION("""COMPUTED_VALUE"""),3140.0)</f>
        <v>3140</v>
      </c>
      <c r="E64" s="1">
        <f>IFERROR(__xludf.DUMMYFUNCTION("""COMPUTED_VALUE"""),3165.0)</f>
        <v>3165</v>
      </c>
      <c r="F64" s="1">
        <f>IFERROR(__xludf.DUMMYFUNCTION("""COMPUTED_VALUE"""),16010.0)</f>
        <v>16010</v>
      </c>
    </row>
    <row r="65">
      <c r="A65" s="2">
        <f>IFERROR(__xludf.DUMMYFUNCTION("""COMPUTED_VALUE"""),41002.645833333336)</f>
        <v>41002.64583</v>
      </c>
      <c r="B65" s="1">
        <f>IFERROR(__xludf.DUMMYFUNCTION("""COMPUTED_VALUE"""),3185.0)</f>
        <v>3185</v>
      </c>
      <c r="C65" s="1">
        <f>IFERROR(__xludf.DUMMYFUNCTION("""COMPUTED_VALUE"""),3225.0)</f>
        <v>3225</v>
      </c>
      <c r="D65" s="1">
        <f>IFERROR(__xludf.DUMMYFUNCTION("""COMPUTED_VALUE"""),3150.0)</f>
        <v>3150</v>
      </c>
      <c r="E65" s="1">
        <f>IFERROR(__xludf.DUMMYFUNCTION("""COMPUTED_VALUE"""),3165.0)</f>
        <v>3165</v>
      </c>
      <c r="F65" s="1">
        <f>IFERROR(__xludf.DUMMYFUNCTION("""COMPUTED_VALUE"""),14945.0)</f>
        <v>14945</v>
      </c>
    </row>
    <row r="66">
      <c r="A66" s="2">
        <f>IFERROR(__xludf.DUMMYFUNCTION("""COMPUTED_VALUE"""),41003.645833333336)</f>
        <v>41003.64583</v>
      </c>
      <c r="B66" s="1">
        <f>IFERROR(__xludf.DUMMYFUNCTION("""COMPUTED_VALUE"""),3165.0)</f>
        <v>3165</v>
      </c>
      <c r="C66" s="1">
        <f>IFERROR(__xludf.DUMMYFUNCTION("""COMPUTED_VALUE"""),3165.0)</f>
        <v>3165</v>
      </c>
      <c r="D66" s="1">
        <f>IFERROR(__xludf.DUMMYFUNCTION("""COMPUTED_VALUE"""),3110.0)</f>
        <v>3110</v>
      </c>
      <c r="E66" s="1">
        <f>IFERROR(__xludf.DUMMYFUNCTION("""COMPUTED_VALUE"""),3135.0)</f>
        <v>3135</v>
      </c>
      <c r="F66" s="1">
        <f>IFERROR(__xludf.DUMMYFUNCTION("""COMPUTED_VALUE"""),12560.0)</f>
        <v>12560</v>
      </c>
    </row>
    <row r="67">
      <c r="A67" s="2">
        <f>IFERROR(__xludf.DUMMYFUNCTION("""COMPUTED_VALUE"""),41004.645833333336)</f>
        <v>41004.64583</v>
      </c>
      <c r="B67" s="1">
        <f>IFERROR(__xludf.DUMMYFUNCTION("""COMPUTED_VALUE"""),3140.0)</f>
        <v>3140</v>
      </c>
      <c r="C67" s="1">
        <f>IFERROR(__xludf.DUMMYFUNCTION("""COMPUTED_VALUE"""),3140.0)</f>
        <v>3140</v>
      </c>
      <c r="D67" s="1">
        <f>IFERROR(__xludf.DUMMYFUNCTION("""COMPUTED_VALUE"""),3100.0)</f>
        <v>3100</v>
      </c>
      <c r="E67" s="1">
        <f>IFERROR(__xludf.DUMMYFUNCTION("""COMPUTED_VALUE"""),3135.0)</f>
        <v>3135</v>
      </c>
      <c r="F67" s="1">
        <f>IFERROR(__xludf.DUMMYFUNCTION("""COMPUTED_VALUE"""),9671.0)</f>
        <v>9671</v>
      </c>
    </row>
    <row r="68">
      <c r="A68" s="2">
        <f>IFERROR(__xludf.DUMMYFUNCTION("""COMPUTED_VALUE"""),41005.645833333336)</f>
        <v>41005.64583</v>
      </c>
      <c r="B68" s="1">
        <f>IFERROR(__xludf.DUMMYFUNCTION("""COMPUTED_VALUE"""),3145.0)</f>
        <v>3145</v>
      </c>
      <c r="C68" s="1">
        <f>IFERROR(__xludf.DUMMYFUNCTION("""COMPUTED_VALUE"""),3145.0)</f>
        <v>3145</v>
      </c>
      <c r="D68" s="1">
        <f>IFERROR(__xludf.DUMMYFUNCTION("""COMPUTED_VALUE"""),3120.0)</f>
        <v>3120</v>
      </c>
      <c r="E68" s="1">
        <f>IFERROR(__xludf.DUMMYFUNCTION("""COMPUTED_VALUE"""),3130.0)</f>
        <v>3130</v>
      </c>
      <c r="F68" s="1">
        <f>IFERROR(__xludf.DUMMYFUNCTION("""COMPUTED_VALUE"""),5060.0)</f>
        <v>5060</v>
      </c>
    </row>
    <row r="69">
      <c r="A69" s="2">
        <f>IFERROR(__xludf.DUMMYFUNCTION("""COMPUTED_VALUE"""),41008.645833333336)</f>
        <v>41008.64583</v>
      </c>
      <c r="B69" s="1">
        <f>IFERROR(__xludf.DUMMYFUNCTION("""COMPUTED_VALUE"""),3180.0)</f>
        <v>3180</v>
      </c>
      <c r="C69" s="1">
        <f>IFERROR(__xludf.DUMMYFUNCTION("""COMPUTED_VALUE"""),3180.0)</f>
        <v>3180</v>
      </c>
      <c r="D69" s="1">
        <f>IFERROR(__xludf.DUMMYFUNCTION("""COMPUTED_VALUE"""),3100.0)</f>
        <v>3100</v>
      </c>
      <c r="E69" s="1">
        <f>IFERROR(__xludf.DUMMYFUNCTION("""COMPUTED_VALUE"""),3110.0)</f>
        <v>3110</v>
      </c>
      <c r="F69" s="1">
        <f>IFERROR(__xludf.DUMMYFUNCTION("""COMPUTED_VALUE"""),14537.0)</f>
        <v>14537</v>
      </c>
    </row>
    <row r="70">
      <c r="A70" s="2">
        <f>IFERROR(__xludf.DUMMYFUNCTION("""COMPUTED_VALUE"""),41009.645833333336)</f>
        <v>41009.64583</v>
      </c>
      <c r="B70" s="1">
        <f>IFERROR(__xludf.DUMMYFUNCTION("""COMPUTED_VALUE"""),3100.0)</f>
        <v>3100</v>
      </c>
      <c r="C70" s="1">
        <f>IFERROR(__xludf.DUMMYFUNCTION("""COMPUTED_VALUE"""),3135.0)</f>
        <v>3135</v>
      </c>
      <c r="D70" s="1">
        <f>IFERROR(__xludf.DUMMYFUNCTION("""COMPUTED_VALUE"""),3085.0)</f>
        <v>3085</v>
      </c>
      <c r="E70" s="1">
        <f>IFERROR(__xludf.DUMMYFUNCTION("""COMPUTED_VALUE"""),3110.0)</f>
        <v>3110</v>
      </c>
      <c r="F70" s="1">
        <f>IFERROR(__xludf.DUMMYFUNCTION("""COMPUTED_VALUE"""),7935.0)</f>
        <v>7935</v>
      </c>
    </row>
    <row r="71">
      <c r="A71" s="2">
        <f>IFERROR(__xludf.DUMMYFUNCTION("""COMPUTED_VALUE"""),41011.645833333336)</f>
        <v>41011.64583</v>
      </c>
      <c r="B71" s="1">
        <f>IFERROR(__xludf.DUMMYFUNCTION("""COMPUTED_VALUE"""),3125.0)</f>
        <v>3125</v>
      </c>
      <c r="C71" s="1">
        <f>IFERROR(__xludf.DUMMYFUNCTION("""COMPUTED_VALUE"""),3135.0)</f>
        <v>3135</v>
      </c>
      <c r="D71" s="1">
        <f>IFERROR(__xludf.DUMMYFUNCTION("""COMPUTED_VALUE"""),3090.0)</f>
        <v>3090</v>
      </c>
      <c r="E71" s="1">
        <f>IFERROR(__xludf.DUMMYFUNCTION("""COMPUTED_VALUE"""),3110.0)</f>
        <v>3110</v>
      </c>
      <c r="F71" s="1">
        <f>IFERROR(__xludf.DUMMYFUNCTION("""COMPUTED_VALUE"""),4411.0)</f>
        <v>4411</v>
      </c>
    </row>
    <row r="72">
      <c r="A72" s="2">
        <f>IFERROR(__xludf.DUMMYFUNCTION("""COMPUTED_VALUE"""),41012.645833333336)</f>
        <v>41012.64583</v>
      </c>
      <c r="B72" s="1">
        <f>IFERROR(__xludf.DUMMYFUNCTION("""COMPUTED_VALUE"""),3110.0)</f>
        <v>3110</v>
      </c>
      <c r="C72" s="1">
        <f>IFERROR(__xludf.DUMMYFUNCTION("""COMPUTED_VALUE"""),3135.0)</f>
        <v>3135</v>
      </c>
      <c r="D72" s="1">
        <f>IFERROR(__xludf.DUMMYFUNCTION("""COMPUTED_VALUE"""),3110.0)</f>
        <v>3110</v>
      </c>
      <c r="E72" s="1">
        <f>IFERROR(__xludf.DUMMYFUNCTION("""COMPUTED_VALUE"""),3130.0)</f>
        <v>3130</v>
      </c>
      <c r="F72" s="1">
        <f>IFERROR(__xludf.DUMMYFUNCTION("""COMPUTED_VALUE"""),8445.0)</f>
        <v>8445</v>
      </c>
    </row>
    <row r="73">
      <c r="A73" s="2">
        <f>IFERROR(__xludf.DUMMYFUNCTION("""COMPUTED_VALUE"""),41015.645833333336)</f>
        <v>41015.64583</v>
      </c>
      <c r="B73" s="1">
        <f>IFERROR(__xludf.DUMMYFUNCTION("""COMPUTED_VALUE"""),3135.0)</f>
        <v>3135</v>
      </c>
      <c r="C73" s="1">
        <f>IFERROR(__xludf.DUMMYFUNCTION("""COMPUTED_VALUE"""),3135.0)</f>
        <v>3135</v>
      </c>
      <c r="D73" s="1">
        <f>IFERROR(__xludf.DUMMYFUNCTION("""COMPUTED_VALUE"""),3095.0)</f>
        <v>3095</v>
      </c>
      <c r="E73" s="1">
        <f>IFERROR(__xludf.DUMMYFUNCTION("""COMPUTED_VALUE"""),3120.0)</f>
        <v>3120</v>
      </c>
      <c r="F73" s="1">
        <f>IFERROR(__xludf.DUMMYFUNCTION("""COMPUTED_VALUE"""),2854.0)</f>
        <v>2854</v>
      </c>
    </row>
    <row r="74">
      <c r="A74" s="2">
        <f>IFERROR(__xludf.DUMMYFUNCTION("""COMPUTED_VALUE"""),41016.645833333336)</f>
        <v>41016.64583</v>
      </c>
      <c r="B74" s="1">
        <f>IFERROR(__xludf.DUMMYFUNCTION("""COMPUTED_VALUE"""),3130.0)</f>
        <v>3130</v>
      </c>
      <c r="C74" s="1">
        <f>IFERROR(__xludf.DUMMYFUNCTION("""COMPUTED_VALUE"""),3130.0)</f>
        <v>3130</v>
      </c>
      <c r="D74" s="1">
        <f>IFERROR(__xludf.DUMMYFUNCTION("""COMPUTED_VALUE"""),3100.0)</f>
        <v>3100</v>
      </c>
      <c r="E74" s="1">
        <f>IFERROR(__xludf.DUMMYFUNCTION("""COMPUTED_VALUE"""),3115.0)</f>
        <v>3115</v>
      </c>
      <c r="F74" s="1">
        <f>IFERROR(__xludf.DUMMYFUNCTION("""COMPUTED_VALUE"""),3690.0)</f>
        <v>3690</v>
      </c>
    </row>
    <row r="75">
      <c r="A75" s="2">
        <f>IFERROR(__xludf.DUMMYFUNCTION("""COMPUTED_VALUE"""),41017.645833333336)</f>
        <v>41017.64583</v>
      </c>
      <c r="B75" s="1">
        <f>IFERROR(__xludf.DUMMYFUNCTION("""COMPUTED_VALUE"""),3120.0)</f>
        <v>3120</v>
      </c>
      <c r="C75" s="1">
        <f>IFERROR(__xludf.DUMMYFUNCTION("""COMPUTED_VALUE"""),3130.0)</f>
        <v>3130</v>
      </c>
      <c r="D75" s="1">
        <f>IFERROR(__xludf.DUMMYFUNCTION("""COMPUTED_VALUE"""),3110.0)</f>
        <v>3110</v>
      </c>
      <c r="E75" s="1">
        <f>IFERROR(__xludf.DUMMYFUNCTION("""COMPUTED_VALUE"""),3120.0)</f>
        <v>3120</v>
      </c>
      <c r="F75" s="1">
        <f>IFERROR(__xludf.DUMMYFUNCTION("""COMPUTED_VALUE"""),3855.0)</f>
        <v>3855</v>
      </c>
    </row>
    <row r="76">
      <c r="A76" s="2">
        <f>IFERROR(__xludf.DUMMYFUNCTION("""COMPUTED_VALUE"""),41018.645833333336)</f>
        <v>41018.64583</v>
      </c>
      <c r="B76" s="1">
        <f>IFERROR(__xludf.DUMMYFUNCTION("""COMPUTED_VALUE"""),3105.0)</f>
        <v>3105</v>
      </c>
      <c r="C76" s="1">
        <f>IFERROR(__xludf.DUMMYFUNCTION("""COMPUTED_VALUE"""),3125.0)</f>
        <v>3125</v>
      </c>
      <c r="D76" s="1">
        <f>IFERROR(__xludf.DUMMYFUNCTION("""COMPUTED_VALUE"""),3105.0)</f>
        <v>3105</v>
      </c>
      <c r="E76" s="1">
        <f>IFERROR(__xludf.DUMMYFUNCTION("""COMPUTED_VALUE"""),3120.0)</f>
        <v>3120</v>
      </c>
      <c r="F76" s="1">
        <f>IFERROR(__xludf.DUMMYFUNCTION("""COMPUTED_VALUE"""),1860.0)</f>
        <v>1860</v>
      </c>
    </row>
    <row r="77">
      <c r="A77" s="2">
        <f>IFERROR(__xludf.DUMMYFUNCTION("""COMPUTED_VALUE"""),41019.645833333336)</f>
        <v>41019.64583</v>
      </c>
      <c r="B77" s="1">
        <f>IFERROR(__xludf.DUMMYFUNCTION("""COMPUTED_VALUE"""),3100.0)</f>
        <v>3100</v>
      </c>
      <c r="C77" s="1">
        <f>IFERROR(__xludf.DUMMYFUNCTION("""COMPUTED_VALUE"""),3125.0)</f>
        <v>3125</v>
      </c>
      <c r="D77" s="1">
        <f>IFERROR(__xludf.DUMMYFUNCTION("""COMPUTED_VALUE"""),3085.0)</f>
        <v>3085</v>
      </c>
      <c r="E77" s="1">
        <f>IFERROR(__xludf.DUMMYFUNCTION("""COMPUTED_VALUE"""),3085.0)</f>
        <v>3085</v>
      </c>
      <c r="F77" s="1">
        <f>IFERROR(__xludf.DUMMYFUNCTION("""COMPUTED_VALUE"""),13793.0)</f>
        <v>13793</v>
      </c>
    </row>
    <row r="78">
      <c r="A78" s="2">
        <f>IFERROR(__xludf.DUMMYFUNCTION("""COMPUTED_VALUE"""),41022.645833333336)</f>
        <v>41022.64583</v>
      </c>
      <c r="B78" s="1">
        <f>IFERROR(__xludf.DUMMYFUNCTION("""COMPUTED_VALUE"""),3100.0)</f>
        <v>3100</v>
      </c>
      <c r="C78" s="1">
        <f>IFERROR(__xludf.DUMMYFUNCTION("""COMPUTED_VALUE"""),3110.0)</f>
        <v>3110</v>
      </c>
      <c r="D78" s="1">
        <f>IFERROR(__xludf.DUMMYFUNCTION("""COMPUTED_VALUE"""),3090.0)</f>
        <v>3090</v>
      </c>
      <c r="E78" s="1">
        <f>IFERROR(__xludf.DUMMYFUNCTION("""COMPUTED_VALUE"""),3095.0)</f>
        <v>3095</v>
      </c>
      <c r="F78" s="1">
        <f>IFERROR(__xludf.DUMMYFUNCTION("""COMPUTED_VALUE"""),6543.0)</f>
        <v>6543</v>
      </c>
    </row>
    <row r="79">
      <c r="A79" s="2">
        <f>IFERROR(__xludf.DUMMYFUNCTION("""COMPUTED_VALUE"""),41023.645833333336)</f>
        <v>41023.64583</v>
      </c>
      <c r="B79" s="1">
        <f>IFERROR(__xludf.DUMMYFUNCTION("""COMPUTED_VALUE"""),3085.0)</f>
        <v>3085</v>
      </c>
      <c r="C79" s="1">
        <f>IFERROR(__xludf.DUMMYFUNCTION("""COMPUTED_VALUE"""),3100.0)</f>
        <v>3100</v>
      </c>
      <c r="D79" s="1">
        <f>IFERROR(__xludf.DUMMYFUNCTION("""COMPUTED_VALUE"""),3040.0)</f>
        <v>3040</v>
      </c>
      <c r="E79" s="1">
        <f>IFERROR(__xludf.DUMMYFUNCTION("""COMPUTED_VALUE"""),3065.0)</f>
        <v>3065</v>
      </c>
      <c r="F79" s="1">
        <f>IFERROR(__xludf.DUMMYFUNCTION("""COMPUTED_VALUE"""),11391.0)</f>
        <v>11391</v>
      </c>
    </row>
    <row r="80">
      <c r="A80" s="2">
        <f>IFERROR(__xludf.DUMMYFUNCTION("""COMPUTED_VALUE"""),41024.645833333336)</f>
        <v>41024.64583</v>
      </c>
      <c r="B80" s="1">
        <f>IFERROR(__xludf.DUMMYFUNCTION("""COMPUTED_VALUE"""),3065.0)</f>
        <v>3065</v>
      </c>
      <c r="C80" s="1">
        <f>IFERROR(__xludf.DUMMYFUNCTION("""COMPUTED_VALUE"""),3080.0)</f>
        <v>3080</v>
      </c>
      <c r="D80" s="1">
        <f>IFERROR(__xludf.DUMMYFUNCTION("""COMPUTED_VALUE"""),3030.0)</f>
        <v>3030</v>
      </c>
      <c r="E80" s="1">
        <f>IFERROR(__xludf.DUMMYFUNCTION("""COMPUTED_VALUE"""),3065.0)</f>
        <v>3065</v>
      </c>
      <c r="F80" s="1">
        <f>IFERROR(__xludf.DUMMYFUNCTION("""COMPUTED_VALUE"""),10840.0)</f>
        <v>10840</v>
      </c>
    </row>
    <row r="81">
      <c r="A81" s="2">
        <f>IFERROR(__xludf.DUMMYFUNCTION("""COMPUTED_VALUE"""),41025.645833333336)</f>
        <v>41025.64583</v>
      </c>
      <c r="B81" s="1">
        <f>IFERROR(__xludf.DUMMYFUNCTION("""COMPUTED_VALUE"""),3060.0)</f>
        <v>3060</v>
      </c>
      <c r="C81" s="1">
        <f>IFERROR(__xludf.DUMMYFUNCTION("""COMPUTED_VALUE"""),3065.0)</f>
        <v>3065</v>
      </c>
      <c r="D81" s="1">
        <f>IFERROR(__xludf.DUMMYFUNCTION("""COMPUTED_VALUE"""),2990.0)</f>
        <v>2990</v>
      </c>
      <c r="E81" s="1">
        <f>IFERROR(__xludf.DUMMYFUNCTION("""COMPUTED_VALUE"""),3035.0)</f>
        <v>3035</v>
      </c>
      <c r="F81" s="1">
        <f>IFERROR(__xludf.DUMMYFUNCTION("""COMPUTED_VALUE"""),33457.0)</f>
        <v>33457</v>
      </c>
    </row>
    <row r="82">
      <c r="A82" s="2">
        <f>IFERROR(__xludf.DUMMYFUNCTION("""COMPUTED_VALUE"""),41026.645833333336)</f>
        <v>41026.64583</v>
      </c>
      <c r="B82" s="1">
        <f>IFERROR(__xludf.DUMMYFUNCTION("""COMPUTED_VALUE"""),3045.0)</f>
        <v>3045</v>
      </c>
      <c r="C82" s="1">
        <f>IFERROR(__xludf.DUMMYFUNCTION("""COMPUTED_VALUE"""),3055.0)</f>
        <v>3055</v>
      </c>
      <c r="D82" s="1">
        <f>IFERROR(__xludf.DUMMYFUNCTION("""COMPUTED_VALUE"""),2995.0)</f>
        <v>2995</v>
      </c>
      <c r="E82" s="1">
        <f>IFERROR(__xludf.DUMMYFUNCTION("""COMPUTED_VALUE"""),3040.0)</f>
        <v>3040</v>
      </c>
      <c r="F82" s="1">
        <f>IFERROR(__xludf.DUMMYFUNCTION("""COMPUTED_VALUE"""),6570.0)</f>
        <v>6570</v>
      </c>
    </row>
    <row r="83">
      <c r="A83" s="2">
        <f>IFERROR(__xludf.DUMMYFUNCTION("""COMPUTED_VALUE"""),41029.645833333336)</f>
        <v>41029.64583</v>
      </c>
      <c r="B83" s="1">
        <f>IFERROR(__xludf.DUMMYFUNCTION("""COMPUTED_VALUE"""),3045.0)</f>
        <v>3045</v>
      </c>
      <c r="C83" s="1">
        <f>IFERROR(__xludf.DUMMYFUNCTION("""COMPUTED_VALUE"""),3045.0)</f>
        <v>3045</v>
      </c>
      <c r="D83" s="1">
        <f>IFERROR(__xludf.DUMMYFUNCTION("""COMPUTED_VALUE"""),3000.0)</f>
        <v>3000</v>
      </c>
      <c r="E83" s="1">
        <f>IFERROR(__xludf.DUMMYFUNCTION("""COMPUTED_VALUE"""),3030.0)</f>
        <v>3030</v>
      </c>
      <c r="F83" s="1">
        <f>IFERROR(__xludf.DUMMYFUNCTION("""COMPUTED_VALUE"""),13480.0)</f>
        <v>13480</v>
      </c>
    </row>
    <row r="84">
      <c r="A84" s="2">
        <f>IFERROR(__xludf.DUMMYFUNCTION("""COMPUTED_VALUE"""),41031.645833333336)</f>
        <v>41031.64583</v>
      </c>
      <c r="B84" s="1">
        <f>IFERROR(__xludf.DUMMYFUNCTION("""COMPUTED_VALUE"""),3030.0)</f>
        <v>3030</v>
      </c>
      <c r="C84" s="1">
        <f>IFERROR(__xludf.DUMMYFUNCTION("""COMPUTED_VALUE"""),3045.0)</f>
        <v>3045</v>
      </c>
      <c r="D84" s="1">
        <f>IFERROR(__xludf.DUMMYFUNCTION("""COMPUTED_VALUE"""),2995.0)</f>
        <v>2995</v>
      </c>
      <c r="E84" s="1">
        <f>IFERROR(__xludf.DUMMYFUNCTION("""COMPUTED_VALUE"""),3045.0)</f>
        <v>3045</v>
      </c>
      <c r="F84" s="1">
        <f>IFERROR(__xludf.DUMMYFUNCTION("""COMPUTED_VALUE"""),8672.0)</f>
        <v>8672</v>
      </c>
    </row>
    <row r="85">
      <c r="A85" s="2">
        <f>IFERROR(__xludf.DUMMYFUNCTION("""COMPUTED_VALUE"""),41032.645833333336)</f>
        <v>41032.64583</v>
      </c>
      <c r="B85" s="1">
        <f>IFERROR(__xludf.DUMMYFUNCTION("""COMPUTED_VALUE"""),3045.0)</f>
        <v>3045</v>
      </c>
      <c r="C85" s="1">
        <f>IFERROR(__xludf.DUMMYFUNCTION("""COMPUTED_VALUE"""),3050.0)</f>
        <v>3050</v>
      </c>
      <c r="D85" s="1">
        <f>IFERROR(__xludf.DUMMYFUNCTION("""COMPUTED_VALUE"""),3020.0)</f>
        <v>3020</v>
      </c>
      <c r="E85" s="1">
        <f>IFERROR(__xludf.DUMMYFUNCTION("""COMPUTED_VALUE"""),3020.0)</f>
        <v>3020</v>
      </c>
      <c r="F85" s="1">
        <f>IFERROR(__xludf.DUMMYFUNCTION("""COMPUTED_VALUE"""),2113.0)</f>
        <v>2113</v>
      </c>
    </row>
    <row r="86">
      <c r="A86" s="2">
        <f>IFERROR(__xludf.DUMMYFUNCTION("""COMPUTED_VALUE"""),41033.645833333336)</f>
        <v>41033.64583</v>
      </c>
      <c r="B86" s="1">
        <f>IFERROR(__xludf.DUMMYFUNCTION("""COMPUTED_VALUE"""),3030.0)</f>
        <v>3030</v>
      </c>
      <c r="C86" s="1">
        <f>IFERROR(__xludf.DUMMYFUNCTION("""COMPUTED_VALUE"""),3030.0)</f>
        <v>3030</v>
      </c>
      <c r="D86" s="1">
        <f>IFERROR(__xludf.DUMMYFUNCTION("""COMPUTED_VALUE"""),3005.0)</f>
        <v>3005</v>
      </c>
      <c r="E86" s="1">
        <f>IFERROR(__xludf.DUMMYFUNCTION("""COMPUTED_VALUE"""),3030.0)</f>
        <v>3030</v>
      </c>
      <c r="F86" s="1">
        <f>IFERROR(__xludf.DUMMYFUNCTION("""COMPUTED_VALUE"""),1620.0)</f>
        <v>1620</v>
      </c>
    </row>
    <row r="87">
      <c r="A87" s="2">
        <f>IFERROR(__xludf.DUMMYFUNCTION("""COMPUTED_VALUE"""),41036.645833333336)</f>
        <v>41036.64583</v>
      </c>
      <c r="B87" s="1">
        <f>IFERROR(__xludf.DUMMYFUNCTION("""COMPUTED_VALUE"""),3025.0)</f>
        <v>3025</v>
      </c>
      <c r="C87" s="1">
        <f>IFERROR(__xludf.DUMMYFUNCTION("""COMPUTED_VALUE"""),3025.0)</f>
        <v>3025</v>
      </c>
      <c r="D87" s="1">
        <f>IFERROR(__xludf.DUMMYFUNCTION("""COMPUTED_VALUE"""),2995.0)</f>
        <v>2995</v>
      </c>
      <c r="E87" s="1">
        <f>IFERROR(__xludf.DUMMYFUNCTION("""COMPUTED_VALUE"""),3020.0)</f>
        <v>3020</v>
      </c>
      <c r="F87" s="1">
        <f>IFERROR(__xludf.DUMMYFUNCTION("""COMPUTED_VALUE"""),4080.0)</f>
        <v>4080</v>
      </c>
    </row>
    <row r="88">
      <c r="A88" s="2">
        <f>IFERROR(__xludf.DUMMYFUNCTION("""COMPUTED_VALUE"""),41037.645833333336)</f>
        <v>41037.64583</v>
      </c>
      <c r="B88" s="1">
        <f>IFERROR(__xludf.DUMMYFUNCTION("""COMPUTED_VALUE"""),3010.0)</f>
        <v>3010</v>
      </c>
      <c r="C88" s="1">
        <f>IFERROR(__xludf.DUMMYFUNCTION("""COMPUTED_VALUE"""),3040.0)</f>
        <v>3040</v>
      </c>
      <c r="D88" s="1">
        <f>IFERROR(__xludf.DUMMYFUNCTION("""COMPUTED_VALUE"""),3010.0)</f>
        <v>3010</v>
      </c>
      <c r="E88" s="1">
        <f>IFERROR(__xludf.DUMMYFUNCTION("""COMPUTED_VALUE"""),3035.0)</f>
        <v>3035</v>
      </c>
      <c r="F88" s="1">
        <f>IFERROR(__xludf.DUMMYFUNCTION("""COMPUTED_VALUE"""),4960.0)</f>
        <v>4960</v>
      </c>
    </row>
    <row r="89">
      <c r="A89" s="2">
        <f>IFERROR(__xludf.DUMMYFUNCTION("""COMPUTED_VALUE"""),41038.645833333336)</f>
        <v>41038.64583</v>
      </c>
      <c r="B89" s="1">
        <f>IFERROR(__xludf.DUMMYFUNCTION("""COMPUTED_VALUE"""),3040.0)</f>
        <v>3040</v>
      </c>
      <c r="C89" s="1">
        <f>IFERROR(__xludf.DUMMYFUNCTION("""COMPUTED_VALUE"""),3050.0)</f>
        <v>3050</v>
      </c>
      <c r="D89" s="1">
        <f>IFERROR(__xludf.DUMMYFUNCTION("""COMPUTED_VALUE"""),3005.0)</f>
        <v>3005</v>
      </c>
      <c r="E89" s="1">
        <f>IFERROR(__xludf.DUMMYFUNCTION("""COMPUTED_VALUE"""),3020.0)</f>
        <v>3020</v>
      </c>
      <c r="F89" s="1">
        <f>IFERROR(__xludf.DUMMYFUNCTION("""COMPUTED_VALUE"""),4510.0)</f>
        <v>4510</v>
      </c>
    </row>
    <row r="90">
      <c r="A90" s="2">
        <f>IFERROR(__xludf.DUMMYFUNCTION("""COMPUTED_VALUE"""),41039.645833333336)</f>
        <v>41039.64583</v>
      </c>
      <c r="B90" s="1">
        <f>IFERROR(__xludf.DUMMYFUNCTION("""COMPUTED_VALUE"""),3025.0)</f>
        <v>3025</v>
      </c>
      <c r="C90" s="1">
        <f>IFERROR(__xludf.DUMMYFUNCTION("""COMPUTED_VALUE"""),3025.0)</f>
        <v>3025</v>
      </c>
      <c r="D90" s="1">
        <f>IFERROR(__xludf.DUMMYFUNCTION("""COMPUTED_VALUE"""),3005.0)</f>
        <v>3005</v>
      </c>
      <c r="E90" s="1">
        <f>IFERROR(__xludf.DUMMYFUNCTION("""COMPUTED_VALUE"""),3020.0)</f>
        <v>3020</v>
      </c>
      <c r="F90" s="1">
        <f>IFERROR(__xludf.DUMMYFUNCTION("""COMPUTED_VALUE"""),1890.0)</f>
        <v>1890</v>
      </c>
    </row>
    <row r="91">
      <c r="A91" s="2">
        <f>IFERROR(__xludf.DUMMYFUNCTION("""COMPUTED_VALUE"""),41040.645833333336)</f>
        <v>41040.64583</v>
      </c>
      <c r="B91" s="1">
        <f>IFERROR(__xludf.DUMMYFUNCTION("""COMPUTED_VALUE"""),3025.0)</f>
        <v>3025</v>
      </c>
      <c r="C91" s="1">
        <f>IFERROR(__xludf.DUMMYFUNCTION("""COMPUTED_VALUE"""),3030.0)</f>
        <v>3030</v>
      </c>
      <c r="D91" s="1">
        <f>IFERROR(__xludf.DUMMYFUNCTION("""COMPUTED_VALUE"""),2995.0)</f>
        <v>2995</v>
      </c>
      <c r="E91" s="1">
        <f>IFERROR(__xludf.DUMMYFUNCTION("""COMPUTED_VALUE"""),3030.0)</f>
        <v>3030</v>
      </c>
      <c r="F91" s="1">
        <f>IFERROR(__xludf.DUMMYFUNCTION("""COMPUTED_VALUE"""),2550.0)</f>
        <v>2550</v>
      </c>
    </row>
    <row r="92">
      <c r="A92" s="2">
        <f>IFERROR(__xludf.DUMMYFUNCTION("""COMPUTED_VALUE"""),41043.645833333336)</f>
        <v>41043.64583</v>
      </c>
      <c r="B92" s="1">
        <f>IFERROR(__xludf.DUMMYFUNCTION("""COMPUTED_VALUE"""),3025.0)</f>
        <v>3025</v>
      </c>
      <c r="C92" s="1">
        <f>IFERROR(__xludf.DUMMYFUNCTION("""COMPUTED_VALUE"""),3025.0)</f>
        <v>3025</v>
      </c>
      <c r="D92" s="1">
        <f>IFERROR(__xludf.DUMMYFUNCTION("""COMPUTED_VALUE"""),2990.0)</f>
        <v>2990</v>
      </c>
      <c r="E92" s="1">
        <f>IFERROR(__xludf.DUMMYFUNCTION("""COMPUTED_VALUE"""),3020.0)</f>
        <v>3020</v>
      </c>
      <c r="F92" s="1">
        <f>IFERROR(__xludf.DUMMYFUNCTION("""COMPUTED_VALUE"""),5061.0)</f>
        <v>5061</v>
      </c>
    </row>
    <row r="93">
      <c r="A93" s="2">
        <f>IFERROR(__xludf.DUMMYFUNCTION("""COMPUTED_VALUE"""),41044.645833333336)</f>
        <v>41044.64583</v>
      </c>
      <c r="B93" s="1">
        <f>IFERROR(__xludf.DUMMYFUNCTION("""COMPUTED_VALUE"""),2995.0)</f>
        <v>2995</v>
      </c>
      <c r="C93" s="1">
        <f>IFERROR(__xludf.DUMMYFUNCTION("""COMPUTED_VALUE"""),3000.0)</f>
        <v>3000</v>
      </c>
      <c r="D93" s="1">
        <f>IFERROR(__xludf.DUMMYFUNCTION("""COMPUTED_VALUE"""),2925.0)</f>
        <v>2925</v>
      </c>
      <c r="E93" s="1">
        <f>IFERROR(__xludf.DUMMYFUNCTION("""COMPUTED_VALUE"""),2990.0)</f>
        <v>2990</v>
      </c>
      <c r="F93" s="1">
        <f>IFERROR(__xludf.DUMMYFUNCTION("""COMPUTED_VALUE"""),31470.0)</f>
        <v>31470</v>
      </c>
    </row>
    <row r="94">
      <c r="A94" s="2">
        <f>IFERROR(__xludf.DUMMYFUNCTION("""COMPUTED_VALUE"""),41045.645833333336)</f>
        <v>41045.64583</v>
      </c>
      <c r="B94" s="1">
        <f>IFERROR(__xludf.DUMMYFUNCTION("""COMPUTED_VALUE"""),2995.0)</f>
        <v>2995</v>
      </c>
      <c r="C94" s="1">
        <f>IFERROR(__xludf.DUMMYFUNCTION("""COMPUTED_VALUE"""),3000.0)</f>
        <v>3000</v>
      </c>
      <c r="D94" s="1">
        <f>IFERROR(__xludf.DUMMYFUNCTION("""COMPUTED_VALUE"""),2955.0)</f>
        <v>2955</v>
      </c>
      <c r="E94" s="1">
        <f>IFERROR(__xludf.DUMMYFUNCTION("""COMPUTED_VALUE"""),2990.0)</f>
        <v>2990</v>
      </c>
      <c r="F94" s="1">
        <f>IFERROR(__xludf.DUMMYFUNCTION("""COMPUTED_VALUE"""),6250.0)</f>
        <v>6250</v>
      </c>
    </row>
    <row r="95">
      <c r="A95" s="2">
        <f>IFERROR(__xludf.DUMMYFUNCTION("""COMPUTED_VALUE"""),41046.645833333336)</f>
        <v>41046.64583</v>
      </c>
      <c r="B95" s="1">
        <f>IFERROR(__xludf.DUMMYFUNCTION("""COMPUTED_VALUE"""),2990.0)</f>
        <v>2990</v>
      </c>
      <c r="C95" s="1">
        <f>IFERROR(__xludf.DUMMYFUNCTION("""COMPUTED_VALUE"""),2990.0)</f>
        <v>2990</v>
      </c>
      <c r="D95" s="1">
        <f>IFERROR(__xludf.DUMMYFUNCTION("""COMPUTED_VALUE"""),2965.0)</f>
        <v>2965</v>
      </c>
      <c r="E95" s="1">
        <f>IFERROR(__xludf.DUMMYFUNCTION("""COMPUTED_VALUE"""),2990.0)</f>
        <v>2990</v>
      </c>
      <c r="F95" s="1">
        <f>IFERROR(__xludf.DUMMYFUNCTION("""COMPUTED_VALUE"""),2130.0)</f>
        <v>2130</v>
      </c>
    </row>
    <row r="96">
      <c r="A96" s="2">
        <f>IFERROR(__xludf.DUMMYFUNCTION("""COMPUTED_VALUE"""),41047.645833333336)</f>
        <v>41047.64583</v>
      </c>
      <c r="B96" s="1">
        <f>IFERROR(__xludf.DUMMYFUNCTION("""COMPUTED_VALUE"""),2970.0)</f>
        <v>2970</v>
      </c>
      <c r="C96" s="1">
        <f>IFERROR(__xludf.DUMMYFUNCTION("""COMPUTED_VALUE"""),2985.0)</f>
        <v>2985</v>
      </c>
      <c r="D96" s="1">
        <f>IFERROR(__xludf.DUMMYFUNCTION("""COMPUTED_VALUE"""),2885.0)</f>
        <v>2885</v>
      </c>
      <c r="E96" s="1">
        <f>IFERROR(__xludf.DUMMYFUNCTION("""COMPUTED_VALUE"""),2890.0)</f>
        <v>2890</v>
      </c>
      <c r="F96" s="1">
        <f>IFERROR(__xludf.DUMMYFUNCTION("""COMPUTED_VALUE"""),14040.0)</f>
        <v>14040</v>
      </c>
    </row>
    <row r="97">
      <c r="A97" s="2">
        <f>IFERROR(__xludf.DUMMYFUNCTION("""COMPUTED_VALUE"""),41050.645833333336)</f>
        <v>41050.64583</v>
      </c>
      <c r="B97" s="1">
        <f>IFERROR(__xludf.DUMMYFUNCTION("""COMPUTED_VALUE"""),2820.0)</f>
        <v>2820</v>
      </c>
      <c r="C97" s="1">
        <f>IFERROR(__xludf.DUMMYFUNCTION("""COMPUTED_VALUE"""),2890.0)</f>
        <v>2890</v>
      </c>
      <c r="D97" s="1">
        <f>IFERROR(__xludf.DUMMYFUNCTION("""COMPUTED_VALUE"""),2815.0)</f>
        <v>2815</v>
      </c>
      <c r="E97" s="1">
        <f>IFERROR(__xludf.DUMMYFUNCTION("""COMPUTED_VALUE"""),2885.0)</f>
        <v>2885</v>
      </c>
      <c r="F97" s="1">
        <f>IFERROR(__xludf.DUMMYFUNCTION("""COMPUTED_VALUE"""),5361.0)</f>
        <v>5361</v>
      </c>
    </row>
    <row r="98">
      <c r="A98" s="2">
        <f>IFERROR(__xludf.DUMMYFUNCTION("""COMPUTED_VALUE"""),41051.645833333336)</f>
        <v>41051.64583</v>
      </c>
      <c r="B98" s="1">
        <f>IFERROR(__xludf.DUMMYFUNCTION("""COMPUTED_VALUE"""),2885.0)</f>
        <v>2885</v>
      </c>
      <c r="C98" s="1">
        <f>IFERROR(__xludf.DUMMYFUNCTION("""COMPUTED_VALUE"""),2915.0)</f>
        <v>2915</v>
      </c>
      <c r="D98" s="1">
        <f>IFERROR(__xludf.DUMMYFUNCTION("""COMPUTED_VALUE"""),2880.0)</f>
        <v>2880</v>
      </c>
      <c r="E98" s="1">
        <f>IFERROR(__xludf.DUMMYFUNCTION("""COMPUTED_VALUE"""),2915.0)</f>
        <v>2915</v>
      </c>
      <c r="F98" s="1">
        <f>IFERROR(__xludf.DUMMYFUNCTION("""COMPUTED_VALUE"""),521990.0)</f>
        <v>521990</v>
      </c>
    </row>
    <row r="99">
      <c r="A99" s="2">
        <f>IFERROR(__xludf.DUMMYFUNCTION("""COMPUTED_VALUE"""),41052.645833333336)</f>
        <v>41052.64583</v>
      </c>
      <c r="B99" s="1">
        <f>IFERROR(__xludf.DUMMYFUNCTION("""COMPUTED_VALUE"""),2915.0)</f>
        <v>2915</v>
      </c>
      <c r="C99" s="1">
        <f>IFERROR(__xludf.DUMMYFUNCTION("""COMPUTED_VALUE"""),2975.0)</f>
        <v>2975</v>
      </c>
      <c r="D99" s="1">
        <f>IFERROR(__xludf.DUMMYFUNCTION("""COMPUTED_VALUE"""),2910.0)</f>
        <v>2910</v>
      </c>
      <c r="E99" s="1">
        <f>IFERROR(__xludf.DUMMYFUNCTION("""COMPUTED_VALUE"""),2915.0)</f>
        <v>2915</v>
      </c>
      <c r="F99" s="1">
        <f>IFERROR(__xludf.DUMMYFUNCTION("""COMPUTED_VALUE"""),4641.0)</f>
        <v>4641</v>
      </c>
    </row>
    <row r="100">
      <c r="A100" s="2">
        <f>IFERROR(__xludf.DUMMYFUNCTION("""COMPUTED_VALUE"""),41053.645833333336)</f>
        <v>41053.64583</v>
      </c>
      <c r="B100" s="1">
        <f>IFERROR(__xludf.DUMMYFUNCTION("""COMPUTED_VALUE"""),2930.0)</f>
        <v>2930</v>
      </c>
      <c r="C100" s="1">
        <f>IFERROR(__xludf.DUMMYFUNCTION("""COMPUTED_VALUE"""),2970.0)</f>
        <v>2970</v>
      </c>
      <c r="D100" s="1">
        <f>IFERROR(__xludf.DUMMYFUNCTION("""COMPUTED_VALUE"""),2890.0)</f>
        <v>2890</v>
      </c>
      <c r="E100" s="1">
        <f>IFERROR(__xludf.DUMMYFUNCTION("""COMPUTED_VALUE"""),2945.0)</f>
        <v>2945</v>
      </c>
      <c r="F100" s="1">
        <f>IFERROR(__xludf.DUMMYFUNCTION("""COMPUTED_VALUE"""),4350.0)</f>
        <v>4350</v>
      </c>
    </row>
    <row r="101">
      <c r="A101" s="2">
        <f>IFERROR(__xludf.DUMMYFUNCTION("""COMPUTED_VALUE"""),41054.645833333336)</f>
        <v>41054.64583</v>
      </c>
      <c r="B101" s="1">
        <f>IFERROR(__xludf.DUMMYFUNCTION("""COMPUTED_VALUE"""),2960.0)</f>
        <v>2960</v>
      </c>
      <c r="C101" s="1">
        <f>IFERROR(__xludf.DUMMYFUNCTION("""COMPUTED_VALUE"""),2965.0)</f>
        <v>2965</v>
      </c>
      <c r="D101" s="1">
        <f>IFERROR(__xludf.DUMMYFUNCTION("""COMPUTED_VALUE"""),2935.0)</f>
        <v>2935</v>
      </c>
      <c r="E101" s="1">
        <f>IFERROR(__xludf.DUMMYFUNCTION("""COMPUTED_VALUE"""),2945.0)</f>
        <v>2945</v>
      </c>
      <c r="F101" s="1">
        <f>IFERROR(__xludf.DUMMYFUNCTION("""COMPUTED_VALUE"""),8390.0)</f>
        <v>8390</v>
      </c>
    </row>
    <row r="102">
      <c r="A102" s="2">
        <f>IFERROR(__xludf.DUMMYFUNCTION("""COMPUTED_VALUE"""),41058.645833333336)</f>
        <v>41058.64583</v>
      </c>
      <c r="B102" s="1">
        <f>IFERROR(__xludf.DUMMYFUNCTION("""COMPUTED_VALUE"""),2960.0)</f>
        <v>2960</v>
      </c>
      <c r="C102" s="1">
        <f>IFERROR(__xludf.DUMMYFUNCTION("""COMPUTED_VALUE"""),3005.0)</f>
        <v>3005</v>
      </c>
      <c r="D102" s="1">
        <f>IFERROR(__xludf.DUMMYFUNCTION("""COMPUTED_VALUE"""),2945.0)</f>
        <v>2945</v>
      </c>
      <c r="E102" s="1">
        <f>IFERROR(__xludf.DUMMYFUNCTION("""COMPUTED_VALUE"""),3005.0)</f>
        <v>3005</v>
      </c>
      <c r="F102" s="1">
        <f>IFERROR(__xludf.DUMMYFUNCTION("""COMPUTED_VALUE"""),7750.0)</f>
        <v>7750</v>
      </c>
    </row>
    <row r="103">
      <c r="A103" s="2">
        <f>IFERROR(__xludf.DUMMYFUNCTION("""COMPUTED_VALUE"""),41059.645833333336)</f>
        <v>41059.64583</v>
      </c>
      <c r="B103" s="1">
        <f>IFERROR(__xludf.DUMMYFUNCTION("""COMPUTED_VALUE"""),3005.0)</f>
        <v>3005</v>
      </c>
      <c r="C103" s="1">
        <f>IFERROR(__xludf.DUMMYFUNCTION("""COMPUTED_VALUE"""),3010.0)</f>
        <v>3010</v>
      </c>
      <c r="D103" s="1">
        <f>IFERROR(__xludf.DUMMYFUNCTION("""COMPUTED_VALUE"""),2965.0)</f>
        <v>2965</v>
      </c>
      <c r="E103" s="1">
        <f>IFERROR(__xludf.DUMMYFUNCTION("""COMPUTED_VALUE"""),2990.0)</f>
        <v>2990</v>
      </c>
      <c r="F103" s="1">
        <f>IFERROR(__xludf.DUMMYFUNCTION("""COMPUTED_VALUE"""),3981.0)</f>
        <v>3981</v>
      </c>
    </row>
    <row r="104">
      <c r="A104" s="2">
        <f>IFERROR(__xludf.DUMMYFUNCTION("""COMPUTED_VALUE"""),41060.645833333336)</f>
        <v>41060.64583</v>
      </c>
      <c r="B104" s="1">
        <f>IFERROR(__xludf.DUMMYFUNCTION("""COMPUTED_VALUE"""),2985.0)</f>
        <v>2985</v>
      </c>
      <c r="C104" s="1">
        <f>IFERROR(__xludf.DUMMYFUNCTION("""COMPUTED_VALUE"""),2985.0)</f>
        <v>2985</v>
      </c>
      <c r="D104" s="1">
        <f>IFERROR(__xludf.DUMMYFUNCTION("""COMPUTED_VALUE"""),2945.0)</f>
        <v>2945</v>
      </c>
      <c r="E104" s="1">
        <f>IFERROR(__xludf.DUMMYFUNCTION("""COMPUTED_VALUE"""),2980.0)</f>
        <v>2980</v>
      </c>
      <c r="F104" s="1">
        <f>IFERROR(__xludf.DUMMYFUNCTION("""COMPUTED_VALUE"""),3770.0)</f>
        <v>3770</v>
      </c>
    </row>
    <row r="105">
      <c r="A105" s="2">
        <f>IFERROR(__xludf.DUMMYFUNCTION("""COMPUTED_VALUE"""),41061.645833333336)</f>
        <v>41061.64583</v>
      </c>
      <c r="B105" s="1">
        <f>IFERROR(__xludf.DUMMYFUNCTION("""COMPUTED_VALUE"""),2975.0)</f>
        <v>2975</v>
      </c>
      <c r="C105" s="1">
        <f>IFERROR(__xludf.DUMMYFUNCTION("""COMPUTED_VALUE"""),3000.0)</f>
        <v>3000</v>
      </c>
      <c r="D105" s="1">
        <f>IFERROR(__xludf.DUMMYFUNCTION("""COMPUTED_VALUE"""),2955.0)</f>
        <v>2955</v>
      </c>
      <c r="E105" s="1">
        <f>IFERROR(__xludf.DUMMYFUNCTION("""COMPUTED_VALUE"""),2995.0)</f>
        <v>2995</v>
      </c>
      <c r="F105" s="1">
        <f>IFERROR(__xludf.DUMMYFUNCTION("""COMPUTED_VALUE"""),18836.0)</f>
        <v>18836</v>
      </c>
    </row>
    <row r="106">
      <c r="A106" s="2">
        <f>IFERROR(__xludf.DUMMYFUNCTION("""COMPUTED_VALUE"""),41064.645833333336)</f>
        <v>41064.64583</v>
      </c>
      <c r="B106" s="1">
        <f>IFERROR(__xludf.DUMMYFUNCTION("""COMPUTED_VALUE"""),2925.0)</f>
        <v>2925</v>
      </c>
      <c r="C106" s="1">
        <f>IFERROR(__xludf.DUMMYFUNCTION("""COMPUTED_VALUE"""),2950.0)</f>
        <v>2950</v>
      </c>
      <c r="D106" s="1">
        <f>IFERROR(__xludf.DUMMYFUNCTION("""COMPUTED_VALUE"""),2900.0)</f>
        <v>2900</v>
      </c>
      <c r="E106" s="1">
        <f>IFERROR(__xludf.DUMMYFUNCTION("""COMPUTED_VALUE"""),2900.0)</f>
        <v>2900</v>
      </c>
      <c r="F106" s="1">
        <f>IFERROR(__xludf.DUMMYFUNCTION("""COMPUTED_VALUE"""),7758.0)</f>
        <v>7758</v>
      </c>
    </row>
    <row r="107">
      <c r="A107" s="2">
        <f>IFERROR(__xludf.DUMMYFUNCTION("""COMPUTED_VALUE"""),41065.645833333336)</f>
        <v>41065.64583</v>
      </c>
      <c r="B107" s="1">
        <f>IFERROR(__xludf.DUMMYFUNCTION("""COMPUTED_VALUE"""),2920.0)</f>
        <v>2920</v>
      </c>
      <c r="C107" s="1">
        <f>IFERROR(__xludf.DUMMYFUNCTION("""COMPUTED_VALUE"""),2935.0)</f>
        <v>2935</v>
      </c>
      <c r="D107" s="1">
        <f>IFERROR(__xludf.DUMMYFUNCTION("""COMPUTED_VALUE"""),2900.0)</f>
        <v>2900</v>
      </c>
      <c r="E107" s="1">
        <f>IFERROR(__xludf.DUMMYFUNCTION("""COMPUTED_VALUE"""),2925.0)</f>
        <v>2925</v>
      </c>
      <c r="F107" s="1">
        <f>IFERROR(__xludf.DUMMYFUNCTION("""COMPUTED_VALUE"""),7200.0)</f>
        <v>7200</v>
      </c>
    </row>
    <row r="108">
      <c r="A108" s="2">
        <f>IFERROR(__xludf.DUMMYFUNCTION("""COMPUTED_VALUE"""),41067.645833333336)</f>
        <v>41067.64583</v>
      </c>
      <c r="B108" s="1">
        <f>IFERROR(__xludf.DUMMYFUNCTION("""COMPUTED_VALUE"""),2935.0)</f>
        <v>2935</v>
      </c>
      <c r="C108" s="1">
        <f>IFERROR(__xludf.DUMMYFUNCTION("""COMPUTED_VALUE"""),2975.0)</f>
        <v>2975</v>
      </c>
      <c r="D108" s="1">
        <f>IFERROR(__xludf.DUMMYFUNCTION("""COMPUTED_VALUE"""),2925.0)</f>
        <v>2925</v>
      </c>
      <c r="E108" s="1">
        <f>IFERROR(__xludf.DUMMYFUNCTION("""COMPUTED_VALUE"""),2960.0)</f>
        <v>2960</v>
      </c>
      <c r="F108" s="1">
        <f>IFERROR(__xludf.DUMMYFUNCTION("""COMPUTED_VALUE"""),10842.0)</f>
        <v>10842</v>
      </c>
    </row>
    <row r="109">
      <c r="A109" s="2">
        <f>IFERROR(__xludf.DUMMYFUNCTION("""COMPUTED_VALUE"""),41068.645833333336)</f>
        <v>41068.64583</v>
      </c>
      <c r="B109" s="1">
        <f>IFERROR(__xludf.DUMMYFUNCTION("""COMPUTED_VALUE"""),2960.0)</f>
        <v>2960</v>
      </c>
      <c r="C109" s="1">
        <f>IFERROR(__xludf.DUMMYFUNCTION("""COMPUTED_VALUE"""),2970.0)</f>
        <v>2970</v>
      </c>
      <c r="D109" s="1">
        <f>IFERROR(__xludf.DUMMYFUNCTION("""COMPUTED_VALUE"""),2915.0)</f>
        <v>2915</v>
      </c>
      <c r="E109" s="1">
        <f>IFERROR(__xludf.DUMMYFUNCTION("""COMPUTED_VALUE"""),2915.0)</f>
        <v>2915</v>
      </c>
      <c r="F109" s="1">
        <f>IFERROR(__xludf.DUMMYFUNCTION("""COMPUTED_VALUE"""),6903.0)</f>
        <v>6903</v>
      </c>
    </row>
    <row r="110">
      <c r="A110" s="2">
        <f>IFERROR(__xludf.DUMMYFUNCTION("""COMPUTED_VALUE"""),41071.645833333336)</f>
        <v>41071.64583</v>
      </c>
      <c r="B110" s="1">
        <f>IFERROR(__xludf.DUMMYFUNCTION("""COMPUTED_VALUE"""),2920.0)</f>
        <v>2920</v>
      </c>
      <c r="C110" s="1">
        <f>IFERROR(__xludf.DUMMYFUNCTION("""COMPUTED_VALUE"""),2970.0)</f>
        <v>2970</v>
      </c>
      <c r="D110" s="1">
        <f>IFERROR(__xludf.DUMMYFUNCTION("""COMPUTED_VALUE"""),2885.0)</f>
        <v>2885</v>
      </c>
      <c r="E110" s="1">
        <f>IFERROR(__xludf.DUMMYFUNCTION("""COMPUTED_VALUE"""),2945.0)</f>
        <v>2945</v>
      </c>
      <c r="F110" s="1">
        <f>IFERROR(__xludf.DUMMYFUNCTION("""COMPUTED_VALUE"""),25032.0)</f>
        <v>25032</v>
      </c>
    </row>
    <row r="111">
      <c r="A111" s="2">
        <f>IFERROR(__xludf.DUMMYFUNCTION("""COMPUTED_VALUE"""),41072.645833333336)</f>
        <v>41072.64583</v>
      </c>
      <c r="B111" s="1">
        <f>IFERROR(__xludf.DUMMYFUNCTION("""COMPUTED_VALUE"""),2950.0)</f>
        <v>2950</v>
      </c>
      <c r="C111" s="1">
        <f>IFERROR(__xludf.DUMMYFUNCTION("""COMPUTED_VALUE"""),2955.0)</f>
        <v>2955</v>
      </c>
      <c r="D111" s="1">
        <f>IFERROR(__xludf.DUMMYFUNCTION("""COMPUTED_VALUE"""),2920.0)</f>
        <v>2920</v>
      </c>
      <c r="E111" s="1">
        <f>IFERROR(__xludf.DUMMYFUNCTION("""COMPUTED_VALUE"""),2955.0)</f>
        <v>2955</v>
      </c>
      <c r="F111" s="1">
        <f>IFERROR(__xludf.DUMMYFUNCTION("""COMPUTED_VALUE"""),1396.0)</f>
        <v>1396</v>
      </c>
    </row>
    <row r="112">
      <c r="A112" s="2">
        <f>IFERROR(__xludf.DUMMYFUNCTION("""COMPUTED_VALUE"""),41073.645833333336)</f>
        <v>41073.64583</v>
      </c>
      <c r="B112" s="1">
        <f>IFERROR(__xludf.DUMMYFUNCTION("""COMPUTED_VALUE"""),2960.0)</f>
        <v>2960</v>
      </c>
      <c r="C112" s="1">
        <f>IFERROR(__xludf.DUMMYFUNCTION("""COMPUTED_VALUE"""),3010.0)</f>
        <v>3010</v>
      </c>
      <c r="D112" s="1">
        <f>IFERROR(__xludf.DUMMYFUNCTION("""COMPUTED_VALUE"""),2940.0)</f>
        <v>2940</v>
      </c>
      <c r="E112" s="1">
        <f>IFERROR(__xludf.DUMMYFUNCTION("""COMPUTED_VALUE"""),3000.0)</f>
        <v>3000</v>
      </c>
      <c r="F112" s="1">
        <f>IFERROR(__xludf.DUMMYFUNCTION("""COMPUTED_VALUE"""),19420.0)</f>
        <v>19420</v>
      </c>
    </row>
    <row r="113">
      <c r="A113" s="2">
        <f>IFERROR(__xludf.DUMMYFUNCTION("""COMPUTED_VALUE"""),41074.645833333336)</f>
        <v>41074.64583</v>
      </c>
      <c r="B113" s="1">
        <f>IFERROR(__xludf.DUMMYFUNCTION("""COMPUTED_VALUE"""),3000.0)</f>
        <v>3000</v>
      </c>
      <c r="C113" s="1">
        <f>IFERROR(__xludf.DUMMYFUNCTION("""COMPUTED_VALUE"""),3015.0)</f>
        <v>3015</v>
      </c>
      <c r="D113" s="1">
        <f>IFERROR(__xludf.DUMMYFUNCTION("""COMPUTED_VALUE"""),2975.0)</f>
        <v>2975</v>
      </c>
      <c r="E113" s="1">
        <f>IFERROR(__xludf.DUMMYFUNCTION("""COMPUTED_VALUE"""),3010.0)</f>
        <v>3010</v>
      </c>
      <c r="F113" s="1">
        <f>IFERROR(__xludf.DUMMYFUNCTION("""COMPUTED_VALUE"""),14490.0)</f>
        <v>14490</v>
      </c>
    </row>
    <row r="114">
      <c r="A114" s="2">
        <f>IFERROR(__xludf.DUMMYFUNCTION("""COMPUTED_VALUE"""),41075.645833333336)</f>
        <v>41075.64583</v>
      </c>
      <c r="B114" s="1">
        <f>IFERROR(__xludf.DUMMYFUNCTION("""COMPUTED_VALUE"""),3000.0)</f>
        <v>3000</v>
      </c>
      <c r="C114" s="1">
        <f>IFERROR(__xludf.DUMMYFUNCTION("""COMPUTED_VALUE"""),3110.0)</f>
        <v>3110</v>
      </c>
      <c r="D114" s="1">
        <f>IFERROR(__xludf.DUMMYFUNCTION("""COMPUTED_VALUE"""),2980.0)</f>
        <v>2980</v>
      </c>
      <c r="E114" s="1">
        <f>IFERROR(__xludf.DUMMYFUNCTION("""COMPUTED_VALUE"""),3070.0)</f>
        <v>3070</v>
      </c>
      <c r="F114" s="1">
        <f>IFERROR(__xludf.DUMMYFUNCTION("""COMPUTED_VALUE"""),22810.0)</f>
        <v>22810</v>
      </c>
    </row>
    <row r="115">
      <c r="A115" s="2">
        <f>IFERROR(__xludf.DUMMYFUNCTION("""COMPUTED_VALUE"""),41078.645833333336)</f>
        <v>41078.64583</v>
      </c>
      <c r="B115" s="1">
        <f>IFERROR(__xludf.DUMMYFUNCTION("""COMPUTED_VALUE"""),3105.0)</f>
        <v>3105</v>
      </c>
      <c r="C115" s="1">
        <f>IFERROR(__xludf.DUMMYFUNCTION("""COMPUTED_VALUE"""),3160.0)</f>
        <v>3160</v>
      </c>
      <c r="D115" s="1">
        <f>IFERROR(__xludf.DUMMYFUNCTION("""COMPUTED_VALUE"""),3065.0)</f>
        <v>3065</v>
      </c>
      <c r="E115" s="1">
        <f>IFERROR(__xludf.DUMMYFUNCTION("""COMPUTED_VALUE"""),3110.0)</f>
        <v>3110</v>
      </c>
      <c r="F115" s="1">
        <f>IFERROR(__xludf.DUMMYFUNCTION("""COMPUTED_VALUE"""),33835.0)</f>
        <v>33835</v>
      </c>
    </row>
    <row r="116">
      <c r="A116" s="2">
        <f>IFERROR(__xludf.DUMMYFUNCTION("""COMPUTED_VALUE"""),41079.645833333336)</f>
        <v>41079.64583</v>
      </c>
      <c r="B116" s="1">
        <f>IFERROR(__xludf.DUMMYFUNCTION("""COMPUTED_VALUE"""),3170.0)</f>
        <v>3170</v>
      </c>
      <c r="C116" s="1">
        <f>IFERROR(__xludf.DUMMYFUNCTION("""COMPUTED_VALUE"""),3170.0)</f>
        <v>3170</v>
      </c>
      <c r="D116" s="1">
        <f>IFERROR(__xludf.DUMMYFUNCTION("""COMPUTED_VALUE"""),3085.0)</f>
        <v>3085</v>
      </c>
      <c r="E116" s="1">
        <f>IFERROR(__xludf.DUMMYFUNCTION("""COMPUTED_VALUE"""),3085.0)</f>
        <v>3085</v>
      </c>
      <c r="F116" s="1">
        <f>IFERROR(__xludf.DUMMYFUNCTION("""COMPUTED_VALUE"""),17141.0)</f>
        <v>17141</v>
      </c>
    </row>
    <row r="117">
      <c r="A117" s="2">
        <f>IFERROR(__xludf.DUMMYFUNCTION("""COMPUTED_VALUE"""),41080.645833333336)</f>
        <v>41080.64583</v>
      </c>
      <c r="B117" s="1">
        <f>IFERROR(__xludf.DUMMYFUNCTION("""COMPUTED_VALUE"""),3085.0)</f>
        <v>3085</v>
      </c>
      <c r="C117" s="1">
        <f>IFERROR(__xludf.DUMMYFUNCTION("""COMPUTED_VALUE"""),3145.0)</f>
        <v>3145</v>
      </c>
      <c r="D117" s="1">
        <f>IFERROR(__xludf.DUMMYFUNCTION("""COMPUTED_VALUE"""),3075.0)</f>
        <v>3075</v>
      </c>
      <c r="E117" s="1">
        <f>IFERROR(__xludf.DUMMYFUNCTION("""COMPUTED_VALUE"""),3130.0)</f>
        <v>3130</v>
      </c>
      <c r="F117" s="1">
        <f>IFERROR(__xludf.DUMMYFUNCTION("""COMPUTED_VALUE"""),12101.0)</f>
        <v>12101</v>
      </c>
    </row>
    <row r="118">
      <c r="A118" s="2">
        <f>IFERROR(__xludf.DUMMYFUNCTION("""COMPUTED_VALUE"""),41081.645833333336)</f>
        <v>41081.64583</v>
      </c>
      <c r="B118" s="1">
        <f>IFERROR(__xludf.DUMMYFUNCTION("""COMPUTED_VALUE"""),3130.0)</f>
        <v>3130</v>
      </c>
      <c r="C118" s="1">
        <f>IFERROR(__xludf.DUMMYFUNCTION("""COMPUTED_VALUE"""),3410.0)</f>
        <v>3410</v>
      </c>
      <c r="D118" s="1">
        <f>IFERROR(__xludf.DUMMYFUNCTION("""COMPUTED_VALUE"""),3120.0)</f>
        <v>3120</v>
      </c>
      <c r="E118" s="1">
        <f>IFERROR(__xludf.DUMMYFUNCTION("""COMPUTED_VALUE"""),3200.0)</f>
        <v>3200</v>
      </c>
      <c r="F118" s="1">
        <f>IFERROR(__xludf.DUMMYFUNCTION("""COMPUTED_VALUE"""),157998.0)</f>
        <v>157998</v>
      </c>
    </row>
    <row r="119">
      <c r="A119" s="2">
        <f>IFERROR(__xludf.DUMMYFUNCTION("""COMPUTED_VALUE"""),41082.645833333336)</f>
        <v>41082.64583</v>
      </c>
      <c r="B119" s="1">
        <f>IFERROR(__xludf.DUMMYFUNCTION("""COMPUTED_VALUE"""),3200.0)</f>
        <v>3200</v>
      </c>
      <c r="C119" s="1">
        <f>IFERROR(__xludf.DUMMYFUNCTION("""COMPUTED_VALUE"""),3245.0)</f>
        <v>3245</v>
      </c>
      <c r="D119" s="1">
        <f>IFERROR(__xludf.DUMMYFUNCTION("""COMPUTED_VALUE"""),3120.0)</f>
        <v>3120</v>
      </c>
      <c r="E119" s="1">
        <f>IFERROR(__xludf.DUMMYFUNCTION("""COMPUTED_VALUE"""),3140.0)</f>
        <v>3140</v>
      </c>
      <c r="F119" s="1">
        <f>IFERROR(__xludf.DUMMYFUNCTION("""COMPUTED_VALUE"""),20000.0)</f>
        <v>20000</v>
      </c>
    </row>
    <row r="120">
      <c r="A120" s="2">
        <f>IFERROR(__xludf.DUMMYFUNCTION("""COMPUTED_VALUE"""),41085.645833333336)</f>
        <v>41085.64583</v>
      </c>
      <c r="B120" s="1">
        <f>IFERROR(__xludf.DUMMYFUNCTION("""COMPUTED_VALUE"""),3185.0)</f>
        <v>3185</v>
      </c>
      <c r="C120" s="1">
        <f>IFERROR(__xludf.DUMMYFUNCTION("""COMPUTED_VALUE"""),3245.0)</f>
        <v>3245</v>
      </c>
      <c r="D120" s="1">
        <f>IFERROR(__xludf.DUMMYFUNCTION("""COMPUTED_VALUE"""),3160.0)</f>
        <v>3160</v>
      </c>
      <c r="E120" s="1">
        <f>IFERROR(__xludf.DUMMYFUNCTION("""COMPUTED_VALUE"""),3170.0)</f>
        <v>3170</v>
      </c>
      <c r="F120" s="1">
        <f>IFERROR(__xludf.DUMMYFUNCTION("""COMPUTED_VALUE"""),9356.0)</f>
        <v>9356</v>
      </c>
    </row>
    <row r="121">
      <c r="A121" s="2">
        <f>IFERROR(__xludf.DUMMYFUNCTION("""COMPUTED_VALUE"""),41086.645833333336)</f>
        <v>41086.64583</v>
      </c>
      <c r="B121" s="1">
        <f>IFERROR(__xludf.DUMMYFUNCTION("""COMPUTED_VALUE"""),3080.0)</f>
        <v>3080</v>
      </c>
      <c r="C121" s="1">
        <f>IFERROR(__xludf.DUMMYFUNCTION("""COMPUTED_VALUE"""),3180.0)</f>
        <v>3180</v>
      </c>
      <c r="D121" s="1">
        <f>IFERROR(__xludf.DUMMYFUNCTION("""COMPUTED_VALUE"""),3070.0)</f>
        <v>3070</v>
      </c>
      <c r="E121" s="1">
        <f>IFERROR(__xludf.DUMMYFUNCTION("""COMPUTED_VALUE"""),3105.0)</f>
        <v>3105</v>
      </c>
      <c r="F121" s="1">
        <f>IFERROR(__xludf.DUMMYFUNCTION("""COMPUTED_VALUE"""),14983.0)</f>
        <v>14983</v>
      </c>
    </row>
    <row r="122">
      <c r="A122" s="2">
        <f>IFERROR(__xludf.DUMMYFUNCTION("""COMPUTED_VALUE"""),41087.645833333336)</f>
        <v>41087.64583</v>
      </c>
      <c r="B122" s="1">
        <f>IFERROR(__xludf.DUMMYFUNCTION("""COMPUTED_VALUE"""),3090.0)</f>
        <v>3090</v>
      </c>
      <c r="C122" s="1">
        <f>IFERROR(__xludf.DUMMYFUNCTION("""COMPUTED_VALUE"""),3165.0)</f>
        <v>3165</v>
      </c>
      <c r="D122" s="1">
        <f>IFERROR(__xludf.DUMMYFUNCTION("""COMPUTED_VALUE"""),3080.0)</f>
        <v>3080</v>
      </c>
      <c r="E122" s="1">
        <f>IFERROR(__xludf.DUMMYFUNCTION("""COMPUTED_VALUE"""),3165.0)</f>
        <v>3165</v>
      </c>
      <c r="F122" s="1">
        <f>IFERROR(__xludf.DUMMYFUNCTION("""COMPUTED_VALUE"""),15323.0)</f>
        <v>15323</v>
      </c>
    </row>
    <row r="123">
      <c r="A123" s="2">
        <f>IFERROR(__xludf.DUMMYFUNCTION("""COMPUTED_VALUE"""),41088.645833333336)</f>
        <v>41088.64583</v>
      </c>
      <c r="B123" s="1">
        <f>IFERROR(__xludf.DUMMYFUNCTION("""COMPUTED_VALUE"""),3100.0)</f>
        <v>3100</v>
      </c>
      <c r="C123" s="1">
        <f>IFERROR(__xludf.DUMMYFUNCTION("""COMPUTED_VALUE"""),3170.0)</f>
        <v>3170</v>
      </c>
      <c r="D123" s="1">
        <f>IFERROR(__xludf.DUMMYFUNCTION("""COMPUTED_VALUE"""),3100.0)</f>
        <v>3100</v>
      </c>
      <c r="E123" s="1">
        <f>IFERROR(__xludf.DUMMYFUNCTION("""COMPUTED_VALUE"""),3125.0)</f>
        <v>3125</v>
      </c>
      <c r="F123" s="1">
        <f>IFERROR(__xludf.DUMMYFUNCTION("""COMPUTED_VALUE"""),13270.0)</f>
        <v>13270</v>
      </c>
    </row>
    <row r="124">
      <c r="A124" s="2">
        <f>IFERROR(__xludf.DUMMYFUNCTION("""COMPUTED_VALUE"""),41089.645833333336)</f>
        <v>41089.64583</v>
      </c>
      <c r="B124" s="1">
        <f>IFERROR(__xludf.DUMMYFUNCTION("""COMPUTED_VALUE"""),3075.0)</f>
        <v>3075</v>
      </c>
      <c r="C124" s="1">
        <f>IFERROR(__xludf.DUMMYFUNCTION("""COMPUTED_VALUE"""),3135.0)</f>
        <v>3135</v>
      </c>
      <c r="D124" s="1">
        <f>IFERROR(__xludf.DUMMYFUNCTION("""COMPUTED_VALUE"""),3070.0)</f>
        <v>3070</v>
      </c>
      <c r="E124" s="1">
        <f>IFERROR(__xludf.DUMMYFUNCTION("""COMPUTED_VALUE"""),3135.0)</f>
        <v>3135</v>
      </c>
      <c r="F124" s="1">
        <f>IFERROR(__xludf.DUMMYFUNCTION("""COMPUTED_VALUE"""),10024.0)</f>
        <v>10024</v>
      </c>
    </row>
    <row r="125">
      <c r="A125" s="2">
        <f>IFERROR(__xludf.DUMMYFUNCTION("""COMPUTED_VALUE"""),41092.645833333336)</f>
        <v>41092.64583</v>
      </c>
      <c r="B125" s="1">
        <f>IFERROR(__xludf.DUMMYFUNCTION("""COMPUTED_VALUE"""),3130.0)</f>
        <v>3130</v>
      </c>
      <c r="C125" s="1">
        <f>IFERROR(__xludf.DUMMYFUNCTION("""COMPUTED_VALUE"""),3130.0)</f>
        <v>3130</v>
      </c>
      <c r="D125" s="1">
        <f>IFERROR(__xludf.DUMMYFUNCTION("""COMPUTED_VALUE"""),3075.0)</f>
        <v>3075</v>
      </c>
      <c r="E125" s="1">
        <f>IFERROR(__xludf.DUMMYFUNCTION("""COMPUTED_VALUE"""),3075.0)</f>
        <v>3075</v>
      </c>
      <c r="F125" s="1">
        <f>IFERROR(__xludf.DUMMYFUNCTION("""COMPUTED_VALUE"""),3568.0)</f>
        <v>3568</v>
      </c>
    </row>
    <row r="126">
      <c r="A126" s="2">
        <f>IFERROR(__xludf.DUMMYFUNCTION("""COMPUTED_VALUE"""),41093.645833333336)</f>
        <v>41093.64583</v>
      </c>
      <c r="B126" s="1">
        <f>IFERROR(__xludf.DUMMYFUNCTION("""COMPUTED_VALUE"""),3075.0)</f>
        <v>3075</v>
      </c>
      <c r="C126" s="1">
        <f>IFERROR(__xludf.DUMMYFUNCTION("""COMPUTED_VALUE"""),3095.0)</f>
        <v>3095</v>
      </c>
      <c r="D126" s="1">
        <f>IFERROR(__xludf.DUMMYFUNCTION("""COMPUTED_VALUE"""),3060.0)</f>
        <v>3060</v>
      </c>
      <c r="E126" s="1">
        <f>IFERROR(__xludf.DUMMYFUNCTION("""COMPUTED_VALUE"""),3065.0)</f>
        <v>3065</v>
      </c>
      <c r="F126" s="1">
        <f>IFERROR(__xludf.DUMMYFUNCTION("""COMPUTED_VALUE"""),3668.0)</f>
        <v>3668</v>
      </c>
    </row>
    <row r="127">
      <c r="A127" s="2">
        <f>IFERROR(__xludf.DUMMYFUNCTION("""COMPUTED_VALUE"""),41094.645833333336)</f>
        <v>41094.64583</v>
      </c>
      <c r="B127" s="1">
        <f>IFERROR(__xludf.DUMMYFUNCTION("""COMPUTED_VALUE"""),3080.0)</f>
        <v>3080</v>
      </c>
      <c r="C127" s="1">
        <f>IFERROR(__xludf.DUMMYFUNCTION("""COMPUTED_VALUE"""),3240.0)</f>
        <v>3240</v>
      </c>
      <c r="D127" s="1">
        <f>IFERROR(__xludf.DUMMYFUNCTION("""COMPUTED_VALUE"""),3050.0)</f>
        <v>3050</v>
      </c>
      <c r="E127" s="1">
        <f>IFERROR(__xludf.DUMMYFUNCTION("""COMPUTED_VALUE"""),3160.0)</f>
        <v>3160</v>
      </c>
      <c r="F127" s="1">
        <f>IFERROR(__xludf.DUMMYFUNCTION("""COMPUTED_VALUE"""),58481.0)</f>
        <v>58481</v>
      </c>
    </row>
    <row r="128">
      <c r="A128" s="2">
        <f>IFERROR(__xludf.DUMMYFUNCTION("""COMPUTED_VALUE"""),41095.645833333336)</f>
        <v>41095.64583</v>
      </c>
      <c r="B128" s="1">
        <f>IFERROR(__xludf.DUMMYFUNCTION("""COMPUTED_VALUE"""),3200.0)</f>
        <v>3200</v>
      </c>
      <c r="C128" s="1">
        <f>IFERROR(__xludf.DUMMYFUNCTION("""COMPUTED_VALUE"""),3200.0)</f>
        <v>3200</v>
      </c>
      <c r="D128" s="1">
        <f>IFERROR(__xludf.DUMMYFUNCTION("""COMPUTED_VALUE"""),3090.0)</f>
        <v>3090</v>
      </c>
      <c r="E128" s="1">
        <f>IFERROR(__xludf.DUMMYFUNCTION("""COMPUTED_VALUE"""),3100.0)</f>
        <v>3100</v>
      </c>
      <c r="F128" s="1">
        <f>IFERROR(__xludf.DUMMYFUNCTION("""COMPUTED_VALUE"""),16785.0)</f>
        <v>16785</v>
      </c>
    </row>
    <row r="129">
      <c r="A129" s="2">
        <f>IFERROR(__xludf.DUMMYFUNCTION("""COMPUTED_VALUE"""),41096.645833333336)</f>
        <v>41096.64583</v>
      </c>
      <c r="B129" s="1">
        <f>IFERROR(__xludf.DUMMYFUNCTION("""COMPUTED_VALUE"""),3105.0)</f>
        <v>3105</v>
      </c>
      <c r="C129" s="1">
        <f>IFERROR(__xludf.DUMMYFUNCTION("""COMPUTED_VALUE"""),3125.0)</f>
        <v>3125</v>
      </c>
      <c r="D129" s="1">
        <f>IFERROR(__xludf.DUMMYFUNCTION("""COMPUTED_VALUE"""),3100.0)</f>
        <v>3100</v>
      </c>
      <c r="E129" s="1">
        <f>IFERROR(__xludf.DUMMYFUNCTION("""COMPUTED_VALUE"""),3115.0)</f>
        <v>3115</v>
      </c>
      <c r="F129" s="1">
        <f>IFERROR(__xludf.DUMMYFUNCTION("""COMPUTED_VALUE"""),18133.0)</f>
        <v>18133</v>
      </c>
    </row>
    <row r="130">
      <c r="A130" s="2">
        <f>IFERROR(__xludf.DUMMYFUNCTION("""COMPUTED_VALUE"""),41099.645833333336)</f>
        <v>41099.64583</v>
      </c>
      <c r="B130" s="1">
        <f>IFERROR(__xludf.DUMMYFUNCTION("""COMPUTED_VALUE"""),3115.0)</f>
        <v>3115</v>
      </c>
      <c r="C130" s="1">
        <f>IFERROR(__xludf.DUMMYFUNCTION("""COMPUTED_VALUE"""),3115.0)</f>
        <v>3115</v>
      </c>
      <c r="D130" s="1">
        <f>IFERROR(__xludf.DUMMYFUNCTION("""COMPUTED_VALUE"""),3080.0)</f>
        <v>3080</v>
      </c>
      <c r="E130" s="1">
        <f>IFERROR(__xludf.DUMMYFUNCTION("""COMPUTED_VALUE"""),3100.0)</f>
        <v>3100</v>
      </c>
      <c r="F130" s="1">
        <f>IFERROR(__xludf.DUMMYFUNCTION("""COMPUTED_VALUE"""),8084.0)</f>
        <v>8084</v>
      </c>
    </row>
    <row r="131">
      <c r="A131" s="2">
        <f>IFERROR(__xludf.DUMMYFUNCTION("""COMPUTED_VALUE"""),41100.645833333336)</f>
        <v>41100.64583</v>
      </c>
      <c r="B131" s="1">
        <f>IFERROR(__xludf.DUMMYFUNCTION("""COMPUTED_VALUE"""),3080.0)</f>
        <v>3080</v>
      </c>
      <c r="C131" s="1">
        <f>IFERROR(__xludf.DUMMYFUNCTION("""COMPUTED_VALUE"""),3110.0)</f>
        <v>3110</v>
      </c>
      <c r="D131" s="1">
        <f>IFERROR(__xludf.DUMMYFUNCTION("""COMPUTED_VALUE"""),3060.0)</f>
        <v>3060</v>
      </c>
      <c r="E131" s="1">
        <f>IFERROR(__xludf.DUMMYFUNCTION("""COMPUTED_VALUE"""),3090.0)</f>
        <v>3090</v>
      </c>
      <c r="F131" s="1">
        <f>IFERROR(__xludf.DUMMYFUNCTION("""COMPUTED_VALUE"""),6085.0)</f>
        <v>6085</v>
      </c>
    </row>
    <row r="132">
      <c r="A132" s="2">
        <f>IFERROR(__xludf.DUMMYFUNCTION("""COMPUTED_VALUE"""),41101.645833333336)</f>
        <v>41101.64583</v>
      </c>
      <c r="B132" s="1">
        <f>IFERROR(__xludf.DUMMYFUNCTION("""COMPUTED_VALUE"""),3100.0)</f>
        <v>3100</v>
      </c>
      <c r="C132" s="1">
        <f>IFERROR(__xludf.DUMMYFUNCTION("""COMPUTED_VALUE"""),3140.0)</f>
        <v>3140</v>
      </c>
      <c r="D132" s="1">
        <f>IFERROR(__xludf.DUMMYFUNCTION("""COMPUTED_VALUE"""),3075.0)</f>
        <v>3075</v>
      </c>
      <c r="E132" s="1">
        <f>IFERROR(__xludf.DUMMYFUNCTION("""COMPUTED_VALUE"""),3140.0)</f>
        <v>3140</v>
      </c>
      <c r="F132" s="1">
        <f>IFERROR(__xludf.DUMMYFUNCTION("""COMPUTED_VALUE"""),7640.0)</f>
        <v>7640</v>
      </c>
    </row>
    <row r="133">
      <c r="A133" s="2">
        <f>IFERROR(__xludf.DUMMYFUNCTION("""COMPUTED_VALUE"""),41102.645833333336)</f>
        <v>41102.64583</v>
      </c>
      <c r="B133" s="1">
        <f>IFERROR(__xludf.DUMMYFUNCTION("""COMPUTED_VALUE"""),3105.0)</f>
        <v>3105</v>
      </c>
      <c r="C133" s="1">
        <f>IFERROR(__xludf.DUMMYFUNCTION("""COMPUTED_VALUE"""),3125.0)</f>
        <v>3125</v>
      </c>
      <c r="D133" s="1">
        <f>IFERROR(__xludf.DUMMYFUNCTION("""COMPUTED_VALUE"""),3080.0)</f>
        <v>3080</v>
      </c>
      <c r="E133" s="1">
        <f>IFERROR(__xludf.DUMMYFUNCTION("""COMPUTED_VALUE"""),3120.0)</f>
        <v>3120</v>
      </c>
      <c r="F133" s="1">
        <f>IFERROR(__xludf.DUMMYFUNCTION("""COMPUTED_VALUE"""),6685.0)</f>
        <v>6685</v>
      </c>
    </row>
    <row r="134">
      <c r="A134" s="2">
        <f>IFERROR(__xludf.DUMMYFUNCTION("""COMPUTED_VALUE"""),41103.645833333336)</f>
        <v>41103.64583</v>
      </c>
      <c r="B134" s="1">
        <f>IFERROR(__xludf.DUMMYFUNCTION("""COMPUTED_VALUE"""),3120.0)</f>
        <v>3120</v>
      </c>
      <c r="C134" s="1">
        <f>IFERROR(__xludf.DUMMYFUNCTION("""COMPUTED_VALUE"""),3130.0)</f>
        <v>3130</v>
      </c>
      <c r="D134" s="1">
        <f>IFERROR(__xludf.DUMMYFUNCTION("""COMPUTED_VALUE"""),3065.0)</f>
        <v>3065</v>
      </c>
      <c r="E134" s="1">
        <f>IFERROR(__xludf.DUMMYFUNCTION("""COMPUTED_VALUE"""),3080.0)</f>
        <v>3080</v>
      </c>
      <c r="F134" s="1">
        <f>IFERROR(__xludf.DUMMYFUNCTION("""COMPUTED_VALUE"""),11690.0)</f>
        <v>11690</v>
      </c>
    </row>
    <row r="135">
      <c r="A135" s="2">
        <f>IFERROR(__xludf.DUMMYFUNCTION("""COMPUTED_VALUE"""),41106.645833333336)</f>
        <v>41106.64583</v>
      </c>
      <c r="B135" s="1">
        <f>IFERROR(__xludf.DUMMYFUNCTION("""COMPUTED_VALUE"""),3090.0)</f>
        <v>3090</v>
      </c>
      <c r="C135" s="1">
        <f>IFERROR(__xludf.DUMMYFUNCTION("""COMPUTED_VALUE"""),3130.0)</f>
        <v>3130</v>
      </c>
      <c r="D135" s="1">
        <f>IFERROR(__xludf.DUMMYFUNCTION("""COMPUTED_VALUE"""),3060.0)</f>
        <v>3060</v>
      </c>
      <c r="E135" s="1">
        <f>IFERROR(__xludf.DUMMYFUNCTION("""COMPUTED_VALUE"""),3075.0)</f>
        <v>3075</v>
      </c>
      <c r="F135" s="1">
        <f>IFERROR(__xludf.DUMMYFUNCTION("""COMPUTED_VALUE"""),20720.0)</f>
        <v>20720</v>
      </c>
    </row>
    <row r="136">
      <c r="A136" s="2">
        <f>IFERROR(__xludf.DUMMYFUNCTION("""COMPUTED_VALUE"""),41107.645833333336)</f>
        <v>41107.64583</v>
      </c>
      <c r="B136" s="1">
        <f>IFERROR(__xludf.DUMMYFUNCTION("""COMPUTED_VALUE"""),3085.0)</f>
        <v>3085</v>
      </c>
      <c r="C136" s="1">
        <f>IFERROR(__xludf.DUMMYFUNCTION("""COMPUTED_VALUE"""),3085.0)</f>
        <v>3085</v>
      </c>
      <c r="D136" s="1">
        <f>IFERROR(__xludf.DUMMYFUNCTION("""COMPUTED_VALUE"""),3035.0)</f>
        <v>3035</v>
      </c>
      <c r="E136" s="1">
        <f>IFERROR(__xludf.DUMMYFUNCTION("""COMPUTED_VALUE"""),3055.0)</f>
        <v>3055</v>
      </c>
      <c r="F136" s="1">
        <f>IFERROR(__xludf.DUMMYFUNCTION("""COMPUTED_VALUE"""),11631.0)</f>
        <v>11631</v>
      </c>
    </row>
    <row r="137">
      <c r="A137" s="2">
        <f>IFERROR(__xludf.DUMMYFUNCTION("""COMPUTED_VALUE"""),41108.645833333336)</f>
        <v>41108.64583</v>
      </c>
      <c r="B137" s="1">
        <f>IFERROR(__xludf.DUMMYFUNCTION("""COMPUTED_VALUE"""),3070.0)</f>
        <v>3070</v>
      </c>
      <c r="C137" s="1">
        <f>IFERROR(__xludf.DUMMYFUNCTION("""COMPUTED_VALUE"""),3070.0)</f>
        <v>3070</v>
      </c>
      <c r="D137" s="1">
        <f>IFERROR(__xludf.DUMMYFUNCTION("""COMPUTED_VALUE"""),3030.0)</f>
        <v>3030</v>
      </c>
      <c r="E137" s="1">
        <f>IFERROR(__xludf.DUMMYFUNCTION("""COMPUTED_VALUE"""),3050.0)</f>
        <v>3050</v>
      </c>
      <c r="F137" s="1">
        <f>IFERROR(__xludf.DUMMYFUNCTION("""COMPUTED_VALUE"""),5271.0)</f>
        <v>5271</v>
      </c>
    </row>
    <row r="138">
      <c r="A138" s="2">
        <f>IFERROR(__xludf.DUMMYFUNCTION("""COMPUTED_VALUE"""),41109.645833333336)</f>
        <v>41109.64583</v>
      </c>
      <c r="B138" s="1">
        <f>IFERROR(__xludf.DUMMYFUNCTION("""COMPUTED_VALUE"""),3060.0)</f>
        <v>3060</v>
      </c>
      <c r="C138" s="1">
        <f>IFERROR(__xludf.DUMMYFUNCTION("""COMPUTED_VALUE"""),3075.0)</f>
        <v>3075</v>
      </c>
      <c r="D138" s="1">
        <f>IFERROR(__xludf.DUMMYFUNCTION("""COMPUTED_VALUE"""),3020.0)</f>
        <v>3020</v>
      </c>
      <c r="E138" s="1">
        <f>IFERROR(__xludf.DUMMYFUNCTION("""COMPUTED_VALUE"""),3045.0)</f>
        <v>3045</v>
      </c>
      <c r="F138" s="1">
        <f>IFERROR(__xludf.DUMMYFUNCTION("""COMPUTED_VALUE"""),13910.0)</f>
        <v>13910</v>
      </c>
    </row>
    <row r="139">
      <c r="A139" s="2">
        <f>IFERROR(__xludf.DUMMYFUNCTION("""COMPUTED_VALUE"""),41110.645833333336)</f>
        <v>41110.64583</v>
      </c>
      <c r="B139" s="1">
        <f>IFERROR(__xludf.DUMMYFUNCTION("""COMPUTED_VALUE"""),3045.0)</f>
        <v>3045</v>
      </c>
      <c r="C139" s="1">
        <f>IFERROR(__xludf.DUMMYFUNCTION("""COMPUTED_VALUE"""),3050.0)</f>
        <v>3050</v>
      </c>
      <c r="D139" s="1">
        <f>IFERROR(__xludf.DUMMYFUNCTION("""COMPUTED_VALUE"""),3020.0)</f>
        <v>3020</v>
      </c>
      <c r="E139" s="1">
        <f>IFERROR(__xludf.DUMMYFUNCTION("""COMPUTED_VALUE"""),3020.0)</f>
        <v>3020</v>
      </c>
      <c r="F139" s="1">
        <f>IFERROR(__xludf.DUMMYFUNCTION("""COMPUTED_VALUE"""),15198.0)</f>
        <v>15198</v>
      </c>
    </row>
    <row r="140">
      <c r="A140" s="2">
        <f>IFERROR(__xludf.DUMMYFUNCTION("""COMPUTED_VALUE"""),41113.645833333336)</f>
        <v>41113.64583</v>
      </c>
      <c r="B140" s="1">
        <f>IFERROR(__xludf.DUMMYFUNCTION("""COMPUTED_VALUE"""),3030.0)</f>
        <v>3030</v>
      </c>
      <c r="C140" s="1">
        <f>IFERROR(__xludf.DUMMYFUNCTION("""COMPUTED_VALUE"""),3040.0)</f>
        <v>3040</v>
      </c>
      <c r="D140" s="1">
        <f>IFERROR(__xludf.DUMMYFUNCTION("""COMPUTED_VALUE"""),3005.0)</f>
        <v>3005</v>
      </c>
      <c r="E140" s="1">
        <f>IFERROR(__xludf.DUMMYFUNCTION("""COMPUTED_VALUE"""),3020.0)</f>
        <v>3020</v>
      </c>
      <c r="F140" s="1">
        <f>IFERROR(__xludf.DUMMYFUNCTION("""COMPUTED_VALUE"""),18541.0)</f>
        <v>18541</v>
      </c>
    </row>
    <row r="141">
      <c r="A141" s="2">
        <f>IFERROR(__xludf.DUMMYFUNCTION("""COMPUTED_VALUE"""),41114.645833333336)</f>
        <v>41114.64583</v>
      </c>
      <c r="B141" s="1">
        <f>IFERROR(__xludf.DUMMYFUNCTION("""COMPUTED_VALUE"""),3030.0)</f>
        <v>3030</v>
      </c>
      <c r="C141" s="1">
        <f>IFERROR(__xludf.DUMMYFUNCTION("""COMPUTED_VALUE"""),3035.0)</f>
        <v>3035</v>
      </c>
      <c r="D141" s="1">
        <f>IFERROR(__xludf.DUMMYFUNCTION("""COMPUTED_VALUE"""),3010.0)</f>
        <v>3010</v>
      </c>
      <c r="E141" s="1">
        <f>IFERROR(__xludf.DUMMYFUNCTION("""COMPUTED_VALUE"""),3025.0)</f>
        <v>3025</v>
      </c>
      <c r="F141" s="1">
        <f>IFERROR(__xludf.DUMMYFUNCTION("""COMPUTED_VALUE"""),6610.0)</f>
        <v>6610</v>
      </c>
    </row>
    <row r="142">
      <c r="A142" s="2">
        <f>IFERROR(__xludf.DUMMYFUNCTION("""COMPUTED_VALUE"""),41115.645833333336)</f>
        <v>41115.64583</v>
      </c>
      <c r="B142" s="1">
        <f>IFERROR(__xludf.DUMMYFUNCTION("""COMPUTED_VALUE"""),3035.0)</f>
        <v>3035</v>
      </c>
      <c r="C142" s="1">
        <f>IFERROR(__xludf.DUMMYFUNCTION("""COMPUTED_VALUE"""),3035.0)</f>
        <v>3035</v>
      </c>
      <c r="D142" s="1">
        <f>IFERROR(__xludf.DUMMYFUNCTION("""COMPUTED_VALUE"""),3000.0)</f>
        <v>3000</v>
      </c>
      <c r="E142" s="1">
        <f>IFERROR(__xludf.DUMMYFUNCTION("""COMPUTED_VALUE"""),3005.0)</f>
        <v>3005</v>
      </c>
      <c r="F142" s="1">
        <f>IFERROR(__xludf.DUMMYFUNCTION("""COMPUTED_VALUE"""),18064.0)</f>
        <v>18064</v>
      </c>
    </row>
    <row r="143">
      <c r="A143" s="2">
        <f>IFERROR(__xludf.DUMMYFUNCTION("""COMPUTED_VALUE"""),41116.645833333336)</f>
        <v>41116.64583</v>
      </c>
      <c r="B143" s="1">
        <f>IFERROR(__xludf.DUMMYFUNCTION("""COMPUTED_VALUE"""),3005.0)</f>
        <v>3005</v>
      </c>
      <c r="C143" s="1">
        <f>IFERROR(__xludf.DUMMYFUNCTION("""COMPUTED_VALUE"""),3095.0)</f>
        <v>3095</v>
      </c>
      <c r="D143" s="1">
        <f>IFERROR(__xludf.DUMMYFUNCTION("""COMPUTED_VALUE"""),2985.0)</f>
        <v>2985</v>
      </c>
      <c r="E143" s="1">
        <f>IFERROR(__xludf.DUMMYFUNCTION("""COMPUTED_VALUE"""),3035.0)</f>
        <v>3035</v>
      </c>
      <c r="F143" s="1">
        <f>IFERROR(__xludf.DUMMYFUNCTION("""COMPUTED_VALUE"""),24870.0)</f>
        <v>24870</v>
      </c>
    </row>
    <row r="144">
      <c r="A144" s="2">
        <f>IFERROR(__xludf.DUMMYFUNCTION("""COMPUTED_VALUE"""),41117.645833333336)</f>
        <v>41117.64583</v>
      </c>
      <c r="B144" s="1">
        <f>IFERROR(__xludf.DUMMYFUNCTION("""COMPUTED_VALUE"""),3035.0)</f>
        <v>3035</v>
      </c>
      <c r="C144" s="1">
        <f>IFERROR(__xludf.DUMMYFUNCTION("""COMPUTED_VALUE"""),3045.0)</f>
        <v>3045</v>
      </c>
      <c r="D144" s="1">
        <f>IFERROR(__xludf.DUMMYFUNCTION("""COMPUTED_VALUE"""),2980.0)</f>
        <v>2980</v>
      </c>
      <c r="E144" s="1">
        <f>IFERROR(__xludf.DUMMYFUNCTION("""COMPUTED_VALUE"""),3000.0)</f>
        <v>3000</v>
      </c>
      <c r="F144" s="1">
        <f>IFERROR(__xludf.DUMMYFUNCTION("""COMPUTED_VALUE"""),10190.0)</f>
        <v>10190</v>
      </c>
    </row>
    <row r="145">
      <c r="A145" s="2">
        <f>IFERROR(__xludf.DUMMYFUNCTION("""COMPUTED_VALUE"""),41120.645833333336)</f>
        <v>41120.64583</v>
      </c>
      <c r="B145" s="1">
        <f>IFERROR(__xludf.DUMMYFUNCTION("""COMPUTED_VALUE"""),3035.0)</f>
        <v>3035</v>
      </c>
      <c r="C145" s="1">
        <f>IFERROR(__xludf.DUMMYFUNCTION("""COMPUTED_VALUE"""),3035.0)</f>
        <v>3035</v>
      </c>
      <c r="D145" s="1">
        <f>IFERROR(__xludf.DUMMYFUNCTION("""COMPUTED_VALUE"""),2985.0)</f>
        <v>2985</v>
      </c>
      <c r="E145" s="1">
        <f>IFERROR(__xludf.DUMMYFUNCTION("""COMPUTED_VALUE"""),3010.0)</f>
        <v>3010</v>
      </c>
      <c r="F145" s="1">
        <f>IFERROR(__xludf.DUMMYFUNCTION("""COMPUTED_VALUE"""),2190.0)</f>
        <v>2190</v>
      </c>
    </row>
    <row r="146">
      <c r="A146" s="2">
        <f>IFERROR(__xludf.DUMMYFUNCTION("""COMPUTED_VALUE"""),41121.645833333336)</f>
        <v>41121.64583</v>
      </c>
      <c r="B146" s="1">
        <f>IFERROR(__xludf.DUMMYFUNCTION("""COMPUTED_VALUE"""),2980.0)</f>
        <v>2980</v>
      </c>
      <c r="C146" s="1">
        <f>IFERROR(__xludf.DUMMYFUNCTION("""COMPUTED_VALUE"""),3050.0)</f>
        <v>3050</v>
      </c>
      <c r="D146" s="1">
        <f>IFERROR(__xludf.DUMMYFUNCTION("""COMPUTED_VALUE"""),2980.0)</f>
        <v>2980</v>
      </c>
      <c r="E146" s="1">
        <f>IFERROR(__xludf.DUMMYFUNCTION("""COMPUTED_VALUE"""),3020.0)</f>
        <v>3020</v>
      </c>
      <c r="F146" s="1">
        <f>IFERROR(__xludf.DUMMYFUNCTION("""COMPUTED_VALUE"""),4296.0)</f>
        <v>4296</v>
      </c>
    </row>
    <row r="147">
      <c r="A147" s="2">
        <f>IFERROR(__xludf.DUMMYFUNCTION("""COMPUTED_VALUE"""),41122.645833333336)</f>
        <v>41122.64583</v>
      </c>
      <c r="B147" s="1">
        <f>IFERROR(__xludf.DUMMYFUNCTION("""COMPUTED_VALUE"""),3020.0)</f>
        <v>3020</v>
      </c>
      <c r="C147" s="1">
        <f>IFERROR(__xludf.DUMMYFUNCTION("""COMPUTED_VALUE"""),3030.0)</f>
        <v>3030</v>
      </c>
      <c r="D147" s="1">
        <f>IFERROR(__xludf.DUMMYFUNCTION("""COMPUTED_VALUE"""),2995.0)</f>
        <v>2995</v>
      </c>
      <c r="E147" s="1">
        <f>IFERROR(__xludf.DUMMYFUNCTION("""COMPUTED_VALUE"""),3030.0)</f>
        <v>3030</v>
      </c>
      <c r="F147" s="1">
        <f>IFERROR(__xludf.DUMMYFUNCTION("""COMPUTED_VALUE"""),1150.0)</f>
        <v>1150</v>
      </c>
    </row>
    <row r="148">
      <c r="A148" s="2">
        <f>IFERROR(__xludf.DUMMYFUNCTION("""COMPUTED_VALUE"""),41123.645833333336)</f>
        <v>41123.64583</v>
      </c>
      <c r="B148" s="1">
        <f>IFERROR(__xludf.DUMMYFUNCTION("""COMPUTED_VALUE"""),3040.0)</f>
        <v>3040</v>
      </c>
      <c r="C148" s="1">
        <f>IFERROR(__xludf.DUMMYFUNCTION("""COMPUTED_VALUE"""),3045.0)</f>
        <v>3045</v>
      </c>
      <c r="D148" s="1">
        <f>IFERROR(__xludf.DUMMYFUNCTION("""COMPUTED_VALUE"""),2965.0)</f>
        <v>2965</v>
      </c>
      <c r="E148" s="1">
        <f>IFERROR(__xludf.DUMMYFUNCTION("""COMPUTED_VALUE"""),3025.0)</f>
        <v>3025</v>
      </c>
      <c r="F148" s="1">
        <f>IFERROR(__xludf.DUMMYFUNCTION("""COMPUTED_VALUE"""),4500.0)</f>
        <v>4500</v>
      </c>
    </row>
    <row r="149">
      <c r="A149" s="2">
        <f>IFERROR(__xludf.DUMMYFUNCTION("""COMPUTED_VALUE"""),41124.645833333336)</f>
        <v>41124.64583</v>
      </c>
      <c r="B149" s="1">
        <f>IFERROR(__xludf.DUMMYFUNCTION("""COMPUTED_VALUE"""),3025.0)</f>
        <v>3025</v>
      </c>
      <c r="C149" s="1">
        <f>IFERROR(__xludf.DUMMYFUNCTION("""COMPUTED_VALUE"""),3025.0)</f>
        <v>3025</v>
      </c>
      <c r="D149" s="1">
        <f>IFERROR(__xludf.DUMMYFUNCTION("""COMPUTED_VALUE"""),2970.0)</f>
        <v>2970</v>
      </c>
      <c r="E149" s="1">
        <f>IFERROR(__xludf.DUMMYFUNCTION("""COMPUTED_VALUE"""),3010.0)</f>
        <v>3010</v>
      </c>
      <c r="F149" s="1">
        <f>IFERROR(__xludf.DUMMYFUNCTION("""COMPUTED_VALUE"""),1931.0)</f>
        <v>1931</v>
      </c>
    </row>
    <row r="150">
      <c r="A150" s="2">
        <f>IFERROR(__xludf.DUMMYFUNCTION("""COMPUTED_VALUE"""),41127.645833333336)</f>
        <v>41127.64583</v>
      </c>
      <c r="B150" s="1">
        <f>IFERROR(__xludf.DUMMYFUNCTION("""COMPUTED_VALUE"""),2990.0)</f>
        <v>2990</v>
      </c>
      <c r="C150" s="1">
        <f>IFERROR(__xludf.DUMMYFUNCTION("""COMPUTED_VALUE"""),3020.0)</f>
        <v>3020</v>
      </c>
      <c r="D150" s="1">
        <f>IFERROR(__xludf.DUMMYFUNCTION("""COMPUTED_VALUE"""),2980.0)</f>
        <v>2980</v>
      </c>
      <c r="E150" s="1">
        <f>IFERROR(__xludf.DUMMYFUNCTION("""COMPUTED_VALUE"""),3020.0)</f>
        <v>3020</v>
      </c>
      <c r="F150" s="1">
        <f>IFERROR(__xludf.DUMMYFUNCTION("""COMPUTED_VALUE"""),11230.0)</f>
        <v>11230</v>
      </c>
    </row>
    <row r="151">
      <c r="A151" s="2">
        <f>IFERROR(__xludf.DUMMYFUNCTION("""COMPUTED_VALUE"""),41128.645833333336)</f>
        <v>41128.64583</v>
      </c>
      <c r="B151" s="1">
        <f>IFERROR(__xludf.DUMMYFUNCTION("""COMPUTED_VALUE"""),3030.0)</f>
        <v>3030</v>
      </c>
      <c r="C151" s="1">
        <f>IFERROR(__xludf.DUMMYFUNCTION("""COMPUTED_VALUE"""),3035.0)</f>
        <v>3035</v>
      </c>
      <c r="D151" s="1">
        <f>IFERROR(__xludf.DUMMYFUNCTION("""COMPUTED_VALUE"""),3000.0)</f>
        <v>3000</v>
      </c>
      <c r="E151" s="1">
        <f>IFERROR(__xludf.DUMMYFUNCTION("""COMPUTED_VALUE"""),3035.0)</f>
        <v>3035</v>
      </c>
      <c r="F151" s="1">
        <f>IFERROR(__xludf.DUMMYFUNCTION("""COMPUTED_VALUE"""),3220.0)</f>
        <v>3220</v>
      </c>
    </row>
    <row r="152">
      <c r="A152" s="2">
        <f>IFERROR(__xludf.DUMMYFUNCTION("""COMPUTED_VALUE"""),41129.645833333336)</f>
        <v>41129.64583</v>
      </c>
      <c r="B152" s="1">
        <f>IFERROR(__xludf.DUMMYFUNCTION("""COMPUTED_VALUE"""),3050.0)</f>
        <v>3050</v>
      </c>
      <c r="C152" s="1">
        <f>IFERROR(__xludf.DUMMYFUNCTION("""COMPUTED_VALUE"""),3050.0)</f>
        <v>3050</v>
      </c>
      <c r="D152" s="1">
        <f>IFERROR(__xludf.DUMMYFUNCTION("""COMPUTED_VALUE"""),3010.0)</f>
        <v>3010</v>
      </c>
      <c r="E152" s="1">
        <f>IFERROR(__xludf.DUMMYFUNCTION("""COMPUTED_VALUE"""),3040.0)</f>
        <v>3040</v>
      </c>
      <c r="F152" s="1">
        <f>IFERROR(__xludf.DUMMYFUNCTION("""COMPUTED_VALUE"""),3053.0)</f>
        <v>3053</v>
      </c>
    </row>
    <row r="153">
      <c r="A153" s="2">
        <f>IFERROR(__xludf.DUMMYFUNCTION("""COMPUTED_VALUE"""),41130.645833333336)</f>
        <v>41130.64583</v>
      </c>
      <c r="B153" s="1">
        <f>IFERROR(__xludf.DUMMYFUNCTION("""COMPUTED_VALUE"""),3050.0)</f>
        <v>3050</v>
      </c>
      <c r="C153" s="1">
        <f>IFERROR(__xludf.DUMMYFUNCTION("""COMPUTED_VALUE"""),3050.0)</f>
        <v>3050</v>
      </c>
      <c r="D153" s="1">
        <f>IFERROR(__xludf.DUMMYFUNCTION("""COMPUTED_VALUE"""),3020.0)</f>
        <v>3020</v>
      </c>
      <c r="E153" s="1">
        <f>IFERROR(__xludf.DUMMYFUNCTION("""COMPUTED_VALUE"""),3035.0)</f>
        <v>3035</v>
      </c>
      <c r="F153" s="1">
        <f>IFERROR(__xludf.DUMMYFUNCTION("""COMPUTED_VALUE"""),2881.0)</f>
        <v>2881</v>
      </c>
    </row>
    <row r="154">
      <c r="A154" s="2">
        <f>IFERROR(__xludf.DUMMYFUNCTION("""COMPUTED_VALUE"""),41131.645833333336)</f>
        <v>41131.64583</v>
      </c>
      <c r="B154" s="1">
        <f>IFERROR(__xludf.DUMMYFUNCTION("""COMPUTED_VALUE"""),3050.0)</f>
        <v>3050</v>
      </c>
      <c r="C154" s="1">
        <f>IFERROR(__xludf.DUMMYFUNCTION("""COMPUTED_VALUE"""),3050.0)</f>
        <v>3050</v>
      </c>
      <c r="D154" s="1">
        <f>IFERROR(__xludf.DUMMYFUNCTION("""COMPUTED_VALUE"""),3020.0)</f>
        <v>3020</v>
      </c>
      <c r="E154" s="1">
        <f>IFERROR(__xludf.DUMMYFUNCTION("""COMPUTED_VALUE"""),3045.0)</f>
        <v>3045</v>
      </c>
      <c r="F154" s="1">
        <f>IFERROR(__xludf.DUMMYFUNCTION("""COMPUTED_VALUE"""),4232.0)</f>
        <v>4232</v>
      </c>
    </row>
    <row r="155">
      <c r="A155" s="2">
        <f>IFERROR(__xludf.DUMMYFUNCTION("""COMPUTED_VALUE"""),41134.645833333336)</f>
        <v>41134.64583</v>
      </c>
      <c r="B155" s="1">
        <f>IFERROR(__xludf.DUMMYFUNCTION("""COMPUTED_VALUE"""),3040.0)</f>
        <v>3040</v>
      </c>
      <c r="C155" s="1">
        <f>IFERROR(__xludf.DUMMYFUNCTION("""COMPUTED_VALUE"""),3045.0)</f>
        <v>3045</v>
      </c>
      <c r="D155" s="1">
        <f>IFERROR(__xludf.DUMMYFUNCTION("""COMPUTED_VALUE"""),3030.0)</f>
        <v>3030</v>
      </c>
      <c r="E155" s="1">
        <f>IFERROR(__xludf.DUMMYFUNCTION("""COMPUTED_VALUE"""),3030.0)</f>
        <v>3030</v>
      </c>
      <c r="F155" s="1">
        <f>IFERROR(__xludf.DUMMYFUNCTION("""COMPUTED_VALUE"""),6310.0)</f>
        <v>6310</v>
      </c>
    </row>
    <row r="156">
      <c r="A156" s="2">
        <f>IFERROR(__xludf.DUMMYFUNCTION("""COMPUTED_VALUE"""),41135.645833333336)</f>
        <v>41135.64583</v>
      </c>
      <c r="B156" s="1">
        <f>IFERROR(__xludf.DUMMYFUNCTION("""COMPUTED_VALUE"""),3020.0)</f>
        <v>3020</v>
      </c>
      <c r="C156" s="1">
        <f>IFERROR(__xludf.DUMMYFUNCTION("""COMPUTED_VALUE"""),3170.0)</f>
        <v>3170</v>
      </c>
      <c r="D156" s="1">
        <f>IFERROR(__xludf.DUMMYFUNCTION("""COMPUTED_VALUE"""),3020.0)</f>
        <v>3020</v>
      </c>
      <c r="E156" s="1">
        <f>IFERROR(__xludf.DUMMYFUNCTION("""COMPUTED_VALUE"""),3090.0)</f>
        <v>3090</v>
      </c>
      <c r="F156" s="1">
        <f>IFERROR(__xludf.DUMMYFUNCTION("""COMPUTED_VALUE"""),24881.0)</f>
        <v>24881</v>
      </c>
    </row>
    <row r="157">
      <c r="A157" s="2">
        <f>IFERROR(__xludf.DUMMYFUNCTION("""COMPUTED_VALUE"""),41137.645833333336)</f>
        <v>41137.64583</v>
      </c>
      <c r="B157" s="1">
        <f>IFERROR(__xludf.DUMMYFUNCTION("""COMPUTED_VALUE"""),3115.0)</f>
        <v>3115</v>
      </c>
      <c r="C157" s="1">
        <f>IFERROR(__xludf.DUMMYFUNCTION("""COMPUTED_VALUE"""),3255.0)</f>
        <v>3255</v>
      </c>
      <c r="D157" s="1">
        <f>IFERROR(__xludf.DUMMYFUNCTION("""COMPUTED_VALUE"""),3115.0)</f>
        <v>3115</v>
      </c>
      <c r="E157" s="1">
        <f>IFERROR(__xludf.DUMMYFUNCTION("""COMPUTED_VALUE"""),3185.0)</f>
        <v>3185</v>
      </c>
      <c r="F157" s="1">
        <f>IFERROR(__xludf.DUMMYFUNCTION("""COMPUTED_VALUE"""),95380.0)</f>
        <v>95380</v>
      </c>
    </row>
    <row r="158">
      <c r="A158" s="2">
        <f>IFERROR(__xludf.DUMMYFUNCTION("""COMPUTED_VALUE"""),41138.645833333336)</f>
        <v>41138.64583</v>
      </c>
      <c r="B158" s="1">
        <f>IFERROR(__xludf.DUMMYFUNCTION("""COMPUTED_VALUE"""),3160.0)</f>
        <v>3160</v>
      </c>
      <c r="C158" s="1">
        <f>IFERROR(__xludf.DUMMYFUNCTION("""COMPUTED_VALUE"""),3200.0)</f>
        <v>3200</v>
      </c>
      <c r="D158" s="1">
        <f>IFERROR(__xludf.DUMMYFUNCTION("""COMPUTED_VALUE"""),3130.0)</f>
        <v>3130</v>
      </c>
      <c r="E158" s="1">
        <f>IFERROR(__xludf.DUMMYFUNCTION("""COMPUTED_VALUE"""),3200.0)</f>
        <v>3200</v>
      </c>
      <c r="F158" s="1">
        <f>IFERROR(__xludf.DUMMYFUNCTION("""COMPUTED_VALUE"""),33810.0)</f>
        <v>33810</v>
      </c>
    </row>
    <row r="159">
      <c r="A159" s="2">
        <f>IFERROR(__xludf.DUMMYFUNCTION("""COMPUTED_VALUE"""),41141.645833333336)</f>
        <v>41141.64583</v>
      </c>
      <c r="B159" s="1">
        <f>IFERROR(__xludf.DUMMYFUNCTION("""COMPUTED_VALUE"""),3260.0)</f>
        <v>3260</v>
      </c>
      <c r="C159" s="1">
        <f>IFERROR(__xludf.DUMMYFUNCTION("""COMPUTED_VALUE"""),3265.0)</f>
        <v>3265</v>
      </c>
      <c r="D159" s="1">
        <f>IFERROR(__xludf.DUMMYFUNCTION("""COMPUTED_VALUE"""),3165.0)</f>
        <v>3165</v>
      </c>
      <c r="E159" s="1">
        <f>IFERROR(__xludf.DUMMYFUNCTION("""COMPUTED_VALUE"""),3210.0)</f>
        <v>3210</v>
      </c>
      <c r="F159" s="1">
        <f>IFERROR(__xludf.DUMMYFUNCTION("""COMPUTED_VALUE"""),35220.0)</f>
        <v>35220</v>
      </c>
    </row>
    <row r="160">
      <c r="A160" s="2">
        <f>IFERROR(__xludf.DUMMYFUNCTION("""COMPUTED_VALUE"""),41142.645833333336)</f>
        <v>41142.64583</v>
      </c>
      <c r="B160" s="1">
        <f>IFERROR(__xludf.DUMMYFUNCTION("""COMPUTED_VALUE"""),3200.0)</f>
        <v>3200</v>
      </c>
      <c r="C160" s="1">
        <f>IFERROR(__xludf.DUMMYFUNCTION("""COMPUTED_VALUE"""),3220.0)</f>
        <v>3220</v>
      </c>
      <c r="D160" s="1">
        <f>IFERROR(__xludf.DUMMYFUNCTION("""COMPUTED_VALUE"""),3170.0)</f>
        <v>3170</v>
      </c>
      <c r="E160" s="1">
        <f>IFERROR(__xludf.DUMMYFUNCTION("""COMPUTED_VALUE"""),3200.0)</f>
        <v>3200</v>
      </c>
      <c r="F160" s="1">
        <f>IFERROR(__xludf.DUMMYFUNCTION("""COMPUTED_VALUE"""),13730.0)</f>
        <v>13730</v>
      </c>
    </row>
    <row r="161">
      <c r="A161" s="2">
        <f>IFERROR(__xludf.DUMMYFUNCTION("""COMPUTED_VALUE"""),41143.645833333336)</f>
        <v>41143.64583</v>
      </c>
      <c r="B161" s="1">
        <f>IFERROR(__xludf.DUMMYFUNCTION("""COMPUTED_VALUE"""),3200.0)</f>
        <v>3200</v>
      </c>
      <c r="C161" s="1">
        <f>IFERROR(__xludf.DUMMYFUNCTION("""COMPUTED_VALUE"""),3200.0)</f>
        <v>3200</v>
      </c>
      <c r="D161" s="1">
        <f>IFERROR(__xludf.DUMMYFUNCTION("""COMPUTED_VALUE"""),3145.0)</f>
        <v>3145</v>
      </c>
      <c r="E161" s="1">
        <f>IFERROR(__xludf.DUMMYFUNCTION("""COMPUTED_VALUE"""),3175.0)</f>
        <v>3175</v>
      </c>
      <c r="F161" s="1">
        <f>IFERROR(__xludf.DUMMYFUNCTION("""COMPUTED_VALUE"""),13940.0)</f>
        <v>13940</v>
      </c>
    </row>
    <row r="162">
      <c r="A162" s="2">
        <f>IFERROR(__xludf.DUMMYFUNCTION("""COMPUTED_VALUE"""),41144.645833333336)</f>
        <v>41144.64583</v>
      </c>
      <c r="B162" s="1">
        <f>IFERROR(__xludf.DUMMYFUNCTION("""COMPUTED_VALUE"""),3195.0)</f>
        <v>3195</v>
      </c>
      <c r="C162" s="1">
        <f>IFERROR(__xludf.DUMMYFUNCTION("""COMPUTED_VALUE"""),3215.0)</f>
        <v>3215</v>
      </c>
      <c r="D162" s="1">
        <f>IFERROR(__xludf.DUMMYFUNCTION("""COMPUTED_VALUE"""),3180.0)</f>
        <v>3180</v>
      </c>
      <c r="E162" s="1">
        <f>IFERROR(__xludf.DUMMYFUNCTION("""COMPUTED_VALUE"""),3200.0)</f>
        <v>3200</v>
      </c>
      <c r="F162" s="1">
        <f>IFERROR(__xludf.DUMMYFUNCTION("""COMPUTED_VALUE"""),9870.0)</f>
        <v>9870</v>
      </c>
    </row>
    <row r="163">
      <c r="A163" s="2">
        <f>IFERROR(__xludf.DUMMYFUNCTION("""COMPUTED_VALUE"""),41145.645833333336)</f>
        <v>41145.64583</v>
      </c>
      <c r="B163" s="1">
        <f>IFERROR(__xludf.DUMMYFUNCTION("""COMPUTED_VALUE"""),3200.0)</f>
        <v>3200</v>
      </c>
      <c r="C163" s="1">
        <f>IFERROR(__xludf.DUMMYFUNCTION("""COMPUTED_VALUE"""),3200.0)</f>
        <v>3200</v>
      </c>
      <c r="D163" s="1">
        <f>IFERROR(__xludf.DUMMYFUNCTION("""COMPUTED_VALUE"""),3150.0)</f>
        <v>3150</v>
      </c>
      <c r="E163" s="1">
        <f>IFERROR(__xludf.DUMMYFUNCTION("""COMPUTED_VALUE"""),3190.0)</f>
        <v>3190</v>
      </c>
      <c r="F163" s="1">
        <f>IFERROR(__xludf.DUMMYFUNCTION("""COMPUTED_VALUE"""),13713.0)</f>
        <v>13713</v>
      </c>
    </row>
    <row r="164">
      <c r="A164" s="2">
        <f>IFERROR(__xludf.DUMMYFUNCTION("""COMPUTED_VALUE"""),41148.645833333336)</f>
        <v>41148.64583</v>
      </c>
      <c r="B164" s="1">
        <f>IFERROR(__xludf.DUMMYFUNCTION("""COMPUTED_VALUE"""),3200.0)</f>
        <v>3200</v>
      </c>
      <c r="C164" s="1">
        <f>IFERROR(__xludf.DUMMYFUNCTION("""COMPUTED_VALUE"""),3290.0)</f>
        <v>3290</v>
      </c>
      <c r="D164" s="1">
        <f>IFERROR(__xludf.DUMMYFUNCTION("""COMPUTED_VALUE"""),3160.0)</f>
        <v>3160</v>
      </c>
      <c r="E164" s="1">
        <f>IFERROR(__xludf.DUMMYFUNCTION("""COMPUTED_VALUE"""),3270.0)</f>
        <v>3270</v>
      </c>
      <c r="F164" s="1">
        <f>IFERROR(__xludf.DUMMYFUNCTION("""COMPUTED_VALUE"""),58147.0)</f>
        <v>58147</v>
      </c>
    </row>
    <row r="165">
      <c r="A165" s="2">
        <f>IFERROR(__xludf.DUMMYFUNCTION("""COMPUTED_VALUE"""),41149.645833333336)</f>
        <v>41149.64583</v>
      </c>
      <c r="B165" s="1">
        <f>IFERROR(__xludf.DUMMYFUNCTION("""COMPUTED_VALUE"""),3290.0)</f>
        <v>3290</v>
      </c>
      <c r="C165" s="1">
        <f>IFERROR(__xludf.DUMMYFUNCTION("""COMPUTED_VALUE"""),3330.0)</f>
        <v>3330</v>
      </c>
      <c r="D165" s="1">
        <f>IFERROR(__xludf.DUMMYFUNCTION("""COMPUTED_VALUE"""),3210.0)</f>
        <v>3210</v>
      </c>
      <c r="E165" s="1">
        <f>IFERROR(__xludf.DUMMYFUNCTION("""COMPUTED_VALUE"""),3245.0)</f>
        <v>3245</v>
      </c>
      <c r="F165" s="1">
        <f>IFERROR(__xludf.DUMMYFUNCTION("""COMPUTED_VALUE"""),43810.0)</f>
        <v>43810</v>
      </c>
    </row>
    <row r="166">
      <c r="A166" s="2">
        <f>IFERROR(__xludf.DUMMYFUNCTION("""COMPUTED_VALUE"""),41150.645833333336)</f>
        <v>41150.64583</v>
      </c>
      <c r="B166" s="1">
        <f>IFERROR(__xludf.DUMMYFUNCTION("""COMPUTED_VALUE"""),3200.0)</f>
        <v>3200</v>
      </c>
      <c r="C166" s="1">
        <f>IFERROR(__xludf.DUMMYFUNCTION("""COMPUTED_VALUE"""),3270.0)</f>
        <v>3270</v>
      </c>
      <c r="D166" s="1">
        <f>IFERROR(__xludf.DUMMYFUNCTION("""COMPUTED_VALUE"""),3195.0)</f>
        <v>3195</v>
      </c>
      <c r="E166" s="1">
        <f>IFERROR(__xludf.DUMMYFUNCTION("""COMPUTED_VALUE"""),3205.0)</f>
        <v>3205</v>
      </c>
      <c r="F166" s="1">
        <f>IFERROR(__xludf.DUMMYFUNCTION("""COMPUTED_VALUE"""),22660.0)</f>
        <v>22660</v>
      </c>
    </row>
    <row r="167">
      <c r="A167" s="2">
        <f>IFERROR(__xludf.DUMMYFUNCTION("""COMPUTED_VALUE"""),41151.645833333336)</f>
        <v>41151.64583</v>
      </c>
      <c r="B167" s="1">
        <f>IFERROR(__xludf.DUMMYFUNCTION("""COMPUTED_VALUE"""),3265.0)</f>
        <v>3265</v>
      </c>
      <c r="C167" s="1">
        <f>IFERROR(__xludf.DUMMYFUNCTION("""COMPUTED_VALUE"""),3300.0)</f>
        <v>3300</v>
      </c>
      <c r="D167" s="1">
        <f>IFERROR(__xludf.DUMMYFUNCTION("""COMPUTED_VALUE"""),3255.0)</f>
        <v>3255</v>
      </c>
      <c r="E167" s="1">
        <f>IFERROR(__xludf.DUMMYFUNCTION("""COMPUTED_VALUE"""),3280.0)</f>
        <v>3280</v>
      </c>
      <c r="F167" s="1">
        <f>IFERROR(__xludf.DUMMYFUNCTION("""COMPUTED_VALUE"""),61811.0)</f>
        <v>61811</v>
      </c>
    </row>
    <row r="168">
      <c r="A168" s="2">
        <f>IFERROR(__xludf.DUMMYFUNCTION("""COMPUTED_VALUE"""),41152.645833333336)</f>
        <v>41152.64583</v>
      </c>
      <c r="B168" s="1">
        <f>IFERROR(__xludf.DUMMYFUNCTION("""COMPUTED_VALUE"""),3300.0)</f>
        <v>3300</v>
      </c>
      <c r="C168" s="1">
        <f>IFERROR(__xludf.DUMMYFUNCTION("""COMPUTED_VALUE"""),3300.0)</f>
        <v>3300</v>
      </c>
      <c r="D168" s="1">
        <f>IFERROR(__xludf.DUMMYFUNCTION("""COMPUTED_VALUE"""),3255.0)</f>
        <v>3255</v>
      </c>
      <c r="E168" s="1">
        <f>IFERROR(__xludf.DUMMYFUNCTION("""COMPUTED_VALUE"""),3265.0)</f>
        <v>3265</v>
      </c>
      <c r="F168" s="1">
        <f>IFERROR(__xludf.DUMMYFUNCTION("""COMPUTED_VALUE"""),17930.0)</f>
        <v>17930</v>
      </c>
    </row>
    <row r="169">
      <c r="A169" s="2">
        <f>IFERROR(__xludf.DUMMYFUNCTION("""COMPUTED_VALUE"""),41155.645833333336)</f>
        <v>41155.64583</v>
      </c>
      <c r="B169" s="1">
        <f>IFERROR(__xludf.DUMMYFUNCTION("""COMPUTED_VALUE"""),3280.0)</f>
        <v>3280</v>
      </c>
      <c r="C169" s="1">
        <f>IFERROR(__xludf.DUMMYFUNCTION("""COMPUTED_VALUE"""),3300.0)</f>
        <v>3300</v>
      </c>
      <c r="D169" s="1">
        <f>IFERROR(__xludf.DUMMYFUNCTION("""COMPUTED_VALUE"""),3215.0)</f>
        <v>3215</v>
      </c>
      <c r="E169" s="1">
        <f>IFERROR(__xludf.DUMMYFUNCTION("""COMPUTED_VALUE"""),3235.0)</f>
        <v>3235</v>
      </c>
      <c r="F169" s="1">
        <f>IFERROR(__xludf.DUMMYFUNCTION("""COMPUTED_VALUE"""),20502.0)</f>
        <v>20502</v>
      </c>
    </row>
    <row r="170">
      <c r="A170" s="2">
        <f>IFERROR(__xludf.DUMMYFUNCTION("""COMPUTED_VALUE"""),41156.645833333336)</f>
        <v>41156.64583</v>
      </c>
      <c r="B170" s="1">
        <f>IFERROR(__xludf.DUMMYFUNCTION("""COMPUTED_VALUE"""),3265.0)</f>
        <v>3265</v>
      </c>
      <c r="C170" s="1">
        <f>IFERROR(__xludf.DUMMYFUNCTION("""COMPUTED_VALUE"""),3265.0)</f>
        <v>3265</v>
      </c>
      <c r="D170" s="1">
        <f>IFERROR(__xludf.DUMMYFUNCTION("""COMPUTED_VALUE"""),3135.0)</f>
        <v>3135</v>
      </c>
      <c r="E170" s="1">
        <f>IFERROR(__xludf.DUMMYFUNCTION("""COMPUTED_VALUE"""),3135.0)</f>
        <v>3135</v>
      </c>
      <c r="F170" s="1">
        <f>IFERROR(__xludf.DUMMYFUNCTION("""COMPUTED_VALUE"""),39550.0)</f>
        <v>39550</v>
      </c>
    </row>
    <row r="171">
      <c r="A171" s="2">
        <f>IFERROR(__xludf.DUMMYFUNCTION("""COMPUTED_VALUE"""),41157.645833333336)</f>
        <v>41157.64583</v>
      </c>
      <c r="B171" s="1">
        <f>IFERROR(__xludf.DUMMYFUNCTION("""COMPUTED_VALUE"""),3120.0)</f>
        <v>3120</v>
      </c>
      <c r="C171" s="1">
        <f>IFERROR(__xludf.DUMMYFUNCTION("""COMPUTED_VALUE"""),3210.0)</f>
        <v>3210</v>
      </c>
      <c r="D171" s="1">
        <f>IFERROR(__xludf.DUMMYFUNCTION("""COMPUTED_VALUE"""),3120.0)</f>
        <v>3120</v>
      </c>
      <c r="E171" s="1">
        <f>IFERROR(__xludf.DUMMYFUNCTION("""COMPUTED_VALUE"""),3180.0)</f>
        <v>3180</v>
      </c>
      <c r="F171" s="1">
        <f>IFERROR(__xludf.DUMMYFUNCTION("""COMPUTED_VALUE"""),48388.0)</f>
        <v>48388</v>
      </c>
    </row>
    <row r="172">
      <c r="A172" s="2">
        <f>IFERROR(__xludf.DUMMYFUNCTION("""COMPUTED_VALUE"""),41158.645833333336)</f>
        <v>41158.64583</v>
      </c>
      <c r="B172" s="1">
        <f>IFERROR(__xludf.DUMMYFUNCTION("""COMPUTED_VALUE"""),3235.0)</f>
        <v>3235</v>
      </c>
      <c r="C172" s="1">
        <f>IFERROR(__xludf.DUMMYFUNCTION("""COMPUTED_VALUE"""),3250.0)</f>
        <v>3250</v>
      </c>
      <c r="D172" s="1">
        <f>IFERROR(__xludf.DUMMYFUNCTION("""COMPUTED_VALUE"""),3150.0)</f>
        <v>3150</v>
      </c>
      <c r="E172" s="1">
        <f>IFERROR(__xludf.DUMMYFUNCTION("""COMPUTED_VALUE"""),3190.0)</f>
        <v>3190</v>
      </c>
      <c r="F172" s="1">
        <f>IFERROR(__xludf.DUMMYFUNCTION("""COMPUTED_VALUE"""),40681.0)</f>
        <v>40681</v>
      </c>
    </row>
    <row r="173">
      <c r="A173" s="2">
        <f>IFERROR(__xludf.DUMMYFUNCTION("""COMPUTED_VALUE"""),41159.645833333336)</f>
        <v>41159.64583</v>
      </c>
      <c r="B173" s="1">
        <f>IFERROR(__xludf.DUMMYFUNCTION("""COMPUTED_VALUE"""),3165.0)</f>
        <v>3165</v>
      </c>
      <c r="C173" s="1">
        <f>IFERROR(__xludf.DUMMYFUNCTION("""COMPUTED_VALUE"""),3225.0)</f>
        <v>3225</v>
      </c>
      <c r="D173" s="1">
        <f>IFERROR(__xludf.DUMMYFUNCTION("""COMPUTED_VALUE"""),3165.0)</f>
        <v>3165</v>
      </c>
      <c r="E173" s="1">
        <f>IFERROR(__xludf.DUMMYFUNCTION("""COMPUTED_VALUE"""),3215.0)</f>
        <v>3215</v>
      </c>
      <c r="F173" s="1">
        <f>IFERROR(__xludf.DUMMYFUNCTION("""COMPUTED_VALUE"""),15480.0)</f>
        <v>15480</v>
      </c>
    </row>
    <row r="174">
      <c r="A174" s="2">
        <f>IFERROR(__xludf.DUMMYFUNCTION("""COMPUTED_VALUE"""),41162.645833333336)</f>
        <v>41162.64583</v>
      </c>
      <c r="B174" s="1">
        <f>IFERROR(__xludf.DUMMYFUNCTION("""COMPUTED_VALUE"""),3215.0)</f>
        <v>3215</v>
      </c>
      <c r="C174" s="1">
        <f>IFERROR(__xludf.DUMMYFUNCTION("""COMPUTED_VALUE"""),3220.0)</f>
        <v>3220</v>
      </c>
      <c r="D174" s="1">
        <f>IFERROR(__xludf.DUMMYFUNCTION("""COMPUTED_VALUE"""),3100.0)</f>
        <v>3100</v>
      </c>
      <c r="E174" s="1">
        <f>IFERROR(__xludf.DUMMYFUNCTION("""COMPUTED_VALUE"""),3170.0)</f>
        <v>3170</v>
      </c>
      <c r="F174" s="1">
        <f>IFERROR(__xludf.DUMMYFUNCTION("""COMPUTED_VALUE"""),18550.0)</f>
        <v>18550</v>
      </c>
    </row>
    <row r="175">
      <c r="A175" s="2">
        <f>IFERROR(__xludf.DUMMYFUNCTION("""COMPUTED_VALUE"""),41163.645833333336)</f>
        <v>41163.64583</v>
      </c>
      <c r="B175" s="1">
        <f>IFERROR(__xludf.DUMMYFUNCTION("""COMPUTED_VALUE"""),3230.0)</f>
        <v>3230</v>
      </c>
      <c r="C175" s="1">
        <f>IFERROR(__xludf.DUMMYFUNCTION("""COMPUTED_VALUE"""),3230.0)</f>
        <v>3230</v>
      </c>
      <c r="D175" s="1">
        <f>IFERROR(__xludf.DUMMYFUNCTION("""COMPUTED_VALUE"""),3150.0)</f>
        <v>3150</v>
      </c>
      <c r="E175" s="1">
        <f>IFERROR(__xludf.DUMMYFUNCTION("""COMPUTED_VALUE"""),3190.0)</f>
        <v>3190</v>
      </c>
      <c r="F175" s="1">
        <f>IFERROR(__xludf.DUMMYFUNCTION("""COMPUTED_VALUE"""),27199.0)</f>
        <v>27199</v>
      </c>
    </row>
    <row r="176">
      <c r="A176" s="2">
        <f>IFERROR(__xludf.DUMMYFUNCTION("""COMPUTED_VALUE"""),41164.645833333336)</f>
        <v>41164.64583</v>
      </c>
      <c r="B176" s="1">
        <f>IFERROR(__xludf.DUMMYFUNCTION("""COMPUTED_VALUE"""),3190.0)</f>
        <v>3190</v>
      </c>
      <c r="C176" s="1">
        <f>IFERROR(__xludf.DUMMYFUNCTION("""COMPUTED_VALUE"""),3240.0)</f>
        <v>3240</v>
      </c>
      <c r="D176" s="1">
        <f>IFERROR(__xludf.DUMMYFUNCTION("""COMPUTED_VALUE"""),3155.0)</f>
        <v>3155</v>
      </c>
      <c r="E176" s="1">
        <f>IFERROR(__xludf.DUMMYFUNCTION("""COMPUTED_VALUE"""),3200.0)</f>
        <v>3200</v>
      </c>
      <c r="F176" s="1">
        <f>IFERROR(__xludf.DUMMYFUNCTION("""COMPUTED_VALUE"""),9632.0)</f>
        <v>9632</v>
      </c>
    </row>
    <row r="177">
      <c r="A177" s="2">
        <f>IFERROR(__xludf.DUMMYFUNCTION("""COMPUTED_VALUE"""),41165.645833333336)</f>
        <v>41165.64583</v>
      </c>
      <c r="B177" s="1">
        <f>IFERROR(__xludf.DUMMYFUNCTION("""COMPUTED_VALUE"""),3200.0)</f>
        <v>3200</v>
      </c>
      <c r="C177" s="1">
        <f>IFERROR(__xludf.DUMMYFUNCTION("""COMPUTED_VALUE"""),3200.0)</f>
        <v>3200</v>
      </c>
      <c r="D177" s="1">
        <f>IFERROR(__xludf.DUMMYFUNCTION("""COMPUTED_VALUE"""),3160.0)</f>
        <v>3160</v>
      </c>
      <c r="E177" s="1">
        <f>IFERROR(__xludf.DUMMYFUNCTION("""COMPUTED_VALUE"""),3195.0)</f>
        <v>3195</v>
      </c>
      <c r="F177" s="1">
        <f>IFERROR(__xludf.DUMMYFUNCTION("""COMPUTED_VALUE"""),2130.0)</f>
        <v>2130</v>
      </c>
    </row>
    <row r="178">
      <c r="A178" s="2">
        <f>IFERROR(__xludf.DUMMYFUNCTION("""COMPUTED_VALUE"""),41166.645833333336)</f>
        <v>41166.64583</v>
      </c>
      <c r="B178" s="1">
        <f>IFERROR(__xludf.DUMMYFUNCTION("""COMPUTED_VALUE"""),3175.0)</f>
        <v>3175</v>
      </c>
      <c r="C178" s="1">
        <f>IFERROR(__xludf.DUMMYFUNCTION("""COMPUTED_VALUE"""),3270.0)</f>
        <v>3270</v>
      </c>
      <c r="D178" s="1">
        <f>IFERROR(__xludf.DUMMYFUNCTION("""COMPUTED_VALUE"""),3125.0)</f>
        <v>3125</v>
      </c>
      <c r="E178" s="1">
        <f>IFERROR(__xludf.DUMMYFUNCTION("""COMPUTED_VALUE"""),3255.0)</f>
        <v>3255</v>
      </c>
      <c r="F178" s="1">
        <f>IFERROR(__xludf.DUMMYFUNCTION("""COMPUTED_VALUE"""),37631.0)</f>
        <v>37631</v>
      </c>
    </row>
    <row r="179">
      <c r="A179" s="2">
        <f>IFERROR(__xludf.DUMMYFUNCTION("""COMPUTED_VALUE"""),41169.645833333336)</f>
        <v>41169.64583</v>
      </c>
      <c r="B179" s="1">
        <f>IFERROR(__xludf.DUMMYFUNCTION("""COMPUTED_VALUE"""),3265.0)</f>
        <v>3265</v>
      </c>
      <c r="C179" s="1">
        <f>IFERROR(__xludf.DUMMYFUNCTION("""COMPUTED_VALUE"""),3270.0)</f>
        <v>3270</v>
      </c>
      <c r="D179" s="1">
        <f>IFERROR(__xludf.DUMMYFUNCTION("""COMPUTED_VALUE"""),3220.0)</f>
        <v>3220</v>
      </c>
      <c r="E179" s="1">
        <f>IFERROR(__xludf.DUMMYFUNCTION("""COMPUTED_VALUE"""),3255.0)</f>
        <v>3255</v>
      </c>
      <c r="F179" s="1">
        <f>IFERROR(__xludf.DUMMYFUNCTION("""COMPUTED_VALUE"""),13711.0)</f>
        <v>13711</v>
      </c>
    </row>
    <row r="180">
      <c r="A180" s="2">
        <f>IFERROR(__xludf.DUMMYFUNCTION("""COMPUTED_VALUE"""),41170.645833333336)</f>
        <v>41170.64583</v>
      </c>
      <c r="B180" s="1">
        <f>IFERROR(__xludf.DUMMYFUNCTION("""COMPUTED_VALUE"""),3280.0)</f>
        <v>3280</v>
      </c>
      <c r="C180" s="1">
        <f>IFERROR(__xludf.DUMMYFUNCTION("""COMPUTED_VALUE"""),3280.0)</f>
        <v>3280</v>
      </c>
      <c r="D180" s="1">
        <f>IFERROR(__xludf.DUMMYFUNCTION("""COMPUTED_VALUE"""),3190.0)</f>
        <v>3190</v>
      </c>
      <c r="E180" s="1">
        <f>IFERROR(__xludf.DUMMYFUNCTION("""COMPUTED_VALUE"""),3225.0)</f>
        <v>3225</v>
      </c>
      <c r="F180" s="1">
        <f>IFERROR(__xludf.DUMMYFUNCTION("""COMPUTED_VALUE"""),9370.0)</f>
        <v>9370</v>
      </c>
    </row>
    <row r="181">
      <c r="A181" s="2">
        <f>IFERROR(__xludf.DUMMYFUNCTION("""COMPUTED_VALUE"""),41171.645833333336)</f>
        <v>41171.64583</v>
      </c>
      <c r="B181" s="1">
        <f>IFERROR(__xludf.DUMMYFUNCTION("""COMPUTED_VALUE"""),3150.0)</f>
        <v>3150</v>
      </c>
      <c r="C181" s="1">
        <f>IFERROR(__xludf.DUMMYFUNCTION("""COMPUTED_VALUE"""),3225.0)</f>
        <v>3225</v>
      </c>
      <c r="D181" s="1">
        <f>IFERROR(__xludf.DUMMYFUNCTION("""COMPUTED_VALUE"""),3150.0)</f>
        <v>3150</v>
      </c>
      <c r="E181" s="1">
        <f>IFERROR(__xludf.DUMMYFUNCTION("""COMPUTED_VALUE"""),3220.0)</f>
        <v>3220</v>
      </c>
      <c r="F181" s="1">
        <f>IFERROR(__xludf.DUMMYFUNCTION("""COMPUTED_VALUE"""),13933.0)</f>
        <v>13933</v>
      </c>
    </row>
    <row r="182">
      <c r="A182" s="2">
        <f>IFERROR(__xludf.DUMMYFUNCTION("""COMPUTED_VALUE"""),41172.645833333336)</f>
        <v>41172.64583</v>
      </c>
      <c r="B182" s="1">
        <f>IFERROR(__xludf.DUMMYFUNCTION("""COMPUTED_VALUE"""),3220.0)</f>
        <v>3220</v>
      </c>
      <c r="C182" s="1">
        <f>IFERROR(__xludf.DUMMYFUNCTION("""COMPUTED_VALUE"""),3220.0)</f>
        <v>3220</v>
      </c>
      <c r="D182" s="1">
        <f>IFERROR(__xludf.DUMMYFUNCTION("""COMPUTED_VALUE"""),3170.0)</f>
        <v>3170</v>
      </c>
      <c r="E182" s="1">
        <f>IFERROR(__xludf.DUMMYFUNCTION("""COMPUTED_VALUE"""),3190.0)</f>
        <v>3190</v>
      </c>
      <c r="F182" s="1">
        <f>IFERROR(__xludf.DUMMYFUNCTION("""COMPUTED_VALUE"""),10408.0)</f>
        <v>10408</v>
      </c>
    </row>
    <row r="183">
      <c r="A183" s="2">
        <f>IFERROR(__xludf.DUMMYFUNCTION("""COMPUTED_VALUE"""),41173.645833333336)</f>
        <v>41173.64583</v>
      </c>
      <c r="B183" s="1">
        <f>IFERROR(__xludf.DUMMYFUNCTION("""COMPUTED_VALUE"""),3195.0)</f>
        <v>3195</v>
      </c>
      <c r="C183" s="1">
        <f>IFERROR(__xludf.DUMMYFUNCTION("""COMPUTED_VALUE"""),3235.0)</f>
        <v>3235</v>
      </c>
      <c r="D183" s="1">
        <f>IFERROR(__xludf.DUMMYFUNCTION("""COMPUTED_VALUE"""),3160.0)</f>
        <v>3160</v>
      </c>
      <c r="E183" s="1">
        <f>IFERROR(__xludf.DUMMYFUNCTION("""COMPUTED_VALUE"""),3185.0)</f>
        <v>3185</v>
      </c>
      <c r="F183" s="1">
        <f>IFERROR(__xludf.DUMMYFUNCTION("""COMPUTED_VALUE"""),9700.0)</f>
        <v>9700</v>
      </c>
    </row>
    <row r="184">
      <c r="A184" s="2">
        <f>IFERROR(__xludf.DUMMYFUNCTION("""COMPUTED_VALUE"""),41176.645833333336)</f>
        <v>41176.64583</v>
      </c>
      <c r="B184" s="1">
        <f>IFERROR(__xludf.DUMMYFUNCTION("""COMPUTED_VALUE"""),3185.0)</f>
        <v>3185</v>
      </c>
      <c r="C184" s="1">
        <f>IFERROR(__xludf.DUMMYFUNCTION("""COMPUTED_VALUE"""),3190.0)</f>
        <v>3190</v>
      </c>
      <c r="D184" s="1">
        <f>IFERROR(__xludf.DUMMYFUNCTION("""COMPUTED_VALUE"""),3160.0)</f>
        <v>3160</v>
      </c>
      <c r="E184" s="1">
        <f>IFERROR(__xludf.DUMMYFUNCTION("""COMPUTED_VALUE"""),3180.0)</f>
        <v>3180</v>
      </c>
      <c r="F184" s="1">
        <f>IFERROR(__xludf.DUMMYFUNCTION("""COMPUTED_VALUE"""),16661.0)</f>
        <v>16661</v>
      </c>
    </row>
    <row r="185">
      <c r="A185" s="2">
        <f>IFERROR(__xludf.DUMMYFUNCTION("""COMPUTED_VALUE"""),41177.645833333336)</f>
        <v>41177.64583</v>
      </c>
      <c r="B185" s="1">
        <f>IFERROR(__xludf.DUMMYFUNCTION("""COMPUTED_VALUE"""),3190.0)</f>
        <v>3190</v>
      </c>
      <c r="C185" s="1">
        <f>IFERROR(__xludf.DUMMYFUNCTION("""COMPUTED_VALUE"""),3290.0)</f>
        <v>3290</v>
      </c>
      <c r="D185" s="1">
        <f>IFERROR(__xludf.DUMMYFUNCTION("""COMPUTED_VALUE"""),3190.0)</f>
        <v>3190</v>
      </c>
      <c r="E185" s="1">
        <f>IFERROR(__xludf.DUMMYFUNCTION("""COMPUTED_VALUE"""),3230.0)</f>
        <v>3230</v>
      </c>
      <c r="F185" s="1">
        <f>IFERROR(__xludf.DUMMYFUNCTION("""COMPUTED_VALUE"""),24979.0)</f>
        <v>24979</v>
      </c>
    </row>
    <row r="186">
      <c r="A186" s="2">
        <f>IFERROR(__xludf.DUMMYFUNCTION("""COMPUTED_VALUE"""),41178.645833333336)</f>
        <v>41178.64583</v>
      </c>
      <c r="B186" s="1">
        <f>IFERROR(__xludf.DUMMYFUNCTION("""COMPUTED_VALUE"""),3240.0)</f>
        <v>3240</v>
      </c>
      <c r="C186" s="1">
        <f>IFERROR(__xludf.DUMMYFUNCTION("""COMPUTED_VALUE"""),3240.0)</f>
        <v>3240</v>
      </c>
      <c r="D186" s="1">
        <f>IFERROR(__xludf.DUMMYFUNCTION("""COMPUTED_VALUE"""),3165.0)</f>
        <v>3165</v>
      </c>
      <c r="E186" s="1">
        <f>IFERROR(__xludf.DUMMYFUNCTION("""COMPUTED_VALUE"""),3165.0)</f>
        <v>3165</v>
      </c>
      <c r="F186" s="1">
        <f>IFERROR(__xludf.DUMMYFUNCTION("""COMPUTED_VALUE"""),10040.0)</f>
        <v>10040</v>
      </c>
    </row>
    <row r="187">
      <c r="A187" s="2">
        <f>IFERROR(__xludf.DUMMYFUNCTION("""COMPUTED_VALUE"""),41179.645833333336)</f>
        <v>41179.64583</v>
      </c>
      <c r="B187" s="1">
        <f>IFERROR(__xludf.DUMMYFUNCTION("""COMPUTED_VALUE"""),3185.0)</f>
        <v>3185</v>
      </c>
      <c r="C187" s="1">
        <f>IFERROR(__xludf.DUMMYFUNCTION("""COMPUTED_VALUE"""),3190.0)</f>
        <v>3190</v>
      </c>
      <c r="D187" s="1">
        <f>IFERROR(__xludf.DUMMYFUNCTION("""COMPUTED_VALUE"""),3145.0)</f>
        <v>3145</v>
      </c>
      <c r="E187" s="1">
        <f>IFERROR(__xludf.DUMMYFUNCTION("""COMPUTED_VALUE"""),3170.0)</f>
        <v>3170</v>
      </c>
      <c r="F187" s="1">
        <f>IFERROR(__xludf.DUMMYFUNCTION("""COMPUTED_VALUE"""),12303.0)</f>
        <v>12303</v>
      </c>
    </row>
    <row r="188">
      <c r="A188" s="2">
        <f>IFERROR(__xludf.DUMMYFUNCTION("""COMPUTED_VALUE"""),41180.645833333336)</f>
        <v>41180.64583</v>
      </c>
      <c r="B188" s="1">
        <f>IFERROR(__xludf.DUMMYFUNCTION("""COMPUTED_VALUE"""),3175.0)</f>
        <v>3175</v>
      </c>
      <c r="C188" s="1">
        <f>IFERROR(__xludf.DUMMYFUNCTION("""COMPUTED_VALUE"""),3230.0)</f>
        <v>3230</v>
      </c>
      <c r="D188" s="1">
        <f>IFERROR(__xludf.DUMMYFUNCTION("""COMPUTED_VALUE"""),3155.0)</f>
        <v>3155</v>
      </c>
      <c r="E188" s="1">
        <f>IFERROR(__xludf.DUMMYFUNCTION("""COMPUTED_VALUE"""),3225.0)</f>
        <v>3225</v>
      </c>
      <c r="F188" s="1">
        <f>IFERROR(__xludf.DUMMYFUNCTION("""COMPUTED_VALUE"""),6702.0)</f>
        <v>6702</v>
      </c>
    </row>
    <row r="189">
      <c r="A189" s="2">
        <f>IFERROR(__xludf.DUMMYFUNCTION("""COMPUTED_VALUE"""),41184.645833333336)</f>
        <v>41184.64583</v>
      </c>
      <c r="B189" s="1">
        <f>IFERROR(__xludf.DUMMYFUNCTION("""COMPUTED_VALUE"""),3225.0)</f>
        <v>3225</v>
      </c>
      <c r="C189" s="1">
        <f>IFERROR(__xludf.DUMMYFUNCTION("""COMPUTED_VALUE"""),3285.0)</f>
        <v>3285</v>
      </c>
      <c r="D189" s="1">
        <f>IFERROR(__xludf.DUMMYFUNCTION("""COMPUTED_VALUE"""),3200.0)</f>
        <v>3200</v>
      </c>
      <c r="E189" s="1">
        <f>IFERROR(__xludf.DUMMYFUNCTION("""COMPUTED_VALUE"""),3240.0)</f>
        <v>3240</v>
      </c>
      <c r="F189" s="1">
        <f>IFERROR(__xludf.DUMMYFUNCTION("""COMPUTED_VALUE"""),12444.0)</f>
        <v>12444</v>
      </c>
    </row>
    <row r="190">
      <c r="A190" s="2">
        <f>IFERROR(__xludf.DUMMYFUNCTION("""COMPUTED_VALUE"""),41186.645833333336)</f>
        <v>41186.64583</v>
      </c>
      <c r="B190" s="1">
        <f>IFERROR(__xludf.DUMMYFUNCTION("""COMPUTED_VALUE"""),3240.0)</f>
        <v>3240</v>
      </c>
      <c r="C190" s="1">
        <f>IFERROR(__xludf.DUMMYFUNCTION("""COMPUTED_VALUE"""),3245.0)</f>
        <v>3245</v>
      </c>
      <c r="D190" s="1">
        <f>IFERROR(__xludf.DUMMYFUNCTION("""COMPUTED_VALUE"""),3180.0)</f>
        <v>3180</v>
      </c>
      <c r="E190" s="1">
        <f>IFERROR(__xludf.DUMMYFUNCTION("""COMPUTED_VALUE"""),3245.0)</f>
        <v>3245</v>
      </c>
      <c r="F190" s="1">
        <f>IFERROR(__xludf.DUMMYFUNCTION("""COMPUTED_VALUE"""),12955.0)</f>
        <v>12955</v>
      </c>
    </row>
    <row r="191">
      <c r="A191" s="2">
        <f>IFERROR(__xludf.DUMMYFUNCTION("""COMPUTED_VALUE"""),41187.645833333336)</f>
        <v>41187.64583</v>
      </c>
      <c r="B191" s="1">
        <f>IFERROR(__xludf.DUMMYFUNCTION("""COMPUTED_VALUE"""),3220.0)</f>
        <v>3220</v>
      </c>
      <c r="C191" s="1">
        <f>IFERROR(__xludf.DUMMYFUNCTION("""COMPUTED_VALUE"""),3370.0)</f>
        <v>3370</v>
      </c>
      <c r="D191" s="1">
        <f>IFERROR(__xludf.DUMMYFUNCTION("""COMPUTED_VALUE"""),3220.0)</f>
        <v>3220</v>
      </c>
      <c r="E191" s="1">
        <f>IFERROR(__xludf.DUMMYFUNCTION("""COMPUTED_VALUE"""),3305.0)</f>
        <v>3305</v>
      </c>
      <c r="F191" s="1">
        <f>IFERROR(__xludf.DUMMYFUNCTION("""COMPUTED_VALUE"""),85200.0)</f>
        <v>85200</v>
      </c>
    </row>
    <row r="192">
      <c r="A192" s="2">
        <f>IFERROR(__xludf.DUMMYFUNCTION("""COMPUTED_VALUE"""),41190.645833333336)</f>
        <v>41190.64583</v>
      </c>
      <c r="B192" s="1">
        <f>IFERROR(__xludf.DUMMYFUNCTION("""COMPUTED_VALUE"""),3310.0)</f>
        <v>3310</v>
      </c>
      <c r="C192" s="1">
        <f>IFERROR(__xludf.DUMMYFUNCTION("""COMPUTED_VALUE"""),3480.0)</f>
        <v>3480</v>
      </c>
      <c r="D192" s="1">
        <f>IFERROR(__xludf.DUMMYFUNCTION("""COMPUTED_VALUE"""),3310.0)</f>
        <v>3310</v>
      </c>
      <c r="E192" s="1">
        <f>IFERROR(__xludf.DUMMYFUNCTION("""COMPUTED_VALUE"""),3435.0)</f>
        <v>3435</v>
      </c>
      <c r="F192" s="1">
        <f>IFERROR(__xludf.DUMMYFUNCTION("""COMPUTED_VALUE"""),107970.0)</f>
        <v>107970</v>
      </c>
    </row>
    <row r="193">
      <c r="A193" s="2">
        <f>IFERROR(__xludf.DUMMYFUNCTION("""COMPUTED_VALUE"""),41191.645833333336)</f>
        <v>41191.64583</v>
      </c>
      <c r="B193" s="1">
        <f>IFERROR(__xludf.DUMMYFUNCTION("""COMPUTED_VALUE"""),3435.0)</f>
        <v>3435</v>
      </c>
      <c r="C193" s="1">
        <f>IFERROR(__xludf.DUMMYFUNCTION("""COMPUTED_VALUE"""),3435.0)</f>
        <v>3435</v>
      </c>
      <c r="D193" s="1">
        <f>IFERROR(__xludf.DUMMYFUNCTION("""COMPUTED_VALUE"""),3350.0)</f>
        <v>3350</v>
      </c>
      <c r="E193" s="1">
        <f>IFERROR(__xludf.DUMMYFUNCTION("""COMPUTED_VALUE"""),3380.0)</f>
        <v>3380</v>
      </c>
      <c r="F193" s="1">
        <f>IFERROR(__xludf.DUMMYFUNCTION("""COMPUTED_VALUE"""),49971.0)</f>
        <v>49971</v>
      </c>
    </row>
    <row r="194">
      <c r="A194" s="2">
        <f>IFERROR(__xludf.DUMMYFUNCTION("""COMPUTED_VALUE"""),41192.645833333336)</f>
        <v>41192.64583</v>
      </c>
      <c r="B194" s="1">
        <f>IFERROR(__xludf.DUMMYFUNCTION("""COMPUTED_VALUE"""),3440.0)</f>
        <v>3440</v>
      </c>
      <c r="C194" s="1">
        <f>IFERROR(__xludf.DUMMYFUNCTION("""COMPUTED_VALUE"""),3585.0)</f>
        <v>3585</v>
      </c>
      <c r="D194" s="1">
        <f>IFERROR(__xludf.DUMMYFUNCTION("""COMPUTED_VALUE"""),3380.0)</f>
        <v>3380</v>
      </c>
      <c r="E194" s="1">
        <f>IFERROR(__xludf.DUMMYFUNCTION("""COMPUTED_VALUE"""),3440.0)</f>
        <v>3440</v>
      </c>
      <c r="F194" s="1">
        <f>IFERROR(__xludf.DUMMYFUNCTION("""COMPUTED_VALUE"""),100170.0)</f>
        <v>100170</v>
      </c>
    </row>
    <row r="195">
      <c r="A195" s="2">
        <f>IFERROR(__xludf.DUMMYFUNCTION("""COMPUTED_VALUE"""),41193.645833333336)</f>
        <v>41193.64583</v>
      </c>
      <c r="B195" s="1">
        <f>IFERROR(__xludf.DUMMYFUNCTION("""COMPUTED_VALUE"""),3440.0)</f>
        <v>3440</v>
      </c>
      <c r="C195" s="1">
        <f>IFERROR(__xludf.DUMMYFUNCTION("""COMPUTED_VALUE"""),3510.0)</f>
        <v>3510</v>
      </c>
      <c r="D195" s="1">
        <f>IFERROR(__xludf.DUMMYFUNCTION("""COMPUTED_VALUE"""),3310.0)</f>
        <v>3310</v>
      </c>
      <c r="E195" s="1">
        <f>IFERROR(__xludf.DUMMYFUNCTION("""COMPUTED_VALUE"""),3370.0)</f>
        <v>3370</v>
      </c>
      <c r="F195" s="1">
        <f>IFERROR(__xludf.DUMMYFUNCTION("""COMPUTED_VALUE"""),89782.0)</f>
        <v>89782</v>
      </c>
    </row>
    <row r="196">
      <c r="A196" s="2">
        <f>IFERROR(__xludf.DUMMYFUNCTION("""COMPUTED_VALUE"""),41194.645833333336)</f>
        <v>41194.64583</v>
      </c>
      <c r="B196" s="1">
        <f>IFERROR(__xludf.DUMMYFUNCTION("""COMPUTED_VALUE"""),3340.0)</f>
        <v>3340</v>
      </c>
      <c r="C196" s="1">
        <f>IFERROR(__xludf.DUMMYFUNCTION("""COMPUTED_VALUE"""),3460.0)</f>
        <v>3460</v>
      </c>
      <c r="D196" s="1">
        <f>IFERROR(__xludf.DUMMYFUNCTION("""COMPUTED_VALUE"""),3300.0)</f>
        <v>3300</v>
      </c>
      <c r="E196" s="1">
        <f>IFERROR(__xludf.DUMMYFUNCTION("""COMPUTED_VALUE"""),3405.0)</f>
        <v>3405</v>
      </c>
      <c r="F196" s="1">
        <f>IFERROR(__xludf.DUMMYFUNCTION("""COMPUTED_VALUE"""),70320.0)</f>
        <v>70320</v>
      </c>
    </row>
    <row r="197">
      <c r="A197" s="2">
        <f>IFERROR(__xludf.DUMMYFUNCTION("""COMPUTED_VALUE"""),41197.645833333336)</f>
        <v>41197.64583</v>
      </c>
      <c r="B197" s="1">
        <f>IFERROR(__xludf.DUMMYFUNCTION("""COMPUTED_VALUE"""),3550.0)</f>
        <v>3550</v>
      </c>
      <c r="C197" s="1">
        <f>IFERROR(__xludf.DUMMYFUNCTION("""COMPUTED_VALUE"""),3630.0)</f>
        <v>3630</v>
      </c>
      <c r="D197" s="1">
        <f>IFERROR(__xludf.DUMMYFUNCTION("""COMPUTED_VALUE"""),3355.0)</f>
        <v>3355</v>
      </c>
      <c r="E197" s="1">
        <f>IFERROR(__xludf.DUMMYFUNCTION("""COMPUTED_VALUE"""),3410.0)</f>
        <v>3410</v>
      </c>
      <c r="F197" s="1">
        <f>IFERROR(__xludf.DUMMYFUNCTION("""COMPUTED_VALUE"""),183011.0)</f>
        <v>183011</v>
      </c>
    </row>
    <row r="198">
      <c r="A198" s="2">
        <f>IFERROR(__xludf.DUMMYFUNCTION("""COMPUTED_VALUE"""),41198.645833333336)</f>
        <v>41198.64583</v>
      </c>
      <c r="B198" s="1">
        <f>IFERROR(__xludf.DUMMYFUNCTION("""COMPUTED_VALUE"""),3425.0)</f>
        <v>3425</v>
      </c>
      <c r="C198" s="1">
        <f>IFERROR(__xludf.DUMMYFUNCTION("""COMPUTED_VALUE"""),3490.0)</f>
        <v>3490</v>
      </c>
      <c r="D198" s="1">
        <f>IFERROR(__xludf.DUMMYFUNCTION("""COMPUTED_VALUE"""),3325.0)</f>
        <v>3325</v>
      </c>
      <c r="E198" s="1">
        <f>IFERROR(__xludf.DUMMYFUNCTION("""COMPUTED_VALUE"""),3460.0)</f>
        <v>3460</v>
      </c>
      <c r="F198" s="1">
        <f>IFERROR(__xludf.DUMMYFUNCTION("""COMPUTED_VALUE"""),89321.0)</f>
        <v>89321</v>
      </c>
    </row>
    <row r="199">
      <c r="A199" s="2">
        <f>IFERROR(__xludf.DUMMYFUNCTION("""COMPUTED_VALUE"""),41199.645833333336)</f>
        <v>41199.64583</v>
      </c>
      <c r="B199" s="1">
        <f>IFERROR(__xludf.DUMMYFUNCTION("""COMPUTED_VALUE"""),3460.0)</f>
        <v>3460</v>
      </c>
      <c r="C199" s="1">
        <f>IFERROR(__xludf.DUMMYFUNCTION("""COMPUTED_VALUE"""),3530.0)</f>
        <v>3530</v>
      </c>
      <c r="D199" s="1">
        <f>IFERROR(__xludf.DUMMYFUNCTION("""COMPUTED_VALUE"""),3410.0)</f>
        <v>3410</v>
      </c>
      <c r="E199" s="1">
        <f>IFERROR(__xludf.DUMMYFUNCTION("""COMPUTED_VALUE"""),3435.0)</f>
        <v>3435</v>
      </c>
      <c r="F199" s="1">
        <f>IFERROR(__xludf.DUMMYFUNCTION("""COMPUTED_VALUE"""),39910.0)</f>
        <v>39910</v>
      </c>
    </row>
    <row r="200">
      <c r="A200" s="2">
        <f>IFERROR(__xludf.DUMMYFUNCTION("""COMPUTED_VALUE"""),41200.645833333336)</f>
        <v>41200.64583</v>
      </c>
      <c r="B200" s="1">
        <f>IFERROR(__xludf.DUMMYFUNCTION("""COMPUTED_VALUE"""),3435.0)</f>
        <v>3435</v>
      </c>
      <c r="C200" s="1">
        <f>IFERROR(__xludf.DUMMYFUNCTION("""COMPUTED_VALUE"""),3435.0)</f>
        <v>3435</v>
      </c>
      <c r="D200" s="1">
        <f>IFERROR(__xludf.DUMMYFUNCTION("""COMPUTED_VALUE"""),3380.0)</f>
        <v>3380</v>
      </c>
      <c r="E200" s="1">
        <f>IFERROR(__xludf.DUMMYFUNCTION("""COMPUTED_VALUE"""),3430.0)</f>
        <v>3430</v>
      </c>
      <c r="F200" s="1">
        <f>IFERROR(__xludf.DUMMYFUNCTION("""COMPUTED_VALUE"""),37969.0)</f>
        <v>37969</v>
      </c>
    </row>
    <row r="201">
      <c r="A201" s="2">
        <f>IFERROR(__xludf.DUMMYFUNCTION("""COMPUTED_VALUE"""),41201.645833333336)</f>
        <v>41201.64583</v>
      </c>
      <c r="B201" s="1">
        <f>IFERROR(__xludf.DUMMYFUNCTION("""COMPUTED_VALUE"""),3400.0)</f>
        <v>3400</v>
      </c>
      <c r="C201" s="1">
        <f>IFERROR(__xludf.DUMMYFUNCTION("""COMPUTED_VALUE"""),3450.0)</f>
        <v>3450</v>
      </c>
      <c r="D201" s="1">
        <f>IFERROR(__xludf.DUMMYFUNCTION("""COMPUTED_VALUE"""),3380.0)</f>
        <v>3380</v>
      </c>
      <c r="E201" s="1">
        <f>IFERROR(__xludf.DUMMYFUNCTION("""COMPUTED_VALUE"""),3450.0)</f>
        <v>3450</v>
      </c>
      <c r="F201" s="1">
        <f>IFERROR(__xludf.DUMMYFUNCTION("""COMPUTED_VALUE"""),14922.0)</f>
        <v>14922</v>
      </c>
    </row>
    <row r="202">
      <c r="A202" s="2">
        <f>IFERROR(__xludf.DUMMYFUNCTION("""COMPUTED_VALUE"""),41204.645833333336)</f>
        <v>41204.64583</v>
      </c>
      <c r="B202" s="1">
        <f>IFERROR(__xludf.DUMMYFUNCTION("""COMPUTED_VALUE"""),3390.0)</f>
        <v>3390</v>
      </c>
      <c r="C202" s="1">
        <f>IFERROR(__xludf.DUMMYFUNCTION("""COMPUTED_VALUE"""),3425.0)</f>
        <v>3425</v>
      </c>
      <c r="D202" s="1">
        <f>IFERROR(__xludf.DUMMYFUNCTION("""COMPUTED_VALUE"""),3300.0)</f>
        <v>3300</v>
      </c>
      <c r="E202" s="1">
        <f>IFERROR(__xludf.DUMMYFUNCTION("""COMPUTED_VALUE"""),3395.0)</f>
        <v>3395</v>
      </c>
      <c r="F202" s="1">
        <f>IFERROR(__xludf.DUMMYFUNCTION("""COMPUTED_VALUE"""),26284.0)</f>
        <v>26284</v>
      </c>
    </row>
    <row r="203">
      <c r="A203" s="2">
        <f>IFERROR(__xludf.DUMMYFUNCTION("""COMPUTED_VALUE"""),41205.645833333336)</f>
        <v>41205.64583</v>
      </c>
      <c r="B203" s="1">
        <f>IFERROR(__xludf.DUMMYFUNCTION("""COMPUTED_VALUE"""),3390.0)</f>
        <v>3390</v>
      </c>
      <c r="C203" s="1">
        <f>IFERROR(__xludf.DUMMYFUNCTION("""COMPUTED_VALUE"""),3450.0)</f>
        <v>3450</v>
      </c>
      <c r="D203" s="1">
        <f>IFERROR(__xludf.DUMMYFUNCTION("""COMPUTED_VALUE"""),3375.0)</f>
        <v>3375</v>
      </c>
      <c r="E203" s="1">
        <f>IFERROR(__xludf.DUMMYFUNCTION("""COMPUTED_VALUE"""),3400.0)</f>
        <v>3400</v>
      </c>
      <c r="F203" s="1">
        <f>IFERROR(__xludf.DUMMYFUNCTION("""COMPUTED_VALUE"""),26480.0)</f>
        <v>26480</v>
      </c>
    </row>
    <row r="204">
      <c r="A204" s="2">
        <f>IFERROR(__xludf.DUMMYFUNCTION("""COMPUTED_VALUE"""),41206.645833333336)</f>
        <v>41206.64583</v>
      </c>
      <c r="B204" s="1">
        <f>IFERROR(__xludf.DUMMYFUNCTION("""COMPUTED_VALUE"""),3390.0)</f>
        <v>3390</v>
      </c>
      <c r="C204" s="1">
        <f>IFERROR(__xludf.DUMMYFUNCTION("""COMPUTED_VALUE"""),3475.0)</f>
        <v>3475</v>
      </c>
      <c r="D204" s="1">
        <f>IFERROR(__xludf.DUMMYFUNCTION("""COMPUTED_VALUE"""),3370.0)</f>
        <v>3370</v>
      </c>
      <c r="E204" s="1">
        <f>IFERROR(__xludf.DUMMYFUNCTION("""COMPUTED_VALUE"""),3440.0)</f>
        <v>3440</v>
      </c>
      <c r="F204" s="1">
        <f>IFERROR(__xludf.DUMMYFUNCTION("""COMPUTED_VALUE"""),30366.0)</f>
        <v>30366</v>
      </c>
    </row>
    <row r="205">
      <c r="A205" s="2">
        <f>IFERROR(__xludf.DUMMYFUNCTION("""COMPUTED_VALUE"""),41207.645833333336)</f>
        <v>41207.64583</v>
      </c>
      <c r="B205" s="1">
        <f>IFERROR(__xludf.DUMMYFUNCTION("""COMPUTED_VALUE"""),3490.0)</f>
        <v>3490</v>
      </c>
      <c r="C205" s="1">
        <f>IFERROR(__xludf.DUMMYFUNCTION("""COMPUTED_VALUE"""),3490.0)</f>
        <v>3490</v>
      </c>
      <c r="D205" s="1">
        <f>IFERROR(__xludf.DUMMYFUNCTION("""COMPUTED_VALUE"""),3375.0)</f>
        <v>3375</v>
      </c>
      <c r="E205" s="1">
        <f>IFERROR(__xludf.DUMMYFUNCTION("""COMPUTED_VALUE"""),3415.0)</f>
        <v>3415</v>
      </c>
      <c r="F205" s="1">
        <f>IFERROR(__xludf.DUMMYFUNCTION("""COMPUTED_VALUE"""),19910.0)</f>
        <v>19910</v>
      </c>
    </row>
    <row r="206">
      <c r="A206" s="2">
        <f>IFERROR(__xludf.DUMMYFUNCTION("""COMPUTED_VALUE"""),41208.645833333336)</f>
        <v>41208.64583</v>
      </c>
      <c r="B206" s="1">
        <f>IFERROR(__xludf.DUMMYFUNCTION("""COMPUTED_VALUE"""),3430.0)</f>
        <v>3430</v>
      </c>
      <c r="C206" s="1">
        <f>IFERROR(__xludf.DUMMYFUNCTION("""COMPUTED_VALUE"""),3430.0)</f>
        <v>3430</v>
      </c>
      <c r="D206" s="1">
        <f>IFERROR(__xludf.DUMMYFUNCTION("""COMPUTED_VALUE"""),3275.0)</f>
        <v>3275</v>
      </c>
      <c r="E206" s="1">
        <f>IFERROR(__xludf.DUMMYFUNCTION("""COMPUTED_VALUE"""),3360.0)</f>
        <v>3360</v>
      </c>
      <c r="F206" s="1">
        <f>IFERROR(__xludf.DUMMYFUNCTION("""COMPUTED_VALUE"""),41320.0)</f>
        <v>41320</v>
      </c>
    </row>
    <row r="207">
      <c r="A207" s="2">
        <f>IFERROR(__xludf.DUMMYFUNCTION("""COMPUTED_VALUE"""),41211.645833333336)</f>
        <v>41211.64583</v>
      </c>
      <c r="B207" s="1">
        <f>IFERROR(__xludf.DUMMYFUNCTION("""COMPUTED_VALUE"""),3360.0)</f>
        <v>3360</v>
      </c>
      <c r="C207" s="1">
        <f>IFERROR(__xludf.DUMMYFUNCTION("""COMPUTED_VALUE"""),3360.0)</f>
        <v>3360</v>
      </c>
      <c r="D207" s="1">
        <f>IFERROR(__xludf.DUMMYFUNCTION("""COMPUTED_VALUE"""),3240.0)</f>
        <v>3240</v>
      </c>
      <c r="E207" s="1">
        <f>IFERROR(__xludf.DUMMYFUNCTION("""COMPUTED_VALUE"""),3260.0)</f>
        <v>3260</v>
      </c>
      <c r="F207" s="1">
        <f>IFERROR(__xludf.DUMMYFUNCTION("""COMPUTED_VALUE"""),27528.0)</f>
        <v>27528</v>
      </c>
    </row>
    <row r="208">
      <c r="A208" s="2">
        <f>IFERROR(__xludf.DUMMYFUNCTION("""COMPUTED_VALUE"""),41212.645833333336)</f>
        <v>41212.64583</v>
      </c>
      <c r="B208" s="1">
        <f>IFERROR(__xludf.DUMMYFUNCTION("""COMPUTED_VALUE"""),3225.0)</f>
        <v>3225</v>
      </c>
      <c r="C208" s="1">
        <f>IFERROR(__xludf.DUMMYFUNCTION("""COMPUTED_VALUE"""),3435.0)</f>
        <v>3435</v>
      </c>
      <c r="D208" s="1">
        <f>IFERROR(__xludf.DUMMYFUNCTION("""COMPUTED_VALUE"""),3225.0)</f>
        <v>3225</v>
      </c>
      <c r="E208" s="1">
        <f>IFERROR(__xludf.DUMMYFUNCTION("""COMPUTED_VALUE"""),3340.0)</f>
        <v>3340</v>
      </c>
      <c r="F208" s="1">
        <f>IFERROR(__xludf.DUMMYFUNCTION("""COMPUTED_VALUE"""),29160.0)</f>
        <v>29160</v>
      </c>
    </row>
    <row r="209">
      <c r="A209" s="2">
        <f>IFERROR(__xludf.DUMMYFUNCTION("""COMPUTED_VALUE"""),41213.645833333336)</f>
        <v>41213.64583</v>
      </c>
      <c r="B209" s="1">
        <f>IFERROR(__xludf.DUMMYFUNCTION("""COMPUTED_VALUE"""),3350.0)</f>
        <v>3350</v>
      </c>
      <c r="C209" s="1">
        <f>IFERROR(__xludf.DUMMYFUNCTION("""COMPUTED_VALUE"""),3430.0)</f>
        <v>3430</v>
      </c>
      <c r="D209" s="1">
        <f>IFERROR(__xludf.DUMMYFUNCTION("""COMPUTED_VALUE"""),3350.0)</f>
        <v>3350</v>
      </c>
      <c r="E209" s="1">
        <f>IFERROR(__xludf.DUMMYFUNCTION("""COMPUTED_VALUE"""),3370.0)</f>
        <v>3370</v>
      </c>
      <c r="F209" s="1">
        <f>IFERROR(__xludf.DUMMYFUNCTION("""COMPUTED_VALUE"""),41003.0)</f>
        <v>41003</v>
      </c>
    </row>
    <row r="210">
      <c r="A210" s="2">
        <f>IFERROR(__xludf.DUMMYFUNCTION("""COMPUTED_VALUE"""),41214.645833333336)</f>
        <v>41214.64583</v>
      </c>
      <c r="B210" s="1">
        <f>IFERROR(__xludf.DUMMYFUNCTION("""COMPUTED_VALUE"""),3350.0)</f>
        <v>3350</v>
      </c>
      <c r="C210" s="1">
        <f>IFERROR(__xludf.DUMMYFUNCTION("""COMPUTED_VALUE"""),3380.0)</f>
        <v>3380</v>
      </c>
      <c r="D210" s="1">
        <f>IFERROR(__xludf.DUMMYFUNCTION("""COMPUTED_VALUE"""),3340.0)</f>
        <v>3340</v>
      </c>
      <c r="E210" s="1">
        <f>IFERROR(__xludf.DUMMYFUNCTION("""COMPUTED_VALUE"""),3370.0)</f>
        <v>3370</v>
      </c>
      <c r="F210" s="1">
        <f>IFERROR(__xludf.DUMMYFUNCTION("""COMPUTED_VALUE"""),15530.0)</f>
        <v>15530</v>
      </c>
    </row>
    <row r="211">
      <c r="A211" s="2">
        <f>IFERROR(__xludf.DUMMYFUNCTION("""COMPUTED_VALUE"""),41215.645833333336)</f>
        <v>41215.64583</v>
      </c>
      <c r="B211" s="1">
        <f>IFERROR(__xludf.DUMMYFUNCTION("""COMPUTED_VALUE"""),3330.0)</f>
        <v>3330</v>
      </c>
      <c r="C211" s="1">
        <f>IFERROR(__xludf.DUMMYFUNCTION("""COMPUTED_VALUE"""),3380.0)</f>
        <v>3380</v>
      </c>
      <c r="D211" s="1">
        <f>IFERROR(__xludf.DUMMYFUNCTION("""COMPUTED_VALUE"""),3310.0)</f>
        <v>3310</v>
      </c>
      <c r="E211" s="1">
        <f>IFERROR(__xludf.DUMMYFUNCTION("""COMPUTED_VALUE"""),3360.0)</f>
        <v>3360</v>
      </c>
      <c r="F211" s="1">
        <f>IFERROR(__xludf.DUMMYFUNCTION("""COMPUTED_VALUE"""),31030.0)</f>
        <v>31030</v>
      </c>
    </row>
    <row r="212">
      <c r="A212" s="2">
        <f>IFERROR(__xludf.DUMMYFUNCTION("""COMPUTED_VALUE"""),41218.645833333336)</f>
        <v>41218.64583</v>
      </c>
      <c r="B212" s="1">
        <f>IFERROR(__xludf.DUMMYFUNCTION("""COMPUTED_VALUE"""),3360.0)</f>
        <v>3360</v>
      </c>
      <c r="C212" s="1">
        <f>IFERROR(__xludf.DUMMYFUNCTION("""COMPUTED_VALUE"""),3390.0)</f>
        <v>3390</v>
      </c>
      <c r="D212" s="1">
        <f>IFERROR(__xludf.DUMMYFUNCTION("""COMPUTED_VALUE"""),3310.0)</f>
        <v>3310</v>
      </c>
      <c r="E212" s="1">
        <f>IFERROR(__xludf.DUMMYFUNCTION("""COMPUTED_VALUE"""),3360.0)</f>
        <v>3360</v>
      </c>
      <c r="F212" s="1">
        <f>IFERROR(__xludf.DUMMYFUNCTION("""COMPUTED_VALUE"""),20017.0)</f>
        <v>20017</v>
      </c>
    </row>
    <row r="213">
      <c r="A213" s="2">
        <f>IFERROR(__xludf.DUMMYFUNCTION("""COMPUTED_VALUE"""),41219.645833333336)</f>
        <v>41219.64583</v>
      </c>
      <c r="B213" s="1">
        <f>IFERROR(__xludf.DUMMYFUNCTION("""COMPUTED_VALUE"""),3320.0)</f>
        <v>3320</v>
      </c>
      <c r="C213" s="1">
        <f>IFERROR(__xludf.DUMMYFUNCTION("""COMPUTED_VALUE"""),3370.0)</f>
        <v>3370</v>
      </c>
      <c r="D213" s="1">
        <f>IFERROR(__xludf.DUMMYFUNCTION("""COMPUTED_VALUE"""),3315.0)</f>
        <v>3315</v>
      </c>
      <c r="E213" s="1">
        <f>IFERROR(__xludf.DUMMYFUNCTION("""COMPUTED_VALUE"""),3350.0)</f>
        <v>3350</v>
      </c>
      <c r="F213" s="1">
        <f>IFERROR(__xludf.DUMMYFUNCTION("""COMPUTED_VALUE"""),646270.0)</f>
        <v>646270</v>
      </c>
    </row>
    <row r="214">
      <c r="A214" s="2">
        <f>IFERROR(__xludf.DUMMYFUNCTION("""COMPUTED_VALUE"""),41220.645833333336)</f>
        <v>41220.64583</v>
      </c>
      <c r="B214" s="1">
        <f>IFERROR(__xludf.DUMMYFUNCTION("""COMPUTED_VALUE"""),3405.0)</f>
        <v>3405</v>
      </c>
      <c r="C214" s="1">
        <f>IFERROR(__xludf.DUMMYFUNCTION("""COMPUTED_VALUE"""),3485.0)</f>
        <v>3485</v>
      </c>
      <c r="D214" s="1">
        <f>IFERROR(__xludf.DUMMYFUNCTION("""COMPUTED_VALUE"""),3330.0)</f>
        <v>3330</v>
      </c>
      <c r="E214" s="1">
        <f>IFERROR(__xludf.DUMMYFUNCTION("""COMPUTED_VALUE"""),3350.0)</f>
        <v>3350</v>
      </c>
      <c r="F214" s="1">
        <f>IFERROR(__xludf.DUMMYFUNCTION("""COMPUTED_VALUE"""),21271.0)</f>
        <v>21271</v>
      </c>
    </row>
    <row r="215">
      <c r="A215" s="2">
        <f>IFERROR(__xludf.DUMMYFUNCTION("""COMPUTED_VALUE"""),41221.645833333336)</f>
        <v>41221.64583</v>
      </c>
      <c r="B215" s="1">
        <f>IFERROR(__xludf.DUMMYFUNCTION("""COMPUTED_VALUE"""),3325.0)</f>
        <v>3325</v>
      </c>
      <c r="C215" s="1">
        <f>IFERROR(__xludf.DUMMYFUNCTION("""COMPUTED_VALUE"""),3350.0)</f>
        <v>3350</v>
      </c>
      <c r="D215" s="1">
        <f>IFERROR(__xludf.DUMMYFUNCTION("""COMPUTED_VALUE"""),3290.0)</f>
        <v>3290</v>
      </c>
      <c r="E215" s="1">
        <f>IFERROR(__xludf.DUMMYFUNCTION("""COMPUTED_VALUE"""),3350.0)</f>
        <v>3350</v>
      </c>
      <c r="F215" s="1">
        <f>IFERROR(__xludf.DUMMYFUNCTION("""COMPUTED_VALUE"""),46080.0)</f>
        <v>46080</v>
      </c>
    </row>
    <row r="216">
      <c r="A216" s="2">
        <f>IFERROR(__xludf.DUMMYFUNCTION("""COMPUTED_VALUE"""),41222.645833333336)</f>
        <v>41222.64583</v>
      </c>
      <c r="B216" s="1">
        <f>IFERROR(__xludf.DUMMYFUNCTION("""COMPUTED_VALUE"""),3360.0)</f>
        <v>3360</v>
      </c>
      <c r="C216" s="1">
        <f>IFERROR(__xludf.DUMMYFUNCTION("""COMPUTED_VALUE"""),3365.0)</f>
        <v>3365</v>
      </c>
      <c r="D216" s="1">
        <f>IFERROR(__xludf.DUMMYFUNCTION("""COMPUTED_VALUE"""),3310.0)</f>
        <v>3310</v>
      </c>
      <c r="E216" s="1">
        <f>IFERROR(__xludf.DUMMYFUNCTION("""COMPUTED_VALUE"""),3320.0)</f>
        <v>3320</v>
      </c>
      <c r="F216" s="1">
        <f>IFERROR(__xludf.DUMMYFUNCTION("""COMPUTED_VALUE"""),15400.0)</f>
        <v>15400</v>
      </c>
    </row>
    <row r="217">
      <c r="A217" s="2">
        <f>IFERROR(__xludf.DUMMYFUNCTION("""COMPUTED_VALUE"""),41225.645833333336)</f>
        <v>41225.64583</v>
      </c>
      <c r="B217" s="1">
        <f>IFERROR(__xludf.DUMMYFUNCTION("""COMPUTED_VALUE"""),3320.0)</f>
        <v>3320</v>
      </c>
      <c r="C217" s="1">
        <f>IFERROR(__xludf.DUMMYFUNCTION("""COMPUTED_VALUE"""),3320.0)</f>
        <v>3320</v>
      </c>
      <c r="D217" s="1">
        <f>IFERROR(__xludf.DUMMYFUNCTION("""COMPUTED_VALUE"""),3260.0)</f>
        <v>3260</v>
      </c>
      <c r="E217" s="1">
        <f>IFERROR(__xludf.DUMMYFUNCTION("""COMPUTED_VALUE"""),3275.0)</f>
        <v>3275</v>
      </c>
      <c r="F217" s="1">
        <f>IFERROR(__xludf.DUMMYFUNCTION("""COMPUTED_VALUE"""),16652.0)</f>
        <v>16652</v>
      </c>
    </row>
    <row r="218">
      <c r="A218" s="2">
        <f>IFERROR(__xludf.DUMMYFUNCTION("""COMPUTED_VALUE"""),41226.645833333336)</f>
        <v>41226.64583</v>
      </c>
      <c r="B218" s="1">
        <f>IFERROR(__xludf.DUMMYFUNCTION("""COMPUTED_VALUE"""),3305.0)</f>
        <v>3305</v>
      </c>
      <c r="C218" s="1">
        <f>IFERROR(__xludf.DUMMYFUNCTION("""COMPUTED_VALUE"""),3305.0)</f>
        <v>3305</v>
      </c>
      <c r="D218" s="1">
        <f>IFERROR(__xludf.DUMMYFUNCTION("""COMPUTED_VALUE"""),3220.0)</f>
        <v>3220</v>
      </c>
      <c r="E218" s="1">
        <f>IFERROR(__xludf.DUMMYFUNCTION("""COMPUTED_VALUE"""),3245.0)</f>
        <v>3245</v>
      </c>
      <c r="F218" s="1">
        <f>IFERROR(__xludf.DUMMYFUNCTION("""COMPUTED_VALUE"""),22142.0)</f>
        <v>22142</v>
      </c>
    </row>
    <row r="219">
      <c r="A219" s="2">
        <f>IFERROR(__xludf.DUMMYFUNCTION("""COMPUTED_VALUE"""),41227.645833333336)</f>
        <v>41227.64583</v>
      </c>
      <c r="B219" s="1">
        <f>IFERROR(__xludf.DUMMYFUNCTION("""COMPUTED_VALUE"""),3245.0)</f>
        <v>3245</v>
      </c>
      <c r="C219" s="1">
        <f>IFERROR(__xludf.DUMMYFUNCTION("""COMPUTED_VALUE"""),3255.0)</f>
        <v>3255</v>
      </c>
      <c r="D219" s="1">
        <f>IFERROR(__xludf.DUMMYFUNCTION("""COMPUTED_VALUE"""),3175.0)</f>
        <v>3175</v>
      </c>
      <c r="E219" s="1">
        <f>IFERROR(__xludf.DUMMYFUNCTION("""COMPUTED_VALUE"""),3250.0)</f>
        <v>3250</v>
      </c>
      <c r="F219" s="1">
        <f>IFERROR(__xludf.DUMMYFUNCTION("""COMPUTED_VALUE"""),27080.0)</f>
        <v>27080</v>
      </c>
    </row>
    <row r="220">
      <c r="A220" s="2">
        <f>IFERROR(__xludf.DUMMYFUNCTION("""COMPUTED_VALUE"""),41228.645833333336)</f>
        <v>41228.64583</v>
      </c>
      <c r="B220" s="1">
        <f>IFERROR(__xludf.DUMMYFUNCTION("""COMPUTED_VALUE"""),3220.0)</f>
        <v>3220</v>
      </c>
      <c r="C220" s="1">
        <f>IFERROR(__xludf.DUMMYFUNCTION("""COMPUTED_VALUE"""),3280.0)</f>
        <v>3280</v>
      </c>
      <c r="D220" s="1">
        <f>IFERROR(__xludf.DUMMYFUNCTION("""COMPUTED_VALUE"""),3185.0)</f>
        <v>3185</v>
      </c>
      <c r="E220" s="1">
        <f>IFERROR(__xludf.DUMMYFUNCTION("""COMPUTED_VALUE"""),3260.0)</f>
        <v>3260</v>
      </c>
      <c r="F220" s="1">
        <f>IFERROR(__xludf.DUMMYFUNCTION("""COMPUTED_VALUE"""),14238.0)</f>
        <v>14238</v>
      </c>
    </row>
    <row r="221">
      <c r="A221" s="2">
        <f>IFERROR(__xludf.DUMMYFUNCTION("""COMPUTED_VALUE"""),41229.645833333336)</f>
        <v>41229.64583</v>
      </c>
      <c r="B221" s="1">
        <f>IFERROR(__xludf.DUMMYFUNCTION("""COMPUTED_VALUE"""),3185.0)</f>
        <v>3185</v>
      </c>
      <c r="C221" s="1">
        <f>IFERROR(__xludf.DUMMYFUNCTION("""COMPUTED_VALUE"""),3295.0)</f>
        <v>3295</v>
      </c>
      <c r="D221" s="1">
        <f>IFERROR(__xludf.DUMMYFUNCTION("""COMPUTED_VALUE"""),3175.0)</f>
        <v>3175</v>
      </c>
      <c r="E221" s="1">
        <f>IFERROR(__xludf.DUMMYFUNCTION("""COMPUTED_VALUE"""),3215.0)</f>
        <v>3215</v>
      </c>
      <c r="F221" s="1">
        <f>IFERROR(__xludf.DUMMYFUNCTION("""COMPUTED_VALUE"""),15381.0)</f>
        <v>15381</v>
      </c>
    </row>
    <row r="222">
      <c r="A222" s="2">
        <f>IFERROR(__xludf.DUMMYFUNCTION("""COMPUTED_VALUE"""),41232.645833333336)</f>
        <v>41232.64583</v>
      </c>
      <c r="B222" s="1">
        <f>IFERROR(__xludf.DUMMYFUNCTION("""COMPUTED_VALUE"""),3170.0)</f>
        <v>3170</v>
      </c>
      <c r="C222" s="1">
        <f>IFERROR(__xludf.DUMMYFUNCTION("""COMPUTED_VALUE"""),3300.0)</f>
        <v>3300</v>
      </c>
      <c r="D222" s="1">
        <f>IFERROR(__xludf.DUMMYFUNCTION("""COMPUTED_VALUE"""),3170.0)</f>
        <v>3170</v>
      </c>
      <c r="E222" s="1">
        <f>IFERROR(__xludf.DUMMYFUNCTION("""COMPUTED_VALUE"""),3235.0)</f>
        <v>3235</v>
      </c>
      <c r="F222" s="1">
        <f>IFERROR(__xludf.DUMMYFUNCTION("""COMPUTED_VALUE"""),15070.0)</f>
        <v>15070</v>
      </c>
    </row>
    <row r="223">
      <c r="A223" s="2">
        <f>IFERROR(__xludf.DUMMYFUNCTION("""COMPUTED_VALUE"""),41233.645833333336)</f>
        <v>41233.64583</v>
      </c>
      <c r="B223" s="1">
        <f>IFERROR(__xludf.DUMMYFUNCTION("""COMPUTED_VALUE"""),3220.0)</f>
        <v>3220</v>
      </c>
      <c r="C223" s="1">
        <f>IFERROR(__xludf.DUMMYFUNCTION("""COMPUTED_VALUE"""),3260.0)</f>
        <v>3260</v>
      </c>
      <c r="D223" s="1">
        <f>IFERROR(__xludf.DUMMYFUNCTION("""COMPUTED_VALUE"""),3200.0)</f>
        <v>3200</v>
      </c>
      <c r="E223" s="1">
        <f>IFERROR(__xludf.DUMMYFUNCTION("""COMPUTED_VALUE"""),3220.0)</f>
        <v>3220</v>
      </c>
      <c r="F223" s="1">
        <f>IFERROR(__xludf.DUMMYFUNCTION("""COMPUTED_VALUE"""),11600.0)</f>
        <v>11600</v>
      </c>
    </row>
    <row r="224">
      <c r="A224" s="2">
        <f>IFERROR(__xludf.DUMMYFUNCTION("""COMPUTED_VALUE"""),41234.645833333336)</f>
        <v>41234.64583</v>
      </c>
      <c r="B224" s="1">
        <f>IFERROR(__xludf.DUMMYFUNCTION("""COMPUTED_VALUE"""),3200.0)</f>
        <v>3200</v>
      </c>
      <c r="C224" s="1">
        <f>IFERROR(__xludf.DUMMYFUNCTION("""COMPUTED_VALUE"""),3255.0)</f>
        <v>3255</v>
      </c>
      <c r="D224" s="1">
        <f>IFERROR(__xludf.DUMMYFUNCTION("""COMPUTED_VALUE"""),3200.0)</f>
        <v>3200</v>
      </c>
      <c r="E224" s="1">
        <f>IFERROR(__xludf.DUMMYFUNCTION("""COMPUTED_VALUE"""),3250.0)</f>
        <v>3250</v>
      </c>
      <c r="F224" s="1">
        <f>IFERROR(__xludf.DUMMYFUNCTION("""COMPUTED_VALUE"""),4342.0)</f>
        <v>4342</v>
      </c>
    </row>
    <row r="225">
      <c r="A225" s="2">
        <f>IFERROR(__xludf.DUMMYFUNCTION("""COMPUTED_VALUE"""),41235.645833333336)</f>
        <v>41235.64583</v>
      </c>
      <c r="B225" s="1">
        <f>IFERROR(__xludf.DUMMYFUNCTION("""COMPUTED_VALUE"""),3270.0)</f>
        <v>3270</v>
      </c>
      <c r="C225" s="1">
        <f>IFERROR(__xludf.DUMMYFUNCTION("""COMPUTED_VALUE"""),3275.0)</f>
        <v>3275</v>
      </c>
      <c r="D225" s="1">
        <f>IFERROR(__xludf.DUMMYFUNCTION("""COMPUTED_VALUE"""),3215.0)</f>
        <v>3215</v>
      </c>
      <c r="E225" s="1">
        <f>IFERROR(__xludf.DUMMYFUNCTION("""COMPUTED_VALUE"""),3240.0)</f>
        <v>3240</v>
      </c>
      <c r="F225" s="1">
        <f>IFERROR(__xludf.DUMMYFUNCTION("""COMPUTED_VALUE"""),14330.0)</f>
        <v>14330</v>
      </c>
    </row>
    <row r="226">
      <c r="A226" s="2">
        <f>IFERROR(__xludf.DUMMYFUNCTION("""COMPUTED_VALUE"""),41236.645833333336)</f>
        <v>41236.64583</v>
      </c>
      <c r="B226" s="1">
        <f>IFERROR(__xludf.DUMMYFUNCTION("""COMPUTED_VALUE"""),3210.0)</f>
        <v>3210</v>
      </c>
      <c r="C226" s="1">
        <f>IFERROR(__xludf.DUMMYFUNCTION("""COMPUTED_VALUE"""),3265.0)</f>
        <v>3265</v>
      </c>
      <c r="D226" s="1">
        <f>IFERROR(__xludf.DUMMYFUNCTION("""COMPUTED_VALUE"""),3210.0)</f>
        <v>3210</v>
      </c>
      <c r="E226" s="1">
        <f>IFERROR(__xludf.DUMMYFUNCTION("""COMPUTED_VALUE"""),3250.0)</f>
        <v>3250</v>
      </c>
      <c r="F226" s="1">
        <f>IFERROR(__xludf.DUMMYFUNCTION("""COMPUTED_VALUE"""),5051.0)</f>
        <v>5051</v>
      </c>
    </row>
    <row r="227">
      <c r="A227" s="2">
        <f>IFERROR(__xludf.DUMMYFUNCTION("""COMPUTED_VALUE"""),41239.645833333336)</f>
        <v>41239.64583</v>
      </c>
      <c r="B227" s="1">
        <f>IFERROR(__xludf.DUMMYFUNCTION("""COMPUTED_VALUE"""),3250.0)</f>
        <v>3250</v>
      </c>
      <c r="C227" s="1">
        <f>IFERROR(__xludf.DUMMYFUNCTION("""COMPUTED_VALUE"""),3265.0)</f>
        <v>3265</v>
      </c>
      <c r="D227" s="1">
        <f>IFERROR(__xludf.DUMMYFUNCTION("""COMPUTED_VALUE"""),3215.0)</f>
        <v>3215</v>
      </c>
      <c r="E227" s="1">
        <f>IFERROR(__xludf.DUMMYFUNCTION("""COMPUTED_VALUE"""),3265.0)</f>
        <v>3265</v>
      </c>
      <c r="F227" s="1">
        <f>IFERROR(__xludf.DUMMYFUNCTION("""COMPUTED_VALUE"""),11492.0)</f>
        <v>11492</v>
      </c>
    </row>
    <row r="228">
      <c r="A228" s="2">
        <f>IFERROR(__xludf.DUMMYFUNCTION("""COMPUTED_VALUE"""),41240.645833333336)</f>
        <v>41240.64583</v>
      </c>
      <c r="B228" s="1">
        <f>IFERROR(__xludf.DUMMYFUNCTION("""COMPUTED_VALUE"""),3250.0)</f>
        <v>3250</v>
      </c>
      <c r="C228" s="1">
        <f>IFERROR(__xludf.DUMMYFUNCTION("""COMPUTED_VALUE"""),3280.0)</f>
        <v>3280</v>
      </c>
      <c r="D228" s="1">
        <f>IFERROR(__xludf.DUMMYFUNCTION("""COMPUTED_VALUE"""),3230.0)</f>
        <v>3230</v>
      </c>
      <c r="E228" s="1">
        <f>IFERROR(__xludf.DUMMYFUNCTION("""COMPUTED_VALUE"""),3280.0)</f>
        <v>3280</v>
      </c>
      <c r="F228" s="1">
        <f>IFERROR(__xludf.DUMMYFUNCTION("""COMPUTED_VALUE"""),4370.0)</f>
        <v>4370</v>
      </c>
    </row>
    <row r="229">
      <c r="A229" s="2">
        <f>IFERROR(__xludf.DUMMYFUNCTION("""COMPUTED_VALUE"""),41241.645833333336)</f>
        <v>41241.64583</v>
      </c>
      <c r="B229" s="1">
        <f>IFERROR(__xludf.DUMMYFUNCTION("""COMPUTED_VALUE"""),3295.0)</f>
        <v>3295</v>
      </c>
      <c r="C229" s="1">
        <f>IFERROR(__xludf.DUMMYFUNCTION("""COMPUTED_VALUE"""),3295.0)</f>
        <v>3295</v>
      </c>
      <c r="D229" s="1">
        <f>IFERROR(__xludf.DUMMYFUNCTION("""COMPUTED_VALUE"""),3220.0)</f>
        <v>3220</v>
      </c>
      <c r="E229" s="1">
        <f>IFERROR(__xludf.DUMMYFUNCTION("""COMPUTED_VALUE"""),3235.0)</f>
        <v>3235</v>
      </c>
      <c r="F229" s="1">
        <f>IFERROR(__xludf.DUMMYFUNCTION("""COMPUTED_VALUE"""),14070.0)</f>
        <v>14070</v>
      </c>
    </row>
    <row r="230">
      <c r="A230" s="2">
        <f>IFERROR(__xludf.DUMMYFUNCTION("""COMPUTED_VALUE"""),41242.645833333336)</f>
        <v>41242.64583</v>
      </c>
      <c r="B230" s="1">
        <f>IFERROR(__xludf.DUMMYFUNCTION("""COMPUTED_VALUE"""),3220.0)</f>
        <v>3220</v>
      </c>
      <c r="C230" s="1">
        <f>IFERROR(__xludf.DUMMYFUNCTION("""COMPUTED_VALUE"""),3250.0)</f>
        <v>3250</v>
      </c>
      <c r="D230" s="1">
        <f>IFERROR(__xludf.DUMMYFUNCTION("""COMPUTED_VALUE"""),3200.0)</f>
        <v>3200</v>
      </c>
      <c r="E230" s="1">
        <f>IFERROR(__xludf.DUMMYFUNCTION("""COMPUTED_VALUE"""),3240.0)</f>
        <v>3240</v>
      </c>
      <c r="F230" s="1">
        <f>IFERROR(__xludf.DUMMYFUNCTION("""COMPUTED_VALUE"""),26640.0)</f>
        <v>26640</v>
      </c>
    </row>
    <row r="231">
      <c r="A231" s="2">
        <f>IFERROR(__xludf.DUMMYFUNCTION("""COMPUTED_VALUE"""),41243.645833333336)</f>
        <v>41243.64583</v>
      </c>
      <c r="B231" s="1">
        <f>IFERROR(__xludf.DUMMYFUNCTION("""COMPUTED_VALUE"""),3240.0)</f>
        <v>3240</v>
      </c>
      <c r="C231" s="1">
        <f>IFERROR(__xludf.DUMMYFUNCTION("""COMPUTED_VALUE"""),3250.0)</f>
        <v>3250</v>
      </c>
      <c r="D231" s="1">
        <f>IFERROR(__xludf.DUMMYFUNCTION("""COMPUTED_VALUE"""),3225.0)</f>
        <v>3225</v>
      </c>
      <c r="E231" s="1">
        <f>IFERROR(__xludf.DUMMYFUNCTION("""COMPUTED_VALUE"""),3250.0)</f>
        <v>3250</v>
      </c>
      <c r="F231" s="1">
        <f>IFERROR(__xludf.DUMMYFUNCTION("""COMPUTED_VALUE"""),14750.0)</f>
        <v>14750</v>
      </c>
    </row>
    <row r="232">
      <c r="A232" s="2">
        <f>IFERROR(__xludf.DUMMYFUNCTION("""COMPUTED_VALUE"""),41246.645833333336)</f>
        <v>41246.64583</v>
      </c>
      <c r="B232" s="1">
        <f>IFERROR(__xludf.DUMMYFUNCTION("""COMPUTED_VALUE"""),3240.0)</f>
        <v>3240</v>
      </c>
      <c r="C232" s="1">
        <f>IFERROR(__xludf.DUMMYFUNCTION("""COMPUTED_VALUE"""),3250.0)</f>
        <v>3250</v>
      </c>
      <c r="D232" s="1">
        <f>IFERROR(__xludf.DUMMYFUNCTION("""COMPUTED_VALUE"""),3205.0)</f>
        <v>3205</v>
      </c>
      <c r="E232" s="1">
        <f>IFERROR(__xludf.DUMMYFUNCTION("""COMPUTED_VALUE"""),3215.0)</f>
        <v>3215</v>
      </c>
      <c r="F232" s="1">
        <f>IFERROR(__xludf.DUMMYFUNCTION("""COMPUTED_VALUE"""),11740.0)</f>
        <v>11740</v>
      </c>
    </row>
    <row r="233">
      <c r="A233" s="2">
        <f>IFERROR(__xludf.DUMMYFUNCTION("""COMPUTED_VALUE"""),41247.645833333336)</f>
        <v>41247.64583</v>
      </c>
      <c r="B233" s="1">
        <f>IFERROR(__xludf.DUMMYFUNCTION("""COMPUTED_VALUE"""),3170.0)</f>
        <v>3170</v>
      </c>
      <c r="C233" s="1">
        <f>IFERROR(__xludf.DUMMYFUNCTION("""COMPUTED_VALUE"""),3200.0)</f>
        <v>3200</v>
      </c>
      <c r="D233" s="1">
        <f>IFERROR(__xludf.DUMMYFUNCTION("""COMPUTED_VALUE"""),3155.0)</f>
        <v>3155</v>
      </c>
      <c r="E233" s="1">
        <f>IFERROR(__xludf.DUMMYFUNCTION("""COMPUTED_VALUE"""),3190.0)</f>
        <v>3190</v>
      </c>
      <c r="F233" s="1">
        <f>IFERROR(__xludf.DUMMYFUNCTION("""COMPUTED_VALUE"""),18921.0)</f>
        <v>18921</v>
      </c>
    </row>
    <row r="234">
      <c r="A234" s="2">
        <f>IFERROR(__xludf.DUMMYFUNCTION("""COMPUTED_VALUE"""),41248.645833333336)</f>
        <v>41248.64583</v>
      </c>
      <c r="B234" s="1">
        <f>IFERROR(__xludf.DUMMYFUNCTION("""COMPUTED_VALUE"""),3190.0)</f>
        <v>3190</v>
      </c>
      <c r="C234" s="1">
        <f>IFERROR(__xludf.DUMMYFUNCTION("""COMPUTED_VALUE"""),3200.0)</f>
        <v>3200</v>
      </c>
      <c r="D234" s="1">
        <f>IFERROR(__xludf.DUMMYFUNCTION("""COMPUTED_VALUE"""),3180.0)</f>
        <v>3180</v>
      </c>
      <c r="E234" s="1">
        <f>IFERROR(__xludf.DUMMYFUNCTION("""COMPUTED_VALUE"""),3195.0)</f>
        <v>3195</v>
      </c>
      <c r="F234" s="1">
        <f>IFERROR(__xludf.DUMMYFUNCTION("""COMPUTED_VALUE"""),5684.0)</f>
        <v>5684</v>
      </c>
    </row>
    <row r="235">
      <c r="A235" s="2">
        <f>IFERROR(__xludf.DUMMYFUNCTION("""COMPUTED_VALUE"""),41249.645833333336)</f>
        <v>41249.64583</v>
      </c>
      <c r="B235" s="1">
        <f>IFERROR(__xludf.DUMMYFUNCTION("""COMPUTED_VALUE"""),3170.0)</f>
        <v>3170</v>
      </c>
      <c r="C235" s="1">
        <f>IFERROR(__xludf.DUMMYFUNCTION("""COMPUTED_VALUE"""),3195.0)</f>
        <v>3195</v>
      </c>
      <c r="D235" s="1">
        <f>IFERROR(__xludf.DUMMYFUNCTION("""COMPUTED_VALUE"""),3170.0)</f>
        <v>3170</v>
      </c>
      <c r="E235" s="1">
        <f>IFERROR(__xludf.DUMMYFUNCTION("""COMPUTED_VALUE"""),3190.0)</f>
        <v>3190</v>
      </c>
      <c r="F235" s="1">
        <f>IFERROR(__xludf.DUMMYFUNCTION("""COMPUTED_VALUE"""),2331.0)</f>
        <v>2331</v>
      </c>
    </row>
    <row r="236">
      <c r="A236" s="2">
        <f>IFERROR(__xludf.DUMMYFUNCTION("""COMPUTED_VALUE"""),41250.645833333336)</f>
        <v>41250.64583</v>
      </c>
      <c r="B236" s="1">
        <f>IFERROR(__xludf.DUMMYFUNCTION("""COMPUTED_VALUE"""),3190.0)</f>
        <v>3190</v>
      </c>
      <c r="C236" s="1">
        <f>IFERROR(__xludf.DUMMYFUNCTION("""COMPUTED_VALUE"""),3200.0)</f>
        <v>3200</v>
      </c>
      <c r="D236" s="1">
        <f>IFERROR(__xludf.DUMMYFUNCTION("""COMPUTED_VALUE"""),3170.0)</f>
        <v>3170</v>
      </c>
      <c r="E236" s="1">
        <f>IFERROR(__xludf.DUMMYFUNCTION("""COMPUTED_VALUE"""),3195.0)</f>
        <v>3195</v>
      </c>
      <c r="F236" s="1">
        <f>IFERROR(__xludf.DUMMYFUNCTION("""COMPUTED_VALUE"""),7750.0)</f>
        <v>7750</v>
      </c>
    </row>
    <row r="237">
      <c r="A237" s="2">
        <f>IFERROR(__xludf.DUMMYFUNCTION("""COMPUTED_VALUE"""),41253.645833333336)</f>
        <v>41253.64583</v>
      </c>
      <c r="B237" s="1">
        <f>IFERROR(__xludf.DUMMYFUNCTION("""COMPUTED_VALUE"""),3195.0)</f>
        <v>3195</v>
      </c>
      <c r="C237" s="1">
        <f>IFERROR(__xludf.DUMMYFUNCTION("""COMPUTED_VALUE"""),3215.0)</f>
        <v>3215</v>
      </c>
      <c r="D237" s="1">
        <f>IFERROR(__xludf.DUMMYFUNCTION("""COMPUTED_VALUE"""),3175.0)</f>
        <v>3175</v>
      </c>
      <c r="E237" s="1">
        <f>IFERROR(__xludf.DUMMYFUNCTION("""COMPUTED_VALUE"""),3210.0)</f>
        <v>3210</v>
      </c>
      <c r="F237" s="1">
        <f>IFERROR(__xludf.DUMMYFUNCTION("""COMPUTED_VALUE"""),6100.0)</f>
        <v>6100</v>
      </c>
    </row>
    <row r="238">
      <c r="A238" s="2">
        <f>IFERROR(__xludf.DUMMYFUNCTION("""COMPUTED_VALUE"""),41254.645833333336)</f>
        <v>41254.64583</v>
      </c>
      <c r="B238" s="1">
        <f>IFERROR(__xludf.DUMMYFUNCTION("""COMPUTED_VALUE"""),3210.0)</f>
        <v>3210</v>
      </c>
      <c r="C238" s="1">
        <f>IFERROR(__xludf.DUMMYFUNCTION("""COMPUTED_VALUE"""),3235.0)</f>
        <v>3235</v>
      </c>
      <c r="D238" s="1">
        <f>IFERROR(__xludf.DUMMYFUNCTION("""COMPUTED_VALUE"""),3165.0)</f>
        <v>3165</v>
      </c>
      <c r="E238" s="1">
        <f>IFERROR(__xludf.DUMMYFUNCTION("""COMPUTED_VALUE"""),3210.0)</f>
        <v>3210</v>
      </c>
      <c r="F238" s="1">
        <f>IFERROR(__xludf.DUMMYFUNCTION("""COMPUTED_VALUE"""),12140.0)</f>
        <v>12140</v>
      </c>
    </row>
    <row r="239">
      <c r="A239" s="2">
        <f>IFERROR(__xludf.DUMMYFUNCTION("""COMPUTED_VALUE"""),41255.645833333336)</f>
        <v>41255.64583</v>
      </c>
      <c r="B239" s="1">
        <f>IFERROR(__xludf.DUMMYFUNCTION("""COMPUTED_VALUE"""),3200.0)</f>
        <v>3200</v>
      </c>
      <c r="C239" s="1">
        <f>IFERROR(__xludf.DUMMYFUNCTION("""COMPUTED_VALUE"""),3250.0)</f>
        <v>3250</v>
      </c>
      <c r="D239" s="1">
        <f>IFERROR(__xludf.DUMMYFUNCTION("""COMPUTED_VALUE"""),3190.0)</f>
        <v>3190</v>
      </c>
      <c r="E239" s="1">
        <f>IFERROR(__xludf.DUMMYFUNCTION("""COMPUTED_VALUE"""),3235.0)</f>
        <v>3235</v>
      </c>
      <c r="F239" s="1">
        <f>IFERROR(__xludf.DUMMYFUNCTION("""COMPUTED_VALUE"""),2838.0)</f>
        <v>2838</v>
      </c>
    </row>
    <row r="240">
      <c r="A240" s="2">
        <f>IFERROR(__xludf.DUMMYFUNCTION("""COMPUTED_VALUE"""),41256.645833333336)</f>
        <v>41256.64583</v>
      </c>
      <c r="B240" s="1">
        <f>IFERROR(__xludf.DUMMYFUNCTION("""COMPUTED_VALUE"""),3250.0)</f>
        <v>3250</v>
      </c>
      <c r="C240" s="1">
        <f>IFERROR(__xludf.DUMMYFUNCTION("""COMPUTED_VALUE"""),3300.0)</f>
        <v>3300</v>
      </c>
      <c r="D240" s="1">
        <f>IFERROR(__xludf.DUMMYFUNCTION("""COMPUTED_VALUE"""),3230.0)</f>
        <v>3230</v>
      </c>
      <c r="E240" s="1">
        <f>IFERROR(__xludf.DUMMYFUNCTION("""COMPUTED_VALUE"""),3275.0)</f>
        <v>3275</v>
      </c>
      <c r="F240" s="1">
        <f>IFERROR(__xludf.DUMMYFUNCTION("""COMPUTED_VALUE"""),12015.0)</f>
        <v>12015</v>
      </c>
    </row>
    <row r="241">
      <c r="A241" s="2">
        <f>IFERROR(__xludf.DUMMYFUNCTION("""COMPUTED_VALUE"""),41257.645833333336)</f>
        <v>41257.64583</v>
      </c>
      <c r="B241" s="1">
        <f>IFERROR(__xludf.DUMMYFUNCTION("""COMPUTED_VALUE"""),3275.0)</f>
        <v>3275</v>
      </c>
      <c r="C241" s="1">
        <f>IFERROR(__xludf.DUMMYFUNCTION("""COMPUTED_VALUE"""),3300.0)</f>
        <v>3300</v>
      </c>
      <c r="D241" s="1">
        <f>IFERROR(__xludf.DUMMYFUNCTION("""COMPUTED_VALUE"""),3235.0)</f>
        <v>3235</v>
      </c>
      <c r="E241" s="1">
        <f>IFERROR(__xludf.DUMMYFUNCTION("""COMPUTED_VALUE"""),3265.0)</f>
        <v>3265</v>
      </c>
      <c r="F241" s="1">
        <f>IFERROR(__xludf.DUMMYFUNCTION("""COMPUTED_VALUE"""),1620.0)</f>
        <v>1620</v>
      </c>
    </row>
    <row r="242">
      <c r="A242" s="2">
        <f>IFERROR(__xludf.DUMMYFUNCTION("""COMPUTED_VALUE"""),41260.645833333336)</f>
        <v>41260.64583</v>
      </c>
      <c r="B242" s="1">
        <f>IFERROR(__xludf.DUMMYFUNCTION("""COMPUTED_VALUE"""),3295.0)</f>
        <v>3295</v>
      </c>
      <c r="C242" s="1">
        <f>IFERROR(__xludf.DUMMYFUNCTION("""COMPUTED_VALUE"""),3295.0)</f>
        <v>3295</v>
      </c>
      <c r="D242" s="1">
        <f>IFERROR(__xludf.DUMMYFUNCTION("""COMPUTED_VALUE"""),3225.0)</f>
        <v>3225</v>
      </c>
      <c r="E242" s="1">
        <f>IFERROR(__xludf.DUMMYFUNCTION("""COMPUTED_VALUE"""),3245.0)</f>
        <v>3245</v>
      </c>
      <c r="F242" s="1">
        <f>IFERROR(__xludf.DUMMYFUNCTION("""COMPUTED_VALUE"""),1150.0)</f>
        <v>1150</v>
      </c>
    </row>
    <row r="243">
      <c r="A243" s="2">
        <f>IFERROR(__xludf.DUMMYFUNCTION("""COMPUTED_VALUE"""),41261.645833333336)</f>
        <v>41261.64583</v>
      </c>
      <c r="B243" s="1">
        <f>IFERROR(__xludf.DUMMYFUNCTION("""COMPUTED_VALUE"""),3280.0)</f>
        <v>3280</v>
      </c>
      <c r="C243" s="1">
        <f>IFERROR(__xludf.DUMMYFUNCTION("""COMPUTED_VALUE"""),3280.0)</f>
        <v>3280</v>
      </c>
      <c r="D243" s="1">
        <f>IFERROR(__xludf.DUMMYFUNCTION("""COMPUTED_VALUE"""),3200.0)</f>
        <v>3200</v>
      </c>
      <c r="E243" s="1">
        <f>IFERROR(__xludf.DUMMYFUNCTION("""COMPUTED_VALUE"""),3280.0)</f>
        <v>3280</v>
      </c>
      <c r="F243" s="1">
        <f>IFERROR(__xludf.DUMMYFUNCTION("""COMPUTED_VALUE"""),3690.0)</f>
        <v>3690</v>
      </c>
    </row>
    <row r="244">
      <c r="A244" s="2">
        <f>IFERROR(__xludf.DUMMYFUNCTION("""COMPUTED_VALUE"""),41263.645833333336)</f>
        <v>41263.64583</v>
      </c>
      <c r="B244" s="1">
        <f>IFERROR(__xludf.DUMMYFUNCTION("""COMPUTED_VALUE"""),3255.0)</f>
        <v>3255</v>
      </c>
      <c r="C244" s="1">
        <f>IFERROR(__xludf.DUMMYFUNCTION("""COMPUTED_VALUE"""),3280.0)</f>
        <v>3280</v>
      </c>
      <c r="D244" s="1">
        <f>IFERROR(__xludf.DUMMYFUNCTION("""COMPUTED_VALUE"""),3210.0)</f>
        <v>3210</v>
      </c>
      <c r="E244" s="1">
        <f>IFERROR(__xludf.DUMMYFUNCTION("""COMPUTED_VALUE"""),3280.0)</f>
        <v>3280</v>
      </c>
      <c r="F244" s="1">
        <f>IFERROR(__xludf.DUMMYFUNCTION("""COMPUTED_VALUE"""),16340.0)</f>
        <v>16340</v>
      </c>
    </row>
    <row r="245">
      <c r="A245" s="2">
        <f>IFERROR(__xludf.DUMMYFUNCTION("""COMPUTED_VALUE"""),41264.645833333336)</f>
        <v>41264.64583</v>
      </c>
      <c r="B245" s="1">
        <f>IFERROR(__xludf.DUMMYFUNCTION("""COMPUTED_VALUE"""),3270.0)</f>
        <v>3270</v>
      </c>
      <c r="C245" s="1">
        <f>IFERROR(__xludf.DUMMYFUNCTION("""COMPUTED_VALUE"""),3275.0)</f>
        <v>3275</v>
      </c>
      <c r="D245" s="1">
        <f>IFERROR(__xludf.DUMMYFUNCTION("""COMPUTED_VALUE"""),3220.0)</f>
        <v>3220</v>
      </c>
      <c r="E245" s="1">
        <f>IFERROR(__xludf.DUMMYFUNCTION("""COMPUTED_VALUE"""),3270.0)</f>
        <v>3270</v>
      </c>
      <c r="F245" s="1">
        <f>IFERROR(__xludf.DUMMYFUNCTION("""COMPUTED_VALUE"""),4951.0)</f>
        <v>4951</v>
      </c>
    </row>
    <row r="246">
      <c r="A246" s="2">
        <f>IFERROR(__xludf.DUMMYFUNCTION("""COMPUTED_VALUE"""),41267.645833333336)</f>
        <v>41267.64583</v>
      </c>
      <c r="B246" s="1">
        <f>IFERROR(__xludf.DUMMYFUNCTION("""COMPUTED_VALUE"""),3270.0)</f>
        <v>3270</v>
      </c>
      <c r="C246" s="1">
        <f>IFERROR(__xludf.DUMMYFUNCTION("""COMPUTED_VALUE"""),3270.0)</f>
        <v>3270</v>
      </c>
      <c r="D246" s="1">
        <f>IFERROR(__xludf.DUMMYFUNCTION("""COMPUTED_VALUE"""),3245.0)</f>
        <v>3245</v>
      </c>
      <c r="E246" s="1">
        <f>IFERROR(__xludf.DUMMYFUNCTION("""COMPUTED_VALUE"""),3260.0)</f>
        <v>3260</v>
      </c>
      <c r="F246" s="1">
        <f>IFERROR(__xludf.DUMMYFUNCTION("""COMPUTED_VALUE"""),2750.0)</f>
        <v>2750</v>
      </c>
    </row>
    <row r="247">
      <c r="A247" s="2">
        <f>IFERROR(__xludf.DUMMYFUNCTION("""COMPUTED_VALUE"""),41269.645833333336)</f>
        <v>41269.64583</v>
      </c>
      <c r="B247" s="1">
        <f>IFERROR(__xludf.DUMMYFUNCTION("""COMPUTED_VALUE"""),3235.0)</f>
        <v>3235</v>
      </c>
      <c r="C247" s="1">
        <f>IFERROR(__xludf.DUMMYFUNCTION("""COMPUTED_VALUE"""),3295.0)</f>
        <v>3295</v>
      </c>
      <c r="D247" s="1">
        <f>IFERROR(__xludf.DUMMYFUNCTION("""COMPUTED_VALUE"""),3235.0)</f>
        <v>3235</v>
      </c>
      <c r="E247" s="1">
        <f>IFERROR(__xludf.DUMMYFUNCTION("""COMPUTED_VALUE"""),3295.0)</f>
        <v>3295</v>
      </c>
      <c r="F247" s="1">
        <f>IFERROR(__xludf.DUMMYFUNCTION("""COMPUTED_VALUE"""),21981.0)</f>
        <v>21981</v>
      </c>
    </row>
    <row r="248">
      <c r="A248" s="2">
        <f>IFERROR(__xludf.DUMMYFUNCTION("""COMPUTED_VALUE"""),41270.645833333336)</f>
        <v>41270.64583</v>
      </c>
      <c r="B248" s="1">
        <f>IFERROR(__xludf.DUMMYFUNCTION("""COMPUTED_VALUE"""),3245.0)</f>
        <v>3245</v>
      </c>
      <c r="C248" s="1">
        <f>IFERROR(__xludf.DUMMYFUNCTION("""COMPUTED_VALUE"""),3245.0)</f>
        <v>3245</v>
      </c>
      <c r="D248" s="1">
        <f>IFERROR(__xludf.DUMMYFUNCTION("""COMPUTED_VALUE"""),3185.0)</f>
        <v>3185</v>
      </c>
      <c r="E248" s="1">
        <f>IFERROR(__xludf.DUMMYFUNCTION("""COMPUTED_VALUE"""),3195.0)</f>
        <v>3195</v>
      </c>
      <c r="F248" s="1">
        <f>IFERROR(__xludf.DUMMYFUNCTION("""COMPUTED_VALUE"""),6433.0)</f>
        <v>6433</v>
      </c>
    </row>
    <row r="249">
      <c r="A249" s="2">
        <f>IFERROR(__xludf.DUMMYFUNCTION("""COMPUTED_VALUE"""),41271.645833333336)</f>
        <v>41271.64583</v>
      </c>
      <c r="B249" s="1">
        <f>IFERROR(__xludf.DUMMYFUNCTION("""COMPUTED_VALUE"""),3195.0)</f>
        <v>3195</v>
      </c>
      <c r="C249" s="1">
        <f>IFERROR(__xludf.DUMMYFUNCTION("""COMPUTED_VALUE"""),3205.0)</f>
        <v>3205</v>
      </c>
      <c r="D249" s="1">
        <f>IFERROR(__xludf.DUMMYFUNCTION("""COMPUTED_VALUE"""),3160.0)</f>
        <v>3160</v>
      </c>
      <c r="E249" s="1">
        <f>IFERROR(__xludf.DUMMYFUNCTION("""COMPUTED_VALUE"""),3195.0)</f>
        <v>3195</v>
      </c>
      <c r="F249" s="1">
        <f>IFERROR(__xludf.DUMMYFUNCTION("""COMPUTED_VALUE"""),17852.0)</f>
        <v>17852</v>
      </c>
    </row>
    <row r="250">
      <c r="A250" s="2">
        <f>IFERROR(__xludf.DUMMYFUNCTION("""COMPUTED_VALUE"""),41276.645833333336)</f>
        <v>41276.64583</v>
      </c>
      <c r="B250" s="1">
        <f>IFERROR(__xludf.DUMMYFUNCTION("""COMPUTED_VALUE"""),3195.0)</f>
        <v>3195</v>
      </c>
      <c r="C250" s="1">
        <f>IFERROR(__xludf.DUMMYFUNCTION("""COMPUTED_VALUE"""),3195.0)</f>
        <v>3195</v>
      </c>
      <c r="D250" s="1">
        <f>IFERROR(__xludf.DUMMYFUNCTION("""COMPUTED_VALUE"""),3150.0)</f>
        <v>3150</v>
      </c>
      <c r="E250" s="1">
        <f>IFERROR(__xludf.DUMMYFUNCTION("""COMPUTED_VALUE"""),3170.0)</f>
        <v>3170</v>
      </c>
      <c r="F250" s="1">
        <f>IFERROR(__xludf.DUMMYFUNCTION("""COMPUTED_VALUE"""),11636.0)</f>
        <v>11636</v>
      </c>
    </row>
    <row r="251">
      <c r="A251" s="2">
        <f>IFERROR(__xludf.DUMMYFUNCTION("""COMPUTED_VALUE"""),41277.645833333336)</f>
        <v>41277.64583</v>
      </c>
      <c r="B251" s="1">
        <f>IFERROR(__xludf.DUMMYFUNCTION("""COMPUTED_VALUE"""),3180.0)</f>
        <v>3180</v>
      </c>
      <c r="C251" s="1">
        <f>IFERROR(__xludf.DUMMYFUNCTION("""COMPUTED_VALUE"""),3235.0)</f>
        <v>3235</v>
      </c>
      <c r="D251" s="1">
        <f>IFERROR(__xludf.DUMMYFUNCTION("""COMPUTED_VALUE"""),3170.0)</f>
        <v>3170</v>
      </c>
      <c r="E251" s="1">
        <f>IFERROR(__xludf.DUMMYFUNCTION("""COMPUTED_VALUE"""),3190.0)</f>
        <v>3190</v>
      </c>
      <c r="F251" s="1">
        <f>IFERROR(__xludf.DUMMYFUNCTION("""COMPUTED_VALUE"""),20662.0)</f>
        <v>20662</v>
      </c>
    </row>
    <row r="252">
      <c r="A252" s="2">
        <f>IFERROR(__xludf.DUMMYFUNCTION("""COMPUTED_VALUE"""),41278.645833333336)</f>
        <v>41278.64583</v>
      </c>
      <c r="B252" s="1">
        <f>IFERROR(__xludf.DUMMYFUNCTION("""COMPUTED_VALUE"""),3190.0)</f>
        <v>3190</v>
      </c>
      <c r="C252" s="1">
        <f>IFERROR(__xludf.DUMMYFUNCTION("""COMPUTED_VALUE"""),3195.0)</f>
        <v>3195</v>
      </c>
      <c r="D252" s="1">
        <f>IFERROR(__xludf.DUMMYFUNCTION("""COMPUTED_VALUE"""),3170.0)</f>
        <v>3170</v>
      </c>
      <c r="E252" s="1">
        <f>IFERROR(__xludf.DUMMYFUNCTION("""COMPUTED_VALUE"""),3185.0)</f>
        <v>3185</v>
      </c>
      <c r="F252" s="1">
        <f>IFERROR(__xludf.DUMMYFUNCTION("""COMPUTED_VALUE"""),7290.0)</f>
        <v>7290</v>
      </c>
    </row>
    <row r="253">
      <c r="A253" s="2">
        <f>IFERROR(__xludf.DUMMYFUNCTION("""COMPUTED_VALUE"""),41281.645833333336)</f>
        <v>41281.64583</v>
      </c>
      <c r="B253" s="1">
        <f>IFERROR(__xludf.DUMMYFUNCTION("""COMPUTED_VALUE"""),3185.0)</f>
        <v>3185</v>
      </c>
      <c r="C253" s="1">
        <f>IFERROR(__xludf.DUMMYFUNCTION("""COMPUTED_VALUE"""),3210.0)</f>
        <v>3210</v>
      </c>
      <c r="D253" s="1">
        <f>IFERROR(__xludf.DUMMYFUNCTION("""COMPUTED_VALUE"""),3170.0)</f>
        <v>3170</v>
      </c>
      <c r="E253" s="1">
        <f>IFERROR(__xludf.DUMMYFUNCTION("""COMPUTED_VALUE"""),3195.0)</f>
        <v>3195</v>
      </c>
      <c r="F253" s="1">
        <f>IFERROR(__xludf.DUMMYFUNCTION("""COMPUTED_VALUE"""),8210.0)</f>
        <v>8210</v>
      </c>
    </row>
    <row r="254">
      <c r="A254" s="2">
        <f>IFERROR(__xludf.DUMMYFUNCTION("""COMPUTED_VALUE"""),41282.645833333336)</f>
        <v>41282.64583</v>
      </c>
      <c r="B254" s="1">
        <f>IFERROR(__xludf.DUMMYFUNCTION("""COMPUTED_VALUE"""),3230.0)</f>
        <v>3230</v>
      </c>
      <c r="C254" s="1">
        <f>IFERROR(__xludf.DUMMYFUNCTION("""COMPUTED_VALUE"""),3230.0)</f>
        <v>3230</v>
      </c>
      <c r="D254" s="1">
        <f>IFERROR(__xludf.DUMMYFUNCTION("""COMPUTED_VALUE"""),3185.0)</f>
        <v>3185</v>
      </c>
      <c r="E254" s="1">
        <f>IFERROR(__xludf.DUMMYFUNCTION("""COMPUTED_VALUE"""),3195.0)</f>
        <v>3195</v>
      </c>
      <c r="F254" s="1">
        <f>IFERROR(__xludf.DUMMYFUNCTION("""COMPUTED_VALUE"""),3750.0)</f>
        <v>3750</v>
      </c>
    </row>
    <row r="255">
      <c r="A255" s="2">
        <f>IFERROR(__xludf.DUMMYFUNCTION("""COMPUTED_VALUE"""),41283.645833333336)</f>
        <v>41283.64583</v>
      </c>
      <c r="B255" s="1">
        <f>IFERROR(__xludf.DUMMYFUNCTION("""COMPUTED_VALUE"""),3185.0)</f>
        <v>3185</v>
      </c>
      <c r="C255" s="1">
        <f>IFERROR(__xludf.DUMMYFUNCTION("""COMPUTED_VALUE"""),3220.0)</f>
        <v>3220</v>
      </c>
      <c r="D255" s="1">
        <f>IFERROR(__xludf.DUMMYFUNCTION("""COMPUTED_VALUE"""),3180.0)</f>
        <v>3180</v>
      </c>
      <c r="E255" s="1">
        <f>IFERROR(__xludf.DUMMYFUNCTION("""COMPUTED_VALUE"""),3210.0)</f>
        <v>3210</v>
      </c>
      <c r="F255" s="1">
        <f>IFERROR(__xludf.DUMMYFUNCTION("""COMPUTED_VALUE"""),4191.0)</f>
        <v>4191</v>
      </c>
    </row>
    <row r="256">
      <c r="A256" s="2">
        <f>IFERROR(__xludf.DUMMYFUNCTION("""COMPUTED_VALUE"""),41284.645833333336)</f>
        <v>41284.64583</v>
      </c>
      <c r="B256" s="1">
        <f>IFERROR(__xludf.DUMMYFUNCTION("""COMPUTED_VALUE"""),3205.0)</f>
        <v>3205</v>
      </c>
      <c r="C256" s="1">
        <f>IFERROR(__xludf.DUMMYFUNCTION("""COMPUTED_VALUE"""),3210.0)</f>
        <v>3210</v>
      </c>
      <c r="D256" s="1">
        <f>IFERROR(__xludf.DUMMYFUNCTION("""COMPUTED_VALUE"""),3200.0)</f>
        <v>3200</v>
      </c>
      <c r="E256" s="1">
        <f>IFERROR(__xludf.DUMMYFUNCTION("""COMPUTED_VALUE"""),3210.0)</f>
        <v>3210</v>
      </c>
      <c r="F256" s="1">
        <f>IFERROR(__xludf.DUMMYFUNCTION("""COMPUTED_VALUE"""),4610.0)</f>
        <v>4610</v>
      </c>
    </row>
    <row r="257">
      <c r="A257" s="2">
        <f>IFERROR(__xludf.DUMMYFUNCTION("""COMPUTED_VALUE"""),41285.645833333336)</f>
        <v>41285.64583</v>
      </c>
      <c r="B257" s="1">
        <f>IFERROR(__xludf.DUMMYFUNCTION("""COMPUTED_VALUE"""),3215.0)</f>
        <v>3215</v>
      </c>
      <c r="C257" s="1">
        <f>IFERROR(__xludf.DUMMYFUNCTION("""COMPUTED_VALUE"""),3220.0)</f>
        <v>3220</v>
      </c>
      <c r="D257" s="1">
        <f>IFERROR(__xludf.DUMMYFUNCTION("""COMPUTED_VALUE"""),3200.0)</f>
        <v>3200</v>
      </c>
      <c r="E257" s="1">
        <f>IFERROR(__xludf.DUMMYFUNCTION("""COMPUTED_VALUE"""),3200.0)</f>
        <v>3200</v>
      </c>
      <c r="F257" s="1">
        <f>IFERROR(__xludf.DUMMYFUNCTION("""COMPUTED_VALUE"""),13180.0)</f>
        <v>13180</v>
      </c>
    </row>
    <row r="258">
      <c r="A258" s="2">
        <f>IFERROR(__xludf.DUMMYFUNCTION("""COMPUTED_VALUE"""),41288.645833333336)</f>
        <v>41288.64583</v>
      </c>
      <c r="B258" s="1">
        <f>IFERROR(__xludf.DUMMYFUNCTION("""COMPUTED_VALUE"""),3180.0)</f>
        <v>3180</v>
      </c>
      <c r="C258" s="1">
        <f>IFERROR(__xludf.DUMMYFUNCTION("""COMPUTED_VALUE"""),3240.0)</f>
        <v>3240</v>
      </c>
      <c r="D258" s="1">
        <f>IFERROR(__xludf.DUMMYFUNCTION("""COMPUTED_VALUE"""),3175.0)</f>
        <v>3175</v>
      </c>
      <c r="E258" s="1">
        <f>IFERROR(__xludf.DUMMYFUNCTION("""COMPUTED_VALUE"""),3230.0)</f>
        <v>3230</v>
      </c>
      <c r="F258" s="1">
        <f>IFERROR(__xludf.DUMMYFUNCTION("""COMPUTED_VALUE"""),13100.0)</f>
        <v>13100</v>
      </c>
    </row>
    <row r="259">
      <c r="A259" s="2">
        <f>IFERROR(__xludf.DUMMYFUNCTION("""COMPUTED_VALUE"""),41289.645833333336)</f>
        <v>41289.64583</v>
      </c>
      <c r="B259" s="1">
        <f>IFERROR(__xludf.DUMMYFUNCTION("""COMPUTED_VALUE"""),3240.0)</f>
        <v>3240</v>
      </c>
      <c r="C259" s="1">
        <f>IFERROR(__xludf.DUMMYFUNCTION("""COMPUTED_VALUE"""),3240.0)</f>
        <v>3240</v>
      </c>
      <c r="D259" s="1">
        <f>IFERROR(__xludf.DUMMYFUNCTION("""COMPUTED_VALUE"""),3165.0)</f>
        <v>3165</v>
      </c>
      <c r="E259" s="1">
        <f>IFERROR(__xludf.DUMMYFUNCTION("""COMPUTED_VALUE"""),3190.0)</f>
        <v>3190</v>
      </c>
      <c r="F259" s="1">
        <f>IFERROR(__xludf.DUMMYFUNCTION("""COMPUTED_VALUE"""),11540.0)</f>
        <v>11540</v>
      </c>
    </row>
    <row r="260">
      <c r="A260" s="2">
        <f>IFERROR(__xludf.DUMMYFUNCTION("""COMPUTED_VALUE"""),41290.645833333336)</f>
        <v>41290.64583</v>
      </c>
      <c r="B260" s="1">
        <f>IFERROR(__xludf.DUMMYFUNCTION("""COMPUTED_VALUE"""),3190.0)</f>
        <v>3190</v>
      </c>
      <c r="C260" s="1">
        <f>IFERROR(__xludf.DUMMYFUNCTION("""COMPUTED_VALUE"""),3235.0)</f>
        <v>3235</v>
      </c>
      <c r="D260" s="1">
        <f>IFERROR(__xludf.DUMMYFUNCTION("""COMPUTED_VALUE"""),3180.0)</f>
        <v>3180</v>
      </c>
      <c r="E260" s="1">
        <f>IFERROR(__xludf.DUMMYFUNCTION("""COMPUTED_VALUE"""),3185.0)</f>
        <v>3185</v>
      </c>
      <c r="F260" s="1">
        <f>IFERROR(__xludf.DUMMYFUNCTION("""COMPUTED_VALUE"""),4380.0)</f>
        <v>4380</v>
      </c>
    </row>
    <row r="261">
      <c r="A261" s="2">
        <f>IFERROR(__xludf.DUMMYFUNCTION("""COMPUTED_VALUE"""),41291.645833333336)</f>
        <v>41291.64583</v>
      </c>
      <c r="B261" s="1">
        <f>IFERROR(__xludf.DUMMYFUNCTION("""COMPUTED_VALUE"""),3175.0)</f>
        <v>3175</v>
      </c>
      <c r="C261" s="1">
        <f>IFERROR(__xludf.DUMMYFUNCTION("""COMPUTED_VALUE"""),3200.0)</f>
        <v>3200</v>
      </c>
      <c r="D261" s="1">
        <f>IFERROR(__xludf.DUMMYFUNCTION("""COMPUTED_VALUE"""),3130.0)</f>
        <v>3130</v>
      </c>
      <c r="E261" s="1">
        <f>IFERROR(__xludf.DUMMYFUNCTION("""COMPUTED_VALUE"""),3185.0)</f>
        <v>3185</v>
      </c>
      <c r="F261" s="1">
        <f>IFERROR(__xludf.DUMMYFUNCTION("""COMPUTED_VALUE"""),19210.0)</f>
        <v>19210</v>
      </c>
    </row>
    <row r="262">
      <c r="A262" s="2">
        <f>IFERROR(__xludf.DUMMYFUNCTION("""COMPUTED_VALUE"""),41292.645833333336)</f>
        <v>41292.64583</v>
      </c>
      <c r="B262" s="1">
        <f>IFERROR(__xludf.DUMMYFUNCTION("""COMPUTED_VALUE"""),3190.0)</f>
        <v>3190</v>
      </c>
      <c r="C262" s="1">
        <f>IFERROR(__xludf.DUMMYFUNCTION("""COMPUTED_VALUE"""),3190.0)</f>
        <v>3190</v>
      </c>
      <c r="D262" s="1">
        <f>IFERROR(__xludf.DUMMYFUNCTION("""COMPUTED_VALUE"""),3130.0)</f>
        <v>3130</v>
      </c>
      <c r="E262" s="1">
        <f>IFERROR(__xludf.DUMMYFUNCTION("""COMPUTED_VALUE"""),3175.0)</f>
        <v>3175</v>
      </c>
      <c r="F262" s="1">
        <f>IFERROR(__xludf.DUMMYFUNCTION("""COMPUTED_VALUE"""),7711.0)</f>
        <v>7711</v>
      </c>
    </row>
    <row r="263">
      <c r="A263" s="2">
        <f>IFERROR(__xludf.DUMMYFUNCTION("""COMPUTED_VALUE"""),41295.645833333336)</f>
        <v>41295.64583</v>
      </c>
      <c r="B263" s="1">
        <f>IFERROR(__xludf.DUMMYFUNCTION("""COMPUTED_VALUE"""),3145.0)</f>
        <v>3145</v>
      </c>
      <c r="C263" s="1">
        <f>IFERROR(__xludf.DUMMYFUNCTION("""COMPUTED_VALUE"""),3175.0)</f>
        <v>3175</v>
      </c>
      <c r="D263" s="1">
        <f>IFERROR(__xludf.DUMMYFUNCTION("""COMPUTED_VALUE"""),3145.0)</f>
        <v>3145</v>
      </c>
      <c r="E263" s="1">
        <f>IFERROR(__xludf.DUMMYFUNCTION("""COMPUTED_VALUE"""),3175.0)</f>
        <v>3175</v>
      </c>
      <c r="F263" s="1">
        <f>IFERROR(__xludf.DUMMYFUNCTION("""COMPUTED_VALUE"""),3761.0)</f>
        <v>3761</v>
      </c>
    </row>
    <row r="264">
      <c r="A264" s="2">
        <f>IFERROR(__xludf.DUMMYFUNCTION("""COMPUTED_VALUE"""),41296.645833333336)</f>
        <v>41296.64583</v>
      </c>
      <c r="B264" s="1">
        <f>IFERROR(__xludf.DUMMYFUNCTION("""COMPUTED_VALUE"""),3170.0)</f>
        <v>3170</v>
      </c>
      <c r="C264" s="1">
        <f>IFERROR(__xludf.DUMMYFUNCTION("""COMPUTED_VALUE"""),3180.0)</f>
        <v>3180</v>
      </c>
      <c r="D264" s="1">
        <f>IFERROR(__xludf.DUMMYFUNCTION("""COMPUTED_VALUE"""),3150.0)</f>
        <v>3150</v>
      </c>
      <c r="E264" s="1">
        <f>IFERROR(__xludf.DUMMYFUNCTION("""COMPUTED_VALUE"""),3170.0)</f>
        <v>3170</v>
      </c>
      <c r="F264" s="1">
        <f>IFERROR(__xludf.DUMMYFUNCTION("""COMPUTED_VALUE"""),7660.0)</f>
        <v>7660</v>
      </c>
    </row>
    <row r="265">
      <c r="A265" s="2">
        <f>IFERROR(__xludf.DUMMYFUNCTION("""COMPUTED_VALUE"""),41297.645833333336)</f>
        <v>41297.64583</v>
      </c>
      <c r="B265" s="1">
        <f>IFERROR(__xludf.DUMMYFUNCTION("""COMPUTED_VALUE"""),3155.0)</f>
        <v>3155</v>
      </c>
      <c r="C265" s="1">
        <f>IFERROR(__xludf.DUMMYFUNCTION("""COMPUTED_VALUE"""),3175.0)</f>
        <v>3175</v>
      </c>
      <c r="D265" s="1">
        <f>IFERROR(__xludf.DUMMYFUNCTION("""COMPUTED_VALUE"""),3120.0)</f>
        <v>3120</v>
      </c>
      <c r="E265" s="1">
        <f>IFERROR(__xludf.DUMMYFUNCTION("""COMPUTED_VALUE"""),3135.0)</f>
        <v>3135</v>
      </c>
      <c r="F265" s="1">
        <f>IFERROR(__xludf.DUMMYFUNCTION("""COMPUTED_VALUE"""),21350.0)</f>
        <v>21350</v>
      </c>
    </row>
    <row r="266">
      <c r="A266" s="2">
        <f>IFERROR(__xludf.DUMMYFUNCTION("""COMPUTED_VALUE"""),41298.645833333336)</f>
        <v>41298.64583</v>
      </c>
      <c r="B266" s="1">
        <f>IFERROR(__xludf.DUMMYFUNCTION("""COMPUTED_VALUE"""),3135.0)</f>
        <v>3135</v>
      </c>
      <c r="C266" s="1">
        <f>IFERROR(__xludf.DUMMYFUNCTION("""COMPUTED_VALUE"""),3165.0)</f>
        <v>3165</v>
      </c>
      <c r="D266" s="1">
        <f>IFERROR(__xludf.DUMMYFUNCTION("""COMPUTED_VALUE"""),3125.0)</f>
        <v>3125</v>
      </c>
      <c r="E266" s="1">
        <f>IFERROR(__xludf.DUMMYFUNCTION("""COMPUTED_VALUE"""),3150.0)</f>
        <v>3150</v>
      </c>
      <c r="F266" s="1">
        <f>IFERROR(__xludf.DUMMYFUNCTION("""COMPUTED_VALUE"""),6331.0)</f>
        <v>6331</v>
      </c>
    </row>
    <row r="267">
      <c r="A267" s="2">
        <f>IFERROR(__xludf.DUMMYFUNCTION("""COMPUTED_VALUE"""),41299.645833333336)</f>
        <v>41299.64583</v>
      </c>
      <c r="B267" s="1">
        <f>IFERROR(__xludf.DUMMYFUNCTION("""COMPUTED_VALUE"""),3135.0)</f>
        <v>3135</v>
      </c>
      <c r="C267" s="1">
        <f>IFERROR(__xludf.DUMMYFUNCTION("""COMPUTED_VALUE"""),3180.0)</f>
        <v>3180</v>
      </c>
      <c r="D267" s="1">
        <f>IFERROR(__xludf.DUMMYFUNCTION("""COMPUTED_VALUE"""),3125.0)</f>
        <v>3125</v>
      </c>
      <c r="E267" s="1">
        <f>IFERROR(__xludf.DUMMYFUNCTION("""COMPUTED_VALUE"""),3130.0)</f>
        <v>3130</v>
      </c>
      <c r="F267" s="1">
        <f>IFERROR(__xludf.DUMMYFUNCTION("""COMPUTED_VALUE"""),13171.0)</f>
        <v>13171</v>
      </c>
    </row>
    <row r="268">
      <c r="A268" s="2">
        <f>IFERROR(__xludf.DUMMYFUNCTION("""COMPUTED_VALUE"""),41302.645833333336)</f>
        <v>41302.64583</v>
      </c>
      <c r="B268" s="1">
        <f>IFERROR(__xludf.DUMMYFUNCTION("""COMPUTED_VALUE"""),3120.0)</f>
        <v>3120</v>
      </c>
      <c r="C268" s="1">
        <f>IFERROR(__xludf.DUMMYFUNCTION("""COMPUTED_VALUE"""),3140.0)</f>
        <v>3140</v>
      </c>
      <c r="D268" s="1">
        <f>IFERROR(__xludf.DUMMYFUNCTION("""COMPUTED_VALUE"""),3120.0)</f>
        <v>3120</v>
      </c>
      <c r="E268" s="1">
        <f>IFERROR(__xludf.DUMMYFUNCTION("""COMPUTED_VALUE"""),3140.0)</f>
        <v>3140</v>
      </c>
      <c r="F268" s="1">
        <f>IFERROR(__xludf.DUMMYFUNCTION("""COMPUTED_VALUE"""),7500.0)</f>
        <v>7500</v>
      </c>
    </row>
    <row r="269">
      <c r="A269" s="2">
        <f>IFERROR(__xludf.DUMMYFUNCTION("""COMPUTED_VALUE"""),41303.645833333336)</f>
        <v>41303.64583</v>
      </c>
      <c r="B269" s="1">
        <f>IFERROR(__xludf.DUMMYFUNCTION("""COMPUTED_VALUE"""),3125.0)</f>
        <v>3125</v>
      </c>
      <c r="C269" s="1">
        <f>IFERROR(__xludf.DUMMYFUNCTION("""COMPUTED_VALUE"""),3170.0)</f>
        <v>3170</v>
      </c>
      <c r="D269" s="1">
        <f>IFERROR(__xludf.DUMMYFUNCTION("""COMPUTED_VALUE"""),3125.0)</f>
        <v>3125</v>
      </c>
      <c r="E269" s="1">
        <f>IFERROR(__xludf.DUMMYFUNCTION("""COMPUTED_VALUE"""),3170.0)</f>
        <v>3170</v>
      </c>
      <c r="F269" s="1">
        <f>IFERROR(__xludf.DUMMYFUNCTION("""COMPUTED_VALUE"""),3660.0)</f>
        <v>3660</v>
      </c>
    </row>
    <row r="270">
      <c r="A270" s="2">
        <f>IFERROR(__xludf.DUMMYFUNCTION("""COMPUTED_VALUE"""),41304.645833333336)</f>
        <v>41304.64583</v>
      </c>
      <c r="B270" s="1">
        <f>IFERROR(__xludf.DUMMYFUNCTION("""COMPUTED_VALUE"""),3170.0)</f>
        <v>3170</v>
      </c>
      <c r="C270" s="1">
        <f>IFERROR(__xludf.DUMMYFUNCTION("""COMPUTED_VALUE"""),3170.0)</f>
        <v>3170</v>
      </c>
      <c r="D270" s="1">
        <f>IFERROR(__xludf.DUMMYFUNCTION("""COMPUTED_VALUE"""),3150.0)</f>
        <v>3150</v>
      </c>
      <c r="E270" s="1">
        <f>IFERROR(__xludf.DUMMYFUNCTION("""COMPUTED_VALUE"""),3165.0)</f>
        <v>3165</v>
      </c>
      <c r="F270" s="1">
        <f>IFERROR(__xludf.DUMMYFUNCTION("""COMPUTED_VALUE"""),6640.0)</f>
        <v>6640</v>
      </c>
    </row>
    <row r="271">
      <c r="A271" s="2">
        <f>IFERROR(__xludf.DUMMYFUNCTION("""COMPUTED_VALUE"""),41305.645833333336)</f>
        <v>41305.64583</v>
      </c>
      <c r="B271" s="1">
        <f>IFERROR(__xludf.DUMMYFUNCTION("""COMPUTED_VALUE"""),3135.0)</f>
        <v>3135</v>
      </c>
      <c r="C271" s="1">
        <f>IFERROR(__xludf.DUMMYFUNCTION("""COMPUTED_VALUE"""),3150.0)</f>
        <v>3150</v>
      </c>
      <c r="D271" s="1">
        <f>IFERROR(__xludf.DUMMYFUNCTION("""COMPUTED_VALUE"""),3135.0)</f>
        <v>3135</v>
      </c>
      <c r="E271" s="1">
        <f>IFERROR(__xludf.DUMMYFUNCTION("""COMPUTED_VALUE"""),3150.0)</f>
        <v>3150</v>
      </c>
      <c r="F271" s="1">
        <f>IFERROR(__xludf.DUMMYFUNCTION("""COMPUTED_VALUE"""),2030.0)</f>
        <v>2030</v>
      </c>
    </row>
    <row r="272">
      <c r="A272" s="2">
        <f>IFERROR(__xludf.DUMMYFUNCTION("""COMPUTED_VALUE"""),41306.645833333336)</f>
        <v>41306.64583</v>
      </c>
      <c r="B272" s="1">
        <f>IFERROR(__xludf.DUMMYFUNCTION("""COMPUTED_VALUE"""),3165.0)</f>
        <v>3165</v>
      </c>
      <c r="C272" s="1">
        <f>IFERROR(__xludf.DUMMYFUNCTION("""COMPUTED_VALUE"""),3170.0)</f>
        <v>3170</v>
      </c>
      <c r="D272" s="1">
        <f>IFERROR(__xludf.DUMMYFUNCTION("""COMPUTED_VALUE"""),3135.0)</f>
        <v>3135</v>
      </c>
      <c r="E272" s="1">
        <f>IFERROR(__xludf.DUMMYFUNCTION("""COMPUTED_VALUE"""),3140.0)</f>
        <v>3140</v>
      </c>
      <c r="F272" s="1">
        <f>IFERROR(__xludf.DUMMYFUNCTION("""COMPUTED_VALUE"""),2924.0)</f>
        <v>2924</v>
      </c>
    </row>
    <row r="273">
      <c r="A273" s="2">
        <f>IFERROR(__xludf.DUMMYFUNCTION("""COMPUTED_VALUE"""),41309.645833333336)</f>
        <v>41309.64583</v>
      </c>
      <c r="B273" s="1">
        <f>IFERROR(__xludf.DUMMYFUNCTION("""COMPUTED_VALUE"""),3150.0)</f>
        <v>3150</v>
      </c>
      <c r="C273" s="1">
        <f>IFERROR(__xludf.DUMMYFUNCTION("""COMPUTED_VALUE"""),3170.0)</f>
        <v>3170</v>
      </c>
      <c r="D273" s="1">
        <f>IFERROR(__xludf.DUMMYFUNCTION("""COMPUTED_VALUE"""),3135.0)</f>
        <v>3135</v>
      </c>
      <c r="E273" s="1">
        <f>IFERROR(__xludf.DUMMYFUNCTION("""COMPUTED_VALUE"""),3135.0)</f>
        <v>3135</v>
      </c>
      <c r="F273" s="1">
        <f>IFERROR(__xludf.DUMMYFUNCTION("""COMPUTED_VALUE"""),7610.0)</f>
        <v>7610</v>
      </c>
    </row>
    <row r="274">
      <c r="A274" s="2">
        <f>IFERROR(__xludf.DUMMYFUNCTION("""COMPUTED_VALUE"""),41310.645833333336)</f>
        <v>41310.64583</v>
      </c>
      <c r="B274" s="1">
        <f>IFERROR(__xludf.DUMMYFUNCTION("""COMPUTED_VALUE"""),3200.0)</f>
        <v>3200</v>
      </c>
      <c r="C274" s="1">
        <f>IFERROR(__xludf.DUMMYFUNCTION("""COMPUTED_VALUE"""),3200.0)</f>
        <v>3200</v>
      </c>
      <c r="D274" s="1">
        <f>IFERROR(__xludf.DUMMYFUNCTION("""COMPUTED_VALUE"""),3140.0)</f>
        <v>3140</v>
      </c>
      <c r="E274" s="1">
        <f>IFERROR(__xludf.DUMMYFUNCTION("""COMPUTED_VALUE"""),3140.0)</f>
        <v>3140</v>
      </c>
      <c r="F274" s="1">
        <f>IFERROR(__xludf.DUMMYFUNCTION("""COMPUTED_VALUE"""),14091.0)</f>
        <v>14091</v>
      </c>
    </row>
    <row r="275">
      <c r="A275" s="2">
        <f>IFERROR(__xludf.DUMMYFUNCTION("""COMPUTED_VALUE"""),41311.645833333336)</f>
        <v>41311.64583</v>
      </c>
      <c r="B275" s="1">
        <f>IFERROR(__xludf.DUMMYFUNCTION("""COMPUTED_VALUE"""),3140.0)</f>
        <v>3140</v>
      </c>
      <c r="C275" s="1">
        <f>IFERROR(__xludf.DUMMYFUNCTION("""COMPUTED_VALUE"""),3160.0)</f>
        <v>3160</v>
      </c>
      <c r="D275" s="1">
        <f>IFERROR(__xludf.DUMMYFUNCTION("""COMPUTED_VALUE"""),3125.0)</f>
        <v>3125</v>
      </c>
      <c r="E275" s="1">
        <f>IFERROR(__xludf.DUMMYFUNCTION("""COMPUTED_VALUE"""),3150.0)</f>
        <v>3150</v>
      </c>
      <c r="F275" s="1">
        <f>IFERROR(__xludf.DUMMYFUNCTION("""COMPUTED_VALUE"""),20530.0)</f>
        <v>20530</v>
      </c>
    </row>
    <row r="276">
      <c r="A276" s="2">
        <f>IFERROR(__xludf.DUMMYFUNCTION("""COMPUTED_VALUE"""),41312.645833333336)</f>
        <v>41312.64583</v>
      </c>
      <c r="B276" s="1">
        <f>IFERROR(__xludf.DUMMYFUNCTION("""COMPUTED_VALUE"""),3190.0)</f>
        <v>3190</v>
      </c>
      <c r="C276" s="1">
        <f>IFERROR(__xludf.DUMMYFUNCTION("""COMPUTED_VALUE"""),3190.0)</f>
        <v>3190</v>
      </c>
      <c r="D276" s="1">
        <f>IFERROR(__xludf.DUMMYFUNCTION("""COMPUTED_VALUE"""),3130.0)</f>
        <v>3130</v>
      </c>
      <c r="E276" s="1">
        <f>IFERROR(__xludf.DUMMYFUNCTION("""COMPUTED_VALUE"""),3175.0)</f>
        <v>3175</v>
      </c>
      <c r="F276" s="1">
        <f>IFERROR(__xludf.DUMMYFUNCTION("""COMPUTED_VALUE"""),9900.0)</f>
        <v>9900</v>
      </c>
    </row>
    <row r="277">
      <c r="A277" s="2">
        <f>IFERROR(__xludf.DUMMYFUNCTION("""COMPUTED_VALUE"""),41313.645833333336)</f>
        <v>41313.64583</v>
      </c>
      <c r="B277" s="1">
        <f>IFERROR(__xludf.DUMMYFUNCTION("""COMPUTED_VALUE"""),3180.0)</f>
        <v>3180</v>
      </c>
      <c r="C277" s="1">
        <f>IFERROR(__xludf.DUMMYFUNCTION("""COMPUTED_VALUE"""),3200.0)</f>
        <v>3200</v>
      </c>
      <c r="D277" s="1">
        <f>IFERROR(__xludf.DUMMYFUNCTION("""COMPUTED_VALUE"""),3135.0)</f>
        <v>3135</v>
      </c>
      <c r="E277" s="1">
        <f>IFERROR(__xludf.DUMMYFUNCTION("""COMPUTED_VALUE"""),3190.0)</f>
        <v>3190</v>
      </c>
      <c r="F277" s="1">
        <f>IFERROR(__xludf.DUMMYFUNCTION("""COMPUTED_VALUE"""),5912.0)</f>
        <v>5912</v>
      </c>
    </row>
    <row r="278">
      <c r="A278" s="2">
        <f>IFERROR(__xludf.DUMMYFUNCTION("""COMPUTED_VALUE"""),41317.645833333336)</f>
        <v>41317.64583</v>
      </c>
      <c r="B278" s="1">
        <f>IFERROR(__xludf.DUMMYFUNCTION("""COMPUTED_VALUE"""),3195.0)</f>
        <v>3195</v>
      </c>
      <c r="C278" s="1">
        <f>IFERROR(__xludf.DUMMYFUNCTION("""COMPUTED_VALUE"""),3195.0)</f>
        <v>3195</v>
      </c>
      <c r="D278" s="1">
        <f>IFERROR(__xludf.DUMMYFUNCTION("""COMPUTED_VALUE"""),3165.0)</f>
        <v>3165</v>
      </c>
      <c r="E278" s="1">
        <f>IFERROR(__xludf.DUMMYFUNCTION("""COMPUTED_VALUE"""),3180.0)</f>
        <v>3180</v>
      </c>
      <c r="F278" s="1">
        <f>IFERROR(__xludf.DUMMYFUNCTION("""COMPUTED_VALUE"""),7240.0)</f>
        <v>7240</v>
      </c>
    </row>
    <row r="279">
      <c r="A279" s="2">
        <f>IFERROR(__xludf.DUMMYFUNCTION("""COMPUTED_VALUE"""),41318.645833333336)</f>
        <v>41318.64583</v>
      </c>
      <c r="B279" s="1">
        <f>IFERROR(__xludf.DUMMYFUNCTION("""COMPUTED_VALUE"""),3165.0)</f>
        <v>3165</v>
      </c>
      <c r="C279" s="1">
        <f>IFERROR(__xludf.DUMMYFUNCTION("""COMPUTED_VALUE"""),3200.0)</f>
        <v>3200</v>
      </c>
      <c r="D279" s="1">
        <f>IFERROR(__xludf.DUMMYFUNCTION("""COMPUTED_VALUE"""),3165.0)</f>
        <v>3165</v>
      </c>
      <c r="E279" s="1">
        <f>IFERROR(__xludf.DUMMYFUNCTION("""COMPUTED_VALUE"""),3170.0)</f>
        <v>3170</v>
      </c>
      <c r="F279" s="1">
        <f>IFERROR(__xludf.DUMMYFUNCTION("""COMPUTED_VALUE"""),12453.0)</f>
        <v>12453</v>
      </c>
    </row>
    <row r="280">
      <c r="A280" s="2">
        <f>IFERROR(__xludf.DUMMYFUNCTION("""COMPUTED_VALUE"""),41319.645833333336)</f>
        <v>41319.64583</v>
      </c>
      <c r="B280" s="1">
        <f>IFERROR(__xludf.DUMMYFUNCTION("""COMPUTED_VALUE"""),3160.0)</f>
        <v>3160</v>
      </c>
      <c r="C280" s="1">
        <f>IFERROR(__xludf.DUMMYFUNCTION("""COMPUTED_VALUE"""),3240.0)</f>
        <v>3240</v>
      </c>
      <c r="D280" s="1">
        <f>IFERROR(__xludf.DUMMYFUNCTION("""COMPUTED_VALUE"""),3160.0)</f>
        <v>3160</v>
      </c>
      <c r="E280" s="1">
        <f>IFERROR(__xludf.DUMMYFUNCTION("""COMPUTED_VALUE"""),3200.0)</f>
        <v>3200</v>
      </c>
      <c r="F280" s="1">
        <f>IFERROR(__xludf.DUMMYFUNCTION("""COMPUTED_VALUE"""),13970.0)</f>
        <v>13970</v>
      </c>
    </row>
    <row r="281">
      <c r="A281" s="2">
        <f>IFERROR(__xludf.DUMMYFUNCTION("""COMPUTED_VALUE"""),41320.645833333336)</f>
        <v>41320.64583</v>
      </c>
      <c r="B281" s="1">
        <f>IFERROR(__xludf.DUMMYFUNCTION("""COMPUTED_VALUE"""),3170.0)</f>
        <v>3170</v>
      </c>
      <c r="C281" s="1">
        <f>IFERROR(__xludf.DUMMYFUNCTION("""COMPUTED_VALUE"""),3235.0)</f>
        <v>3235</v>
      </c>
      <c r="D281" s="1">
        <f>IFERROR(__xludf.DUMMYFUNCTION("""COMPUTED_VALUE"""),3170.0)</f>
        <v>3170</v>
      </c>
      <c r="E281" s="1">
        <f>IFERROR(__xludf.DUMMYFUNCTION("""COMPUTED_VALUE"""),3215.0)</f>
        <v>3215</v>
      </c>
      <c r="F281" s="1">
        <f>IFERROR(__xludf.DUMMYFUNCTION("""COMPUTED_VALUE"""),2300.0)</f>
        <v>2300</v>
      </c>
    </row>
    <row r="282">
      <c r="A282" s="2">
        <f>IFERROR(__xludf.DUMMYFUNCTION("""COMPUTED_VALUE"""),41323.645833333336)</f>
        <v>41323.64583</v>
      </c>
      <c r="B282" s="1">
        <f>IFERROR(__xludf.DUMMYFUNCTION("""COMPUTED_VALUE"""),3225.0)</f>
        <v>3225</v>
      </c>
      <c r="C282" s="1">
        <f>IFERROR(__xludf.DUMMYFUNCTION("""COMPUTED_VALUE"""),3250.0)</f>
        <v>3250</v>
      </c>
      <c r="D282" s="1">
        <f>IFERROR(__xludf.DUMMYFUNCTION("""COMPUTED_VALUE"""),3210.0)</f>
        <v>3210</v>
      </c>
      <c r="E282" s="1">
        <f>IFERROR(__xludf.DUMMYFUNCTION("""COMPUTED_VALUE"""),3220.0)</f>
        <v>3220</v>
      </c>
      <c r="F282" s="1">
        <f>IFERROR(__xludf.DUMMYFUNCTION("""COMPUTED_VALUE"""),2665.0)</f>
        <v>2665</v>
      </c>
    </row>
    <row r="283">
      <c r="A283" s="2">
        <f>IFERROR(__xludf.DUMMYFUNCTION("""COMPUTED_VALUE"""),41324.645833333336)</f>
        <v>41324.64583</v>
      </c>
      <c r="B283" s="1">
        <f>IFERROR(__xludf.DUMMYFUNCTION("""COMPUTED_VALUE"""),3295.0)</f>
        <v>3295</v>
      </c>
      <c r="C283" s="1">
        <f>IFERROR(__xludf.DUMMYFUNCTION("""COMPUTED_VALUE"""),3300.0)</f>
        <v>3300</v>
      </c>
      <c r="D283" s="1">
        <f>IFERROR(__xludf.DUMMYFUNCTION("""COMPUTED_VALUE"""),3235.0)</f>
        <v>3235</v>
      </c>
      <c r="E283" s="1">
        <f>IFERROR(__xludf.DUMMYFUNCTION("""COMPUTED_VALUE"""),3250.0)</f>
        <v>3250</v>
      </c>
      <c r="F283" s="1">
        <f>IFERROR(__xludf.DUMMYFUNCTION("""COMPUTED_VALUE"""),9825.0)</f>
        <v>9825</v>
      </c>
    </row>
    <row r="284">
      <c r="A284" s="2">
        <f>IFERROR(__xludf.DUMMYFUNCTION("""COMPUTED_VALUE"""),41325.645833333336)</f>
        <v>41325.64583</v>
      </c>
      <c r="B284" s="1">
        <f>IFERROR(__xludf.DUMMYFUNCTION("""COMPUTED_VALUE"""),3280.0)</f>
        <v>3280</v>
      </c>
      <c r="C284" s="1">
        <f>IFERROR(__xludf.DUMMYFUNCTION("""COMPUTED_VALUE"""),3280.0)</f>
        <v>3280</v>
      </c>
      <c r="D284" s="1">
        <f>IFERROR(__xludf.DUMMYFUNCTION("""COMPUTED_VALUE"""),3255.0)</f>
        <v>3255</v>
      </c>
      <c r="E284" s="1">
        <f>IFERROR(__xludf.DUMMYFUNCTION("""COMPUTED_VALUE"""),3265.0)</f>
        <v>3265</v>
      </c>
      <c r="F284" s="1">
        <f>IFERROR(__xludf.DUMMYFUNCTION("""COMPUTED_VALUE"""),5880.0)</f>
        <v>5880</v>
      </c>
    </row>
    <row r="285">
      <c r="A285" s="2">
        <f>IFERROR(__xludf.DUMMYFUNCTION("""COMPUTED_VALUE"""),41326.645833333336)</f>
        <v>41326.64583</v>
      </c>
      <c r="B285" s="1">
        <f>IFERROR(__xludf.DUMMYFUNCTION("""COMPUTED_VALUE"""),3255.0)</f>
        <v>3255</v>
      </c>
      <c r="C285" s="1">
        <f>IFERROR(__xludf.DUMMYFUNCTION("""COMPUTED_VALUE"""),3275.0)</f>
        <v>3275</v>
      </c>
      <c r="D285" s="1">
        <f>IFERROR(__xludf.DUMMYFUNCTION("""COMPUTED_VALUE"""),3250.0)</f>
        <v>3250</v>
      </c>
      <c r="E285" s="1">
        <f>IFERROR(__xludf.DUMMYFUNCTION("""COMPUTED_VALUE"""),3255.0)</f>
        <v>3255</v>
      </c>
      <c r="F285" s="1">
        <f>IFERROR(__xludf.DUMMYFUNCTION("""COMPUTED_VALUE"""),2160.0)</f>
        <v>2160</v>
      </c>
    </row>
    <row r="286">
      <c r="A286" s="2">
        <f>IFERROR(__xludf.DUMMYFUNCTION("""COMPUTED_VALUE"""),41327.645833333336)</f>
        <v>41327.64583</v>
      </c>
      <c r="B286" s="1">
        <f>IFERROR(__xludf.DUMMYFUNCTION("""COMPUTED_VALUE"""),3230.0)</f>
        <v>3230</v>
      </c>
      <c r="C286" s="1">
        <f>IFERROR(__xludf.DUMMYFUNCTION("""COMPUTED_VALUE"""),3260.0)</f>
        <v>3260</v>
      </c>
      <c r="D286" s="1">
        <f>IFERROR(__xludf.DUMMYFUNCTION("""COMPUTED_VALUE"""),3210.0)</f>
        <v>3210</v>
      </c>
      <c r="E286" s="1">
        <f>IFERROR(__xludf.DUMMYFUNCTION("""COMPUTED_VALUE"""),3260.0)</f>
        <v>3260</v>
      </c>
      <c r="F286" s="1">
        <f>IFERROR(__xludf.DUMMYFUNCTION("""COMPUTED_VALUE"""),13020.0)</f>
        <v>13020</v>
      </c>
    </row>
    <row r="287">
      <c r="A287" s="2">
        <f>IFERROR(__xludf.DUMMYFUNCTION("""COMPUTED_VALUE"""),41330.645833333336)</f>
        <v>41330.64583</v>
      </c>
      <c r="B287" s="1">
        <f>IFERROR(__xludf.DUMMYFUNCTION("""COMPUTED_VALUE"""),3215.0)</f>
        <v>3215</v>
      </c>
      <c r="C287" s="1">
        <f>IFERROR(__xludf.DUMMYFUNCTION("""COMPUTED_VALUE"""),3275.0)</f>
        <v>3275</v>
      </c>
      <c r="D287" s="1">
        <f>IFERROR(__xludf.DUMMYFUNCTION("""COMPUTED_VALUE"""),3210.0)</f>
        <v>3210</v>
      </c>
      <c r="E287" s="1">
        <f>IFERROR(__xludf.DUMMYFUNCTION("""COMPUTED_VALUE"""),3215.0)</f>
        <v>3215</v>
      </c>
      <c r="F287" s="1">
        <f>IFERROR(__xludf.DUMMYFUNCTION("""COMPUTED_VALUE"""),19665.0)</f>
        <v>19665</v>
      </c>
    </row>
    <row r="288">
      <c r="A288" s="2">
        <f>IFERROR(__xludf.DUMMYFUNCTION("""COMPUTED_VALUE"""),41331.645833333336)</f>
        <v>41331.64583</v>
      </c>
      <c r="B288" s="1">
        <f>IFERROR(__xludf.DUMMYFUNCTION("""COMPUTED_VALUE"""),3230.0)</f>
        <v>3230</v>
      </c>
      <c r="C288" s="1">
        <f>IFERROR(__xludf.DUMMYFUNCTION("""COMPUTED_VALUE"""),3245.0)</f>
        <v>3245</v>
      </c>
      <c r="D288" s="1">
        <f>IFERROR(__xludf.DUMMYFUNCTION("""COMPUTED_VALUE"""),3190.0)</f>
        <v>3190</v>
      </c>
      <c r="E288" s="1">
        <f>IFERROR(__xludf.DUMMYFUNCTION("""COMPUTED_VALUE"""),3225.0)</f>
        <v>3225</v>
      </c>
      <c r="F288" s="1">
        <f>IFERROR(__xludf.DUMMYFUNCTION("""COMPUTED_VALUE"""),11927.0)</f>
        <v>11927</v>
      </c>
    </row>
    <row r="289">
      <c r="A289" s="2">
        <f>IFERROR(__xludf.DUMMYFUNCTION("""COMPUTED_VALUE"""),41332.645833333336)</f>
        <v>41332.64583</v>
      </c>
      <c r="B289" s="1">
        <f>IFERROR(__xludf.DUMMYFUNCTION("""COMPUTED_VALUE"""),3205.0)</f>
        <v>3205</v>
      </c>
      <c r="C289" s="1">
        <f>IFERROR(__xludf.DUMMYFUNCTION("""COMPUTED_VALUE"""),3260.0)</f>
        <v>3260</v>
      </c>
      <c r="D289" s="1">
        <f>IFERROR(__xludf.DUMMYFUNCTION("""COMPUTED_VALUE"""),3205.0)</f>
        <v>3205</v>
      </c>
      <c r="E289" s="1">
        <f>IFERROR(__xludf.DUMMYFUNCTION("""COMPUTED_VALUE"""),3260.0)</f>
        <v>3260</v>
      </c>
      <c r="F289" s="1">
        <f>IFERROR(__xludf.DUMMYFUNCTION("""COMPUTED_VALUE"""),15190.0)</f>
        <v>15190</v>
      </c>
    </row>
    <row r="290">
      <c r="A290" s="2">
        <f>IFERROR(__xludf.DUMMYFUNCTION("""COMPUTED_VALUE"""),41333.645833333336)</f>
        <v>41333.64583</v>
      </c>
      <c r="B290" s="1">
        <f>IFERROR(__xludf.DUMMYFUNCTION("""COMPUTED_VALUE"""),3260.0)</f>
        <v>3260</v>
      </c>
      <c r="C290" s="1">
        <f>IFERROR(__xludf.DUMMYFUNCTION("""COMPUTED_VALUE"""),3280.0)</f>
        <v>3280</v>
      </c>
      <c r="D290" s="1">
        <f>IFERROR(__xludf.DUMMYFUNCTION("""COMPUTED_VALUE"""),3240.0)</f>
        <v>3240</v>
      </c>
      <c r="E290" s="1">
        <f>IFERROR(__xludf.DUMMYFUNCTION("""COMPUTED_VALUE"""),3270.0)</f>
        <v>3270</v>
      </c>
      <c r="F290" s="1">
        <f>IFERROR(__xludf.DUMMYFUNCTION("""COMPUTED_VALUE"""),13460.0)</f>
        <v>13460</v>
      </c>
    </row>
    <row r="291">
      <c r="A291" s="2">
        <f>IFERROR(__xludf.DUMMYFUNCTION("""COMPUTED_VALUE"""),41337.645833333336)</f>
        <v>41337.64583</v>
      </c>
      <c r="B291" s="1">
        <f>IFERROR(__xludf.DUMMYFUNCTION("""COMPUTED_VALUE"""),3260.0)</f>
        <v>3260</v>
      </c>
      <c r="C291" s="1">
        <f>IFERROR(__xludf.DUMMYFUNCTION("""COMPUTED_VALUE"""),3275.0)</f>
        <v>3275</v>
      </c>
      <c r="D291" s="1">
        <f>IFERROR(__xludf.DUMMYFUNCTION("""COMPUTED_VALUE"""),3220.0)</f>
        <v>3220</v>
      </c>
      <c r="E291" s="1">
        <f>IFERROR(__xludf.DUMMYFUNCTION("""COMPUTED_VALUE"""),3265.0)</f>
        <v>3265</v>
      </c>
      <c r="F291" s="1">
        <f>IFERROR(__xludf.DUMMYFUNCTION("""COMPUTED_VALUE"""),12610.0)</f>
        <v>12610</v>
      </c>
    </row>
    <row r="292">
      <c r="A292" s="2">
        <f>IFERROR(__xludf.DUMMYFUNCTION("""COMPUTED_VALUE"""),41338.645833333336)</f>
        <v>41338.64583</v>
      </c>
      <c r="B292" s="1">
        <f>IFERROR(__xludf.DUMMYFUNCTION("""COMPUTED_VALUE"""),3265.0)</f>
        <v>3265</v>
      </c>
      <c r="C292" s="1">
        <f>IFERROR(__xludf.DUMMYFUNCTION("""COMPUTED_VALUE"""),3300.0)</f>
        <v>3300</v>
      </c>
      <c r="D292" s="1">
        <f>IFERROR(__xludf.DUMMYFUNCTION("""COMPUTED_VALUE"""),3230.0)</f>
        <v>3230</v>
      </c>
      <c r="E292" s="1">
        <f>IFERROR(__xludf.DUMMYFUNCTION("""COMPUTED_VALUE"""),3300.0)</f>
        <v>3300</v>
      </c>
      <c r="F292" s="1">
        <f>IFERROR(__xludf.DUMMYFUNCTION("""COMPUTED_VALUE"""),21796.0)</f>
        <v>21796</v>
      </c>
    </row>
    <row r="293">
      <c r="A293" s="2">
        <f>IFERROR(__xludf.DUMMYFUNCTION("""COMPUTED_VALUE"""),41339.645833333336)</f>
        <v>41339.64583</v>
      </c>
      <c r="B293" s="1">
        <f>IFERROR(__xludf.DUMMYFUNCTION("""COMPUTED_VALUE"""),3330.0)</f>
        <v>3330</v>
      </c>
      <c r="C293" s="1">
        <f>IFERROR(__xludf.DUMMYFUNCTION("""COMPUTED_VALUE"""),3350.0)</f>
        <v>3350</v>
      </c>
      <c r="D293" s="1">
        <f>IFERROR(__xludf.DUMMYFUNCTION("""COMPUTED_VALUE"""),3265.0)</f>
        <v>3265</v>
      </c>
      <c r="E293" s="1">
        <f>IFERROR(__xludf.DUMMYFUNCTION("""COMPUTED_VALUE"""),3285.0)</f>
        <v>3285</v>
      </c>
      <c r="F293" s="1">
        <f>IFERROR(__xludf.DUMMYFUNCTION("""COMPUTED_VALUE"""),14671.0)</f>
        <v>14671</v>
      </c>
    </row>
    <row r="294">
      <c r="A294" s="2">
        <f>IFERROR(__xludf.DUMMYFUNCTION("""COMPUTED_VALUE"""),41340.645833333336)</f>
        <v>41340.64583</v>
      </c>
      <c r="B294" s="1">
        <f>IFERROR(__xludf.DUMMYFUNCTION("""COMPUTED_VALUE"""),3320.0)</f>
        <v>3320</v>
      </c>
      <c r="C294" s="1">
        <f>IFERROR(__xludf.DUMMYFUNCTION("""COMPUTED_VALUE"""),3320.0)</f>
        <v>3320</v>
      </c>
      <c r="D294" s="1">
        <f>IFERROR(__xludf.DUMMYFUNCTION("""COMPUTED_VALUE"""),3200.0)</f>
        <v>3200</v>
      </c>
      <c r="E294" s="1">
        <f>IFERROR(__xludf.DUMMYFUNCTION("""COMPUTED_VALUE"""),3250.0)</f>
        <v>3250</v>
      </c>
      <c r="F294" s="1">
        <f>IFERROR(__xludf.DUMMYFUNCTION("""COMPUTED_VALUE"""),18358.0)</f>
        <v>18358</v>
      </c>
    </row>
    <row r="295">
      <c r="A295" s="2">
        <f>IFERROR(__xludf.DUMMYFUNCTION("""COMPUTED_VALUE"""),41341.645833333336)</f>
        <v>41341.64583</v>
      </c>
      <c r="B295" s="1">
        <f>IFERROR(__xludf.DUMMYFUNCTION("""COMPUTED_VALUE"""),3265.0)</f>
        <v>3265</v>
      </c>
      <c r="C295" s="1">
        <f>IFERROR(__xludf.DUMMYFUNCTION("""COMPUTED_VALUE"""),3320.0)</f>
        <v>3320</v>
      </c>
      <c r="D295" s="1">
        <f>IFERROR(__xludf.DUMMYFUNCTION("""COMPUTED_VALUE"""),3205.0)</f>
        <v>3205</v>
      </c>
      <c r="E295" s="1">
        <f>IFERROR(__xludf.DUMMYFUNCTION("""COMPUTED_VALUE"""),3315.0)</f>
        <v>3315</v>
      </c>
      <c r="F295" s="1">
        <f>IFERROR(__xludf.DUMMYFUNCTION("""COMPUTED_VALUE"""),21920.0)</f>
        <v>21920</v>
      </c>
    </row>
    <row r="296">
      <c r="A296" s="2">
        <f>IFERROR(__xludf.DUMMYFUNCTION("""COMPUTED_VALUE"""),41344.645833333336)</f>
        <v>41344.64583</v>
      </c>
      <c r="B296" s="1">
        <f>IFERROR(__xludf.DUMMYFUNCTION("""COMPUTED_VALUE"""),3285.0)</f>
        <v>3285</v>
      </c>
      <c r="C296" s="1">
        <f>IFERROR(__xludf.DUMMYFUNCTION("""COMPUTED_VALUE"""),3285.0)</f>
        <v>3285</v>
      </c>
      <c r="D296" s="1">
        <f>IFERROR(__xludf.DUMMYFUNCTION("""COMPUTED_VALUE"""),3225.0)</f>
        <v>3225</v>
      </c>
      <c r="E296" s="1">
        <f>IFERROR(__xludf.DUMMYFUNCTION("""COMPUTED_VALUE"""),3270.0)</f>
        <v>3270</v>
      </c>
      <c r="F296" s="1">
        <f>IFERROR(__xludf.DUMMYFUNCTION("""COMPUTED_VALUE"""),17050.0)</f>
        <v>17050</v>
      </c>
    </row>
    <row r="297">
      <c r="A297" s="2">
        <f>IFERROR(__xludf.DUMMYFUNCTION("""COMPUTED_VALUE"""),41345.645833333336)</f>
        <v>41345.64583</v>
      </c>
      <c r="B297" s="1">
        <f>IFERROR(__xludf.DUMMYFUNCTION("""COMPUTED_VALUE"""),3280.0)</f>
        <v>3280</v>
      </c>
      <c r="C297" s="1">
        <f>IFERROR(__xludf.DUMMYFUNCTION("""COMPUTED_VALUE"""),3280.0)</f>
        <v>3280</v>
      </c>
      <c r="D297" s="1">
        <f>IFERROR(__xludf.DUMMYFUNCTION("""COMPUTED_VALUE"""),3245.0)</f>
        <v>3245</v>
      </c>
      <c r="E297" s="1">
        <f>IFERROR(__xludf.DUMMYFUNCTION("""COMPUTED_VALUE"""),3265.0)</f>
        <v>3265</v>
      </c>
      <c r="F297" s="1">
        <f>IFERROR(__xludf.DUMMYFUNCTION("""COMPUTED_VALUE"""),3500.0)</f>
        <v>3500</v>
      </c>
    </row>
    <row r="298">
      <c r="A298" s="2">
        <f>IFERROR(__xludf.DUMMYFUNCTION("""COMPUTED_VALUE"""),41346.645833333336)</f>
        <v>41346.64583</v>
      </c>
      <c r="B298" s="1">
        <f>IFERROR(__xludf.DUMMYFUNCTION("""COMPUTED_VALUE"""),3280.0)</f>
        <v>3280</v>
      </c>
      <c r="C298" s="1">
        <f>IFERROR(__xludf.DUMMYFUNCTION("""COMPUTED_VALUE"""),3325.0)</f>
        <v>3325</v>
      </c>
      <c r="D298" s="1">
        <f>IFERROR(__xludf.DUMMYFUNCTION("""COMPUTED_VALUE"""),3250.0)</f>
        <v>3250</v>
      </c>
      <c r="E298" s="1">
        <f>IFERROR(__xludf.DUMMYFUNCTION("""COMPUTED_VALUE"""),3295.0)</f>
        <v>3295</v>
      </c>
      <c r="F298" s="1">
        <f>IFERROR(__xludf.DUMMYFUNCTION("""COMPUTED_VALUE"""),10271.0)</f>
        <v>10271</v>
      </c>
    </row>
    <row r="299">
      <c r="A299" s="2">
        <f>IFERROR(__xludf.DUMMYFUNCTION("""COMPUTED_VALUE"""),41347.645833333336)</f>
        <v>41347.64583</v>
      </c>
      <c r="B299" s="1">
        <f>IFERROR(__xludf.DUMMYFUNCTION("""COMPUTED_VALUE"""),3270.0)</f>
        <v>3270</v>
      </c>
      <c r="C299" s="1">
        <f>IFERROR(__xludf.DUMMYFUNCTION("""COMPUTED_VALUE"""),3325.0)</f>
        <v>3325</v>
      </c>
      <c r="D299" s="1">
        <f>IFERROR(__xludf.DUMMYFUNCTION("""COMPUTED_VALUE"""),3270.0)</f>
        <v>3270</v>
      </c>
      <c r="E299" s="1">
        <f>IFERROR(__xludf.DUMMYFUNCTION("""COMPUTED_VALUE"""),3320.0)</f>
        <v>3320</v>
      </c>
      <c r="F299" s="1">
        <f>IFERROR(__xludf.DUMMYFUNCTION("""COMPUTED_VALUE"""),25161.0)</f>
        <v>25161</v>
      </c>
    </row>
    <row r="300">
      <c r="A300" s="2">
        <f>IFERROR(__xludf.DUMMYFUNCTION("""COMPUTED_VALUE"""),41348.645833333336)</f>
        <v>41348.64583</v>
      </c>
      <c r="B300" s="1">
        <f>IFERROR(__xludf.DUMMYFUNCTION("""COMPUTED_VALUE"""),3320.0)</f>
        <v>3320</v>
      </c>
      <c r="C300" s="1">
        <f>IFERROR(__xludf.DUMMYFUNCTION("""COMPUTED_VALUE"""),3360.0)</f>
        <v>3360</v>
      </c>
      <c r="D300" s="1">
        <f>IFERROR(__xludf.DUMMYFUNCTION("""COMPUTED_VALUE"""),3305.0)</f>
        <v>3305</v>
      </c>
      <c r="E300" s="1">
        <f>IFERROR(__xludf.DUMMYFUNCTION("""COMPUTED_VALUE"""),3315.0)</f>
        <v>3315</v>
      </c>
      <c r="F300" s="1">
        <f>IFERROR(__xludf.DUMMYFUNCTION("""COMPUTED_VALUE"""),23070.0)</f>
        <v>23070</v>
      </c>
    </row>
    <row r="301">
      <c r="A301" s="2">
        <f>IFERROR(__xludf.DUMMYFUNCTION("""COMPUTED_VALUE"""),41351.645833333336)</f>
        <v>41351.64583</v>
      </c>
      <c r="B301" s="1">
        <f>IFERROR(__xludf.DUMMYFUNCTION("""COMPUTED_VALUE"""),3305.0)</f>
        <v>3305</v>
      </c>
      <c r="C301" s="1">
        <f>IFERROR(__xludf.DUMMYFUNCTION("""COMPUTED_VALUE"""),3315.0)</f>
        <v>3315</v>
      </c>
      <c r="D301" s="1">
        <f>IFERROR(__xludf.DUMMYFUNCTION("""COMPUTED_VALUE"""),3250.0)</f>
        <v>3250</v>
      </c>
      <c r="E301" s="1">
        <f>IFERROR(__xludf.DUMMYFUNCTION("""COMPUTED_VALUE"""),3270.0)</f>
        <v>3270</v>
      </c>
      <c r="F301" s="1">
        <f>IFERROR(__xludf.DUMMYFUNCTION("""COMPUTED_VALUE"""),16011.0)</f>
        <v>16011</v>
      </c>
    </row>
    <row r="302">
      <c r="A302" s="2">
        <f>IFERROR(__xludf.DUMMYFUNCTION("""COMPUTED_VALUE"""),41352.645833333336)</f>
        <v>41352.64583</v>
      </c>
      <c r="B302" s="1">
        <f>IFERROR(__xludf.DUMMYFUNCTION("""COMPUTED_VALUE"""),3270.0)</f>
        <v>3270</v>
      </c>
      <c r="C302" s="1">
        <f>IFERROR(__xludf.DUMMYFUNCTION("""COMPUTED_VALUE"""),3295.0)</f>
        <v>3295</v>
      </c>
      <c r="D302" s="1">
        <f>IFERROR(__xludf.DUMMYFUNCTION("""COMPUTED_VALUE"""),3235.0)</f>
        <v>3235</v>
      </c>
      <c r="E302" s="1">
        <f>IFERROR(__xludf.DUMMYFUNCTION("""COMPUTED_VALUE"""),3295.0)</f>
        <v>3295</v>
      </c>
      <c r="F302" s="1">
        <f>IFERROR(__xludf.DUMMYFUNCTION("""COMPUTED_VALUE"""),8962.0)</f>
        <v>8962</v>
      </c>
    </row>
    <row r="303">
      <c r="A303" s="2">
        <f>IFERROR(__xludf.DUMMYFUNCTION("""COMPUTED_VALUE"""),41353.645833333336)</f>
        <v>41353.64583</v>
      </c>
      <c r="B303" s="1">
        <f>IFERROR(__xludf.DUMMYFUNCTION("""COMPUTED_VALUE"""),3280.0)</f>
        <v>3280</v>
      </c>
      <c r="C303" s="1">
        <f>IFERROR(__xludf.DUMMYFUNCTION("""COMPUTED_VALUE"""),3320.0)</f>
        <v>3320</v>
      </c>
      <c r="D303" s="1">
        <f>IFERROR(__xludf.DUMMYFUNCTION("""COMPUTED_VALUE"""),3270.0)</f>
        <v>3270</v>
      </c>
      <c r="E303" s="1">
        <f>IFERROR(__xludf.DUMMYFUNCTION("""COMPUTED_VALUE"""),3305.0)</f>
        <v>3305</v>
      </c>
      <c r="F303" s="1">
        <f>IFERROR(__xludf.DUMMYFUNCTION("""COMPUTED_VALUE"""),13861.0)</f>
        <v>13861</v>
      </c>
    </row>
    <row r="304">
      <c r="A304" s="2">
        <f>IFERROR(__xludf.DUMMYFUNCTION("""COMPUTED_VALUE"""),41354.645833333336)</f>
        <v>41354.64583</v>
      </c>
      <c r="B304" s="1">
        <f>IFERROR(__xludf.DUMMYFUNCTION("""COMPUTED_VALUE"""),3320.0)</f>
        <v>3320</v>
      </c>
      <c r="C304" s="1">
        <f>IFERROR(__xludf.DUMMYFUNCTION("""COMPUTED_VALUE"""),3320.0)</f>
        <v>3320</v>
      </c>
      <c r="D304" s="1">
        <f>IFERROR(__xludf.DUMMYFUNCTION("""COMPUTED_VALUE"""),3285.0)</f>
        <v>3285</v>
      </c>
      <c r="E304" s="1">
        <f>IFERROR(__xludf.DUMMYFUNCTION("""COMPUTED_VALUE"""),3300.0)</f>
        <v>3300</v>
      </c>
      <c r="F304" s="1">
        <f>IFERROR(__xludf.DUMMYFUNCTION("""COMPUTED_VALUE"""),2870.0)</f>
        <v>2870</v>
      </c>
    </row>
    <row r="305">
      <c r="A305" s="2">
        <f>IFERROR(__xludf.DUMMYFUNCTION("""COMPUTED_VALUE"""),41355.645833333336)</f>
        <v>41355.64583</v>
      </c>
      <c r="B305" s="1">
        <f>IFERROR(__xludf.DUMMYFUNCTION("""COMPUTED_VALUE"""),3320.0)</f>
        <v>3320</v>
      </c>
      <c r="C305" s="1">
        <f>IFERROR(__xludf.DUMMYFUNCTION("""COMPUTED_VALUE"""),3350.0)</f>
        <v>3350</v>
      </c>
      <c r="D305" s="1">
        <f>IFERROR(__xludf.DUMMYFUNCTION("""COMPUTED_VALUE"""),3300.0)</f>
        <v>3300</v>
      </c>
      <c r="E305" s="1">
        <f>IFERROR(__xludf.DUMMYFUNCTION("""COMPUTED_VALUE"""),3300.0)</f>
        <v>3300</v>
      </c>
      <c r="F305" s="1">
        <f>IFERROR(__xludf.DUMMYFUNCTION("""COMPUTED_VALUE"""),17800.0)</f>
        <v>17800</v>
      </c>
    </row>
    <row r="306">
      <c r="A306" s="2">
        <f>IFERROR(__xludf.DUMMYFUNCTION("""COMPUTED_VALUE"""),41358.645833333336)</f>
        <v>41358.64583</v>
      </c>
      <c r="B306" s="1">
        <f>IFERROR(__xludf.DUMMYFUNCTION("""COMPUTED_VALUE"""),3305.0)</f>
        <v>3305</v>
      </c>
      <c r="C306" s="1">
        <f>IFERROR(__xludf.DUMMYFUNCTION("""COMPUTED_VALUE"""),3370.0)</f>
        <v>3370</v>
      </c>
      <c r="D306" s="1">
        <f>IFERROR(__xludf.DUMMYFUNCTION("""COMPUTED_VALUE"""),3305.0)</f>
        <v>3305</v>
      </c>
      <c r="E306" s="1">
        <f>IFERROR(__xludf.DUMMYFUNCTION("""COMPUTED_VALUE"""),3335.0)</f>
        <v>3335</v>
      </c>
      <c r="F306" s="1">
        <f>IFERROR(__xludf.DUMMYFUNCTION("""COMPUTED_VALUE"""),13040.0)</f>
        <v>13040</v>
      </c>
    </row>
    <row r="307">
      <c r="A307" s="2">
        <f>IFERROR(__xludf.DUMMYFUNCTION("""COMPUTED_VALUE"""),41359.645833333336)</f>
        <v>41359.64583</v>
      </c>
      <c r="B307" s="1">
        <f>IFERROR(__xludf.DUMMYFUNCTION("""COMPUTED_VALUE"""),3345.0)</f>
        <v>3345</v>
      </c>
      <c r="C307" s="1">
        <f>IFERROR(__xludf.DUMMYFUNCTION("""COMPUTED_VALUE"""),3345.0)</f>
        <v>3345</v>
      </c>
      <c r="D307" s="1">
        <f>IFERROR(__xludf.DUMMYFUNCTION("""COMPUTED_VALUE"""),3290.0)</f>
        <v>3290</v>
      </c>
      <c r="E307" s="1">
        <f>IFERROR(__xludf.DUMMYFUNCTION("""COMPUTED_VALUE"""),3315.0)</f>
        <v>3315</v>
      </c>
      <c r="F307" s="1">
        <f>IFERROR(__xludf.DUMMYFUNCTION("""COMPUTED_VALUE"""),28020.0)</f>
        <v>28020</v>
      </c>
    </row>
    <row r="308">
      <c r="A308" s="2">
        <f>IFERROR(__xludf.DUMMYFUNCTION("""COMPUTED_VALUE"""),41360.645833333336)</f>
        <v>41360.64583</v>
      </c>
      <c r="B308" s="1">
        <f>IFERROR(__xludf.DUMMYFUNCTION("""COMPUTED_VALUE"""),3315.0)</f>
        <v>3315</v>
      </c>
      <c r="C308" s="1">
        <f>IFERROR(__xludf.DUMMYFUNCTION("""COMPUTED_VALUE"""),3315.0)</f>
        <v>3315</v>
      </c>
      <c r="D308" s="1">
        <f>IFERROR(__xludf.DUMMYFUNCTION("""COMPUTED_VALUE"""),3290.0)</f>
        <v>3290</v>
      </c>
      <c r="E308" s="1">
        <f>IFERROR(__xludf.DUMMYFUNCTION("""COMPUTED_VALUE"""),3305.0)</f>
        <v>3305</v>
      </c>
      <c r="F308" s="1">
        <f>IFERROR(__xludf.DUMMYFUNCTION("""COMPUTED_VALUE"""),13384.0)</f>
        <v>13384</v>
      </c>
    </row>
    <row r="309">
      <c r="A309" s="2">
        <f>IFERROR(__xludf.DUMMYFUNCTION("""COMPUTED_VALUE"""),41361.645833333336)</f>
        <v>41361.64583</v>
      </c>
      <c r="B309" s="1">
        <f>IFERROR(__xludf.DUMMYFUNCTION("""COMPUTED_VALUE"""),3305.0)</f>
        <v>3305</v>
      </c>
      <c r="C309" s="1">
        <f>IFERROR(__xludf.DUMMYFUNCTION("""COMPUTED_VALUE"""),3350.0)</f>
        <v>3350</v>
      </c>
      <c r="D309" s="1">
        <f>IFERROR(__xludf.DUMMYFUNCTION("""COMPUTED_VALUE"""),3305.0)</f>
        <v>3305</v>
      </c>
      <c r="E309" s="1">
        <f>IFERROR(__xludf.DUMMYFUNCTION("""COMPUTED_VALUE"""),3340.0)</f>
        <v>3340</v>
      </c>
      <c r="F309" s="1">
        <f>IFERROR(__xludf.DUMMYFUNCTION("""COMPUTED_VALUE"""),6015.0)</f>
        <v>6015</v>
      </c>
    </row>
    <row r="310">
      <c r="A310" s="2">
        <f>IFERROR(__xludf.DUMMYFUNCTION("""COMPUTED_VALUE"""),41362.645833333336)</f>
        <v>41362.64583</v>
      </c>
      <c r="B310" s="1">
        <f>IFERROR(__xludf.DUMMYFUNCTION("""COMPUTED_VALUE"""),3360.0)</f>
        <v>3360</v>
      </c>
      <c r="C310" s="1">
        <f>IFERROR(__xludf.DUMMYFUNCTION("""COMPUTED_VALUE"""),3360.0)</f>
        <v>3360</v>
      </c>
      <c r="D310" s="1">
        <f>IFERROR(__xludf.DUMMYFUNCTION("""COMPUTED_VALUE"""),3315.0)</f>
        <v>3315</v>
      </c>
      <c r="E310" s="1">
        <f>IFERROR(__xludf.DUMMYFUNCTION("""COMPUTED_VALUE"""),3340.0)</f>
        <v>3340</v>
      </c>
      <c r="F310" s="1">
        <f>IFERROR(__xludf.DUMMYFUNCTION("""COMPUTED_VALUE"""),5685.0)</f>
        <v>5685</v>
      </c>
    </row>
    <row r="311">
      <c r="A311" s="2">
        <f>IFERROR(__xludf.DUMMYFUNCTION("""COMPUTED_VALUE"""),41365.645833333336)</f>
        <v>41365.64583</v>
      </c>
      <c r="B311" s="1">
        <f>IFERROR(__xludf.DUMMYFUNCTION("""COMPUTED_VALUE"""),3320.0)</f>
        <v>3320</v>
      </c>
      <c r="C311" s="1">
        <f>IFERROR(__xludf.DUMMYFUNCTION("""COMPUTED_VALUE"""),3345.0)</f>
        <v>3345</v>
      </c>
      <c r="D311" s="1">
        <f>IFERROR(__xludf.DUMMYFUNCTION("""COMPUTED_VALUE"""),3320.0)</f>
        <v>3320</v>
      </c>
      <c r="E311" s="1">
        <f>IFERROR(__xludf.DUMMYFUNCTION("""COMPUTED_VALUE"""),3330.0)</f>
        <v>3330</v>
      </c>
      <c r="F311" s="1">
        <f>IFERROR(__xludf.DUMMYFUNCTION("""COMPUTED_VALUE"""),5230.0)</f>
        <v>5230</v>
      </c>
    </row>
    <row r="312">
      <c r="A312" s="2">
        <f>IFERROR(__xludf.DUMMYFUNCTION("""COMPUTED_VALUE"""),41366.645833333336)</f>
        <v>41366.64583</v>
      </c>
      <c r="B312" s="1">
        <f>IFERROR(__xludf.DUMMYFUNCTION("""COMPUTED_VALUE"""),3340.0)</f>
        <v>3340</v>
      </c>
      <c r="C312" s="1">
        <f>IFERROR(__xludf.DUMMYFUNCTION("""COMPUTED_VALUE"""),3350.0)</f>
        <v>3350</v>
      </c>
      <c r="D312" s="1">
        <f>IFERROR(__xludf.DUMMYFUNCTION("""COMPUTED_VALUE"""),3315.0)</f>
        <v>3315</v>
      </c>
      <c r="E312" s="1">
        <f>IFERROR(__xludf.DUMMYFUNCTION("""COMPUTED_VALUE"""),3320.0)</f>
        <v>3320</v>
      </c>
      <c r="F312" s="1">
        <f>IFERROR(__xludf.DUMMYFUNCTION("""COMPUTED_VALUE"""),50430.0)</f>
        <v>50430</v>
      </c>
    </row>
    <row r="313">
      <c r="A313" s="2">
        <f>IFERROR(__xludf.DUMMYFUNCTION("""COMPUTED_VALUE"""),41367.645833333336)</f>
        <v>41367.64583</v>
      </c>
      <c r="B313" s="1">
        <f>IFERROR(__xludf.DUMMYFUNCTION("""COMPUTED_VALUE"""),3340.0)</f>
        <v>3340</v>
      </c>
      <c r="C313" s="1">
        <f>IFERROR(__xludf.DUMMYFUNCTION("""COMPUTED_VALUE"""),3400.0)</f>
        <v>3400</v>
      </c>
      <c r="D313" s="1">
        <f>IFERROR(__xludf.DUMMYFUNCTION("""COMPUTED_VALUE"""),3315.0)</f>
        <v>3315</v>
      </c>
      <c r="E313" s="1">
        <f>IFERROR(__xludf.DUMMYFUNCTION("""COMPUTED_VALUE"""),3315.0)</f>
        <v>3315</v>
      </c>
      <c r="F313" s="1">
        <f>IFERROR(__xludf.DUMMYFUNCTION("""COMPUTED_VALUE"""),33950.0)</f>
        <v>33950</v>
      </c>
    </row>
    <row r="314">
      <c r="A314" s="2">
        <f>IFERROR(__xludf.DUMMYFUNCTION("""COMPUTED_VALUE"""),41368.645833333336)</f>
        <v>41368.64583</v>
      </c>
      <c r="B314" s="1">
        <f>IFERROR(__xludf.DUMMYFUNCTION("""COMPUTED_VALUE"""),3315.0)</f>
        <v>3315</v>
      </c>
      <c r="C314" s="1">
        <f>IFERROR(__xludf.DUMMYFUNCTION("""COMPUTED_VALUE"""),3325.0)</f>
        <v>3325</v>
      </c>
      <c r="D314" s="1">
        <f>IFERROR(__xludf.DUMMYFUNCTION("""COMPUTED_VALUE"""),3285.0)</f>
        <v>3285</v>
      </c>
      <c r="E314" s="1">
        <f>IFERROR(__xludf.DUMMYFUNCTION("""COMPUTED_VALUE"""),3310.0)</f>
        <v>3310</v>
      </c>
      <c r="F314" s="1">
        <f>IFERROR(__xludf.DUMMYFUNCTION("""COMPUTED_VALUE"""),25390.0)</f>
        <v>25390</v>
      </c>
    </row>
    <row r="315">
      <c r="A315" s="2">
        <f>IFERROR(__xludf.DUMMYFUNCTION("""COMPUTED_VALUE"""),41369.645833333336)</f>
        <v>41369.64583</v>
      </c>
      <c r="B315" s="1">
        <f>IFERROR(__xludf.DUMMYFUNCTION("""COMPUTED_VALUE"""),3310.0)</f>
        <v>3310</v>
      </c>
      <c r="C315" s="1">
        <f>IFERROR(__xludf.DUMMYFUNCTION("""COMPUTED_VALUE"""),3345.0)</f>
        <v>3345</v>
      </c>
      <c r="D315" s="1">
        <f>IFERROR(__xludf.DUMMYFUNCTION("""COMPUTED_VALUE"""),3280.0)</f>
        <v>3280</v>
      </c>
      <c r="E315" s="1">
        <f>IFERROR(__xludf.DUMMYFUNCTION("""COMPUTED_VALUE"""),3285.0)</f>
        <v>3285</v>
      </c>
      <c r="F315" s="1">
        <f>IFERROR(__xludf.DUMMYFUNCTION("""COMPUTED_VALUE"""),11260.0)</f>
        <v>11260</v>
      </c>
    </row>
    <row r="316">
      <c r="A316" s="2">
        <f>IFERROR(__xludf.DUMMYFUNCTION("""COMPUTED_VALUE"""),41372.645833333336)</f>
        <v>41372.64583</v>
      </c>
      <c r="B316" s="1">
        <f>IFERROR(__xludf.DUMMYFUNCTION("""COMPUTED_VALUE"""),3285.0)</f>
        <v>3285</v>
      </c>
      <c r="C316" s="1">
        <f>IFERROR(__xludf.DUMMYFUNCTION("""COMPUTED_VALUE"""),3295.0)</f>
        <v>3295</v>
      </c>
      <c r="D316" s="1">
        <f>IFERROR(__xludf.DUMMYFUNCTION("""COMPUTED_VALUE"""),3270.0)</f>
        <v>3270</v>
      </c>
      <c r="E316" s="1">
        <f>IFERROR(__xludf.DUMMYFUNCTION("""COMPUTED_VALUE"""),3285.0)</f>
        <v>3285</v>
      </c>
      <c r="F316" s="1">
        <f>IFERROR(__xludf.DUMMYFUNCTION("""COMPUTED_VALUE"""),16410.0)</f>
        <v>16410</v>
      </c>
    </row>
    <row r="317">
      <c r="A317" s="2">
        <f>IFERROR(__xludf.DUMMYFUNCTION("""COMPUTED_VALUE"""),41373.645833333336)</f>
        <v>41373.64583</v>
      </c>
      <c r="B317" s="1">
        <f>IFERROR(__xludf.DUMMYFUNCTION("""COMPUTED_VALUE"""),3270.0)</f>
        <v>3270</v>
      </c>
      <c r="C317" s="1">
        <f>IFERROR(__xludf.DUMMYFUNCTION("""COMPUTED_VALUE"""),3285.0)</f>
        <v>3285</v>
      </c>
      <c r="D317" s="1">
        <f>IFERROR(__xludf.DUMMYFUNCTION("""COMPUTED_VALUE"""),3240.0)</f>
        <v>3240</v>
      </c>
      <c r="E317" s="1">
        <f>IFERROR(__xludf.DUMMYFUNCTION("""COMPUTED_VALUE"""),3270.0)</f>
        <v>3270</v>
      </c>
      <c r="F317" s="1">
        <f>IFERROR(__xludf.DUMMYFUNCTION("""COMPUTED_VALUE"""),14452.0)</f>
        <v>14452</v>
      </c>
    </row>
    <row r="318">
      <c r="A318" s="2">
        <f>IFERROR(__xludf.DUMMYFUNCTION("""COMPUTED_VALUE"""),41374.645833333336)</f>
        <v>41374.64583</v>
      </c>
      <c r="B318" s="1">
        <f>IFERROR(__xludf.DUMMYFUNCTION("""COMPUTED_VALUE"""),3255.0)</f>
        <v>3255</v>
      </c>
      <c r="C318" s="1">
        <f>IFERROR(__xludf.DUMMYFUNCTION("""COMPUTED_VALUE"""),3280.0)</f>
        <v>3280</v>
      </c>
      <c r="D318" s="1">
        <f>IFERROR(__xludf.DUMMYFUNCTION("""COMPUTED_VALUE"""),3250.0)</f>
        <v>3250</v>
      </c>
      <c r="E318" s="1">
        <f>IFERROR(__xludf.DUMMYFUNCTION("""COMPUTED_VALUE"""),3275.0)</f>
        <v>3275</v>
      </c>
      <c r="F318" s="1">
        <f>IFERROR(__xludf.DUMMYFUNCTION("""COMPUTED_VALUE"""),6450.0)</f>
        <v>6450</v>
      </c>
    </row>
    <row r="319">
      <c r="A319" s="2">
        <f>IFERROR(__xludf.DUMMYFUNCTION("""COMPUTED_VALUE"""),41375.645833333336)</f>
        <v>41375.64583</v>
      </c>
      <c r="B319" s="1">
        <f>IFERROR(__xludf.DUMMYFUNCTION("""COMPUTED_VALUE"""),3275.0)</f>
        <v>3275</v>
      </c>
      <c r="C319" s="1">
        <f>IFERROR(__xludf.DUMMYFUNCTION("""COMPUTED_VALUE"""),3305.0)</f>
        <v>3305</v>
      </c>
      <c r="D319" s="1">
        <f>IFERROR(__xludf.DUMMYFUNCTION("""COMPUTED_VALUE"""),3260.0)</f>
        <v>3260</v>
      </c>
      <c r="E319" s="1">
        <f>IFERROR(__xludf.DUMMYFUNCTION("""COMPUTED_VALUE"""),3305.0)</f>
        <v>3305</v>
      </c>
      <c r="F319" s="1">
        <f>IFERROR(__xludf.DUMMYFUNCTION("""COMPUTED_VALUE"""),5098.0)</f>
        <v>5098</v>
      </c>
    </row>
    <row r="320">
      <c r="A320" s="2">
        <f>IFERROR(__xludf.DUMMYFUNCTION("""COMPUTED_VALUE"""),41376.645833333336)</f>
        <v>41376.64583</v>
      </c>
      <c r="B320" s="1">
        <f>IFERROR(__xludf.DUMMYFUNCTION("""COMPUTED_VALUE"""),3305.0)</f>
        <v>3305</v>
      </c>
      <c r="C320" s="1">
        <f>IFERROR(__xludf.DUMMYFUNCTION("""COMPUTED_VALUE"""),3315.0)</f>
        <v>3315</v>
      </c>
      <c r="D320" s="1">
        <f>IFERROR(__xludf.DUMMYFUNCTION("""COMPUTED_VALUE"""),3270.0)</f>
        <v>3270</v>
      </c>
      <c r="E320" s="1">
        <f>IFERROR(__xludf.DUMMYFUNCTION("""COMPUTED_VALUE"""),3300.0)</f>
        <v>3300</v>
      </c>
      <c r="F320" s="1">
        <f>IFERROR(__xludf.DUMMYFUNCTION("""COMPUTED_VALUE"""),13815.0)</f>
        <v>13815</v>
      </c>
    </row>
    <row r="321">
      <c r="A321" s="2">
        <f>IFERROR(__xludf.DUMMYFUNCTION("""COMPUTED_VALUE"""),41379.645833333336)</f>
        <v>41379.64583</v>
      </c>
      <c r="B321" s="1">
        <f>IFERROR(__xludf.DUMMYFUNCTION("""COMPUTED_VALUE"""),3290.0)</f>
        <v>3290</v>
      </c>
      <c r="C321" s="1">
        <f>IFERROR(__xludf.DUMMYFUNCTION("""COMPUTED_VALUE"""),3310.0)</f>
        <v>3310</v>
      </c>
      <c r="D321" s="1">
        <f>IFERROR(__xludf.DUMMYFUNCTION("""COMPUTED_VALUE"""),3290.0)</f>
        <v>3290</v>
      </c>
      <c r="E321" s="1">
        <f>IFERROR(__xludf.DUMMYFUNCTION("""COMPUTED_VALUE"""),3295.0)</f>
        <v>3295</v>
      </c>
      <c r="F321" s="1">
        <f>IFERROR(__xludf.DUMMYFUNCTION("""COMPUTED_VALUE"""),11380.0)</f>
        <v>11380</v>
      </c>
    </row>
    <row r="322">
      <c r="A322" s="2">
        <f>IFERROR(__xludf.DUMMYFUNCTION("""COMPUTED_VALUE"""),41380.645833333336)</f>
        <v>41380.64583</v>
      </c>
      <c r="B322" s="1">
        <f>IFERROR(__xludf.DUMMYFUNCTION("""COMPUTED_VALUE"""),3270.0)</f>
        <v>3270</v>
      </c>
      <c r="C322" s="1">
        <f>IFERROR(__xludf.DUMMYFUNCTION("""COMPUTED_VALUE"""),3330.0)</f>
        <v>3330</v>
      </c>
      <c r="D322" s="1">
        <f>IFERROR(__xludf.DUMMYFUNCTION("""COMPUTED_VALUE"""),3265.0)</f>
        <v>3265</v>
      </c>
      <c r="E322" s="1">
        <f>IFERROR(__xludf.DUMMYFUNCTION("""COMPUTED_VALUE"""),3330.0)</f>
        <v>3330</v>
      </c>
      <c r="F322" s="1">
        <f>IFERROR(__xludf.DUMMYFUNCTION("""COMPUTED_VALUE"""),19620.0)</f>
        <v>19620</v>
      </c>
    </row>
    <row r="323">
      <c r="A323" s="2">
        <f>IFERROR(__xludf.DUMMYFUNCTION("""COMPUTED_VALUE"""),41381.645833333336)</f>
        <v>41381.64583</v>
      </c>
      <c r="B323" s="1">
        <f>IFERROR(__xludf.DUMMYFUNCTION("""COMPUTED_VALUE"""),3340.0)</f>
        <v>3340</v>
      </c>
      <c r="C323" s="1">
        <f>IFERROR(__xludf.DUMMYFUNCTION("""COMPUTED_VALUE"""),3410.0)</f>
        <v>3410</v>
      </c>
      <c r="D323" s="1">
        <f>IFERROR(__xludf.DUMMYFUNCTION("""COMPUTED_VALUE"""),3335.0)</f>
        <v>3335</v>
      </c>
      <c r="E323" s="1">
        <f>IFERROR(__xludf.DUMMYFUNCTION("""COMPUTED_VALUE"""),3400.0)</f>
        <v>3400</v>
      </c>
      <c r="F323" s="1">
        <f>IFERROR(__xludf.DUMMYFUNCTION("""COMPUTED_VALUE"""),38462.0)</f>
        <v>38462</v>
      </c>
    </row>
    <row r="324">
      <c r="A324" s="2">
        <f>IFERROR(__xludf.DUMMYFUNCTION("""COMPUTED_VALUE"""),41382.645833333336)</f>
        <v>41382.64583</v>
      </c>
      <c r="B324" s="1">
        <f>IFERROR(__xludf.DUMMYFUNCTION("""COMPUTED_VALUE"""),3435.0)</f>
        <v>3435</v>
      </c>
      <c r="C324" s="1">
        <f>IFERROR(__xludf.DUMMYFUNCTION("""COMPUTED_VALUE"""),3535.0)</f>
        <v>3535</v>
      </c>
      <c r="D324" s="1">
        <f>IFERROR(__xludf.DUMMYFUNCTION("""COMPUTED_VALUE"""),3400.0)</f>
        <v>3400</v>
      </c>
      <c r="E324" s="1">
        <f>IFERROR(__xludf.DUMMYFUNCTION("""COMPUTED_VALUE"""),3470.0)</f>
        <v>3470</v>
      </c>
      <c r="F324" s="1">
        <f>IFERROR(__xludf.DUMMYFUNCTION("""COMPUTED_VALUE"""),45002.0)</f>
        <v>45002</v>
      </c>
    </row>
    <row r="325">
      <c r="A325" s="2">
        <f>IFERROR(__xludf.DUMMYFUNCTION("""COMPUTED_VALUE"""),41383.645833333336)</f>
        <v>41383.64583</v>
      </c>
      <c r="B325" s="1">
        <f>IFERROR(__xludf.DUMMYFUNCTION("""COMPUTED_VALUE"""),3420.0)</f>
        <v>3420</v>
      </c>
      <c r="C325" s="1">
        <f>IFERROR(__xludf.DUMMYFUNCTION("""COMPUTED_VALUE"""),3470.0)</f>
        <v>3470</v>
      </c>
      <c r="D325" s="1">
        <f>IFERROR(__xludf.DUMMYFUNCTION("""COMPUTED_VALUE"""),3380.0)</f>
        <v>3380</v>
      </c>
      <c r="E325" s="1">
        <f>IFERROR(__xludf.DUMMYFUNCTION("""COMPUTED_VALUE"""),3470.0)</f>
        <v>3470</v>
      </c>
      <c r="F325" s="1">
        <f>IFERROR(__xludf.DUMMYFUNCTION("""COMPUTED_VALUE"""),21107.0)</f>
        <v>21107</v>
      </c>
    </row>
    <row r="326">
      <c r="A326" s="2">
        <f>IFERROR(__xludf.DUMMYFUNCTION("""COMPUTED_VALUE"""),41386.645833333336)</f>
        <v>41386.64583</v>
      </c>
      <c r="B326" s="1">
        <f>IFERROR(__xludf.DUMMYFUNCTION("""COMPUTED_VALUE"""),3470.0)</f>
        <v>3470</v>
      </c>
      <c r="C326" s="1">
        <f>IFERROR(__xludf.DUMMYFUNCTION("""COMPUTED_VALUE"""),3490.0)</f>
        <v>3490</v>
      </c>
      <c r="D326" s="1">
        <f>IFERROR(__xludf.DUMMYFUNCTION("""COMPUTED_VALUE"""),3410.0)</f>
        <v>3410</v>
      </c>
      <c r="E326" s="1">
        <f>IFERROR(__xludf.DUMMYFUNCTION("""COMPUTED_VALUE"""),3465.0)</f>
        <v>3465</v>
      </c>
      <c r="F326" s="1">
        <f>IFERROR(__xludf.DUMMYFUNCTION("""COMPUTED_VALUE"""),17581.0)</f>
        <v>17581</v>
      </c>
    </row>
    <row r="327">
      <c r="A327" s="2">
        <f>IFERROR(__xludf.DUMMYFUNCTION("""COMPUTED_VALUE"""),41387.645833333336)</f>
        <v>41387.64583</v>
      </c>
      <c r="B327" s="1">
        <f>IFERROR(__xludf.DUMMYFUNCTION("""COMPUTED_VALUE"""),3485.0)</f>
        <v>3485</v>
      </c>
      <c r="C327" s="1">
        <f>IFERROR(__xludf.DUMMYFUNCTION("""COMPUTED_VALUE"""),3485.0)</f>
        <v>3485</v>
      </c>
      <c r="D327" s="1">
        <f>IFERROR(__xludf.DUMMYFUNCTION("""COMPUTED_VALUE"""),3450.0)</f>
        <v>3450</v>
      </c>
      <c r="E327" s="1">
        <f>IFERROR(__xludf.DUMMYFUNCTION("""COMPUTED_VALUE"""),3460.0)</f>
        <v>3460</v>
      </c>
      <c r="F327" s="1">
        <f>IFERROR(__xludf.DUMMYFUNCTION("""COMPUTED_VALUE"""),2287.0)</f>
        <v>2287</v>
      </c>
    </row>
    <row r="328">
      <c r="A328" s="2">
        <f>IFERROR(__xludf.DUMMYFUNCTION("""COMPUTED_VALUE"""),41388.645833333336)</f>
        <v>41388.64583</v>
      </c>
      <c r="B328" s="1">
        <f>IFERROR(__xludf.DUMMYFUNCTION("""COMPUTED_VALUE"""),3430.0)</f>
        <v>3430</v>
      </c>
      <c r="C328" s="1">
        <f>IFERROR(__xludf.DUMMYFUNCTION("""COMPUTED_VALUE"""),3480.0)</f>
        <v>3480</v>
      </c>
      <c r="D328" s="1">
        <f>IFERROR(__xludf.DUMMYFUNCTION("""COMPUTED_VALUE"""),3410.0)</f>
        <v>3410</v>
      </c>
      <c r="E328" s="1">
        <f>IFERROR(__xludf.DUMMYFUNCTION("""COMPUTED_VALUE"""),3480.0)</f>
        <v>3480</v>
      </c>
      <c r="F328" s="1">
        <f>IFERROR(__xludf.DUMMYFUNCTION("""COMPUTED_VALUE"""),11591.0)</f>
        <v>11591</v>
      </c>
    </row>
    <row r="329">
      <c r="A329" s="2">
        <f>IFERROR(__xludf.DUMMYFUNCTION("""COMPUTED_VALUE"""),41389.645833333336)</f>
        <v>41389.64583</v>
      </c>
      <c r="B329" s="1">
        <f>IFERROR(__xludf.DUMMYFUNCTION("""COMPUTED_VALUE"""),3475.0)</f>
        <v>3475</v>
      </c>
      <c r="C329" s="1">
        <f>IFERROR(__xludf.DUMMYFUNCTION("""COMPUTED_VALUE"""),3495.0)</f>
        <v>3495</v>
      </c>
      <c r="D329" s="1">
        <f>IFERROR(__xludf.DUMMYFUNCTION("""COMPUTED_VALUE"""),3440.0)</f>
        <v>3440</v>
      </c>
      <c r="E329" s="1">
        <f>IFERROR(__xludf.DUMMYFUNCTION("""COMPUTED_VALUE"""),3490.0)</f>
        <v>3490</v>
      </c>
      <c r="F329" s="1">
        <f>IFERROR(__xludf.DUMMYFUNCTION("""COMPUTED_VALUE"""),8235.0)</f>
        <v>8235</v>
      </c>
    </row>
    <row r="330">
      <c r="A330" s="2">
        <f>IFERROR(__xludf.DUMMYFUNCTION("""COMPUTED_VALUE"""),41390.645833333336)</f>
        <v>41390.64583</v>
      </c>
      <c r="B330" s="1">
        <f>IFERROR(__xludf.DUMMYFUNCTION("""COMPUTED_VALUE"""),3500.0)</f>
        <v>3500</v>
      </c>
      <c r="C330" s="1">
        <f>IFERROR(__xludf.DUMMYFUNCTION("""COMPUTED_VALUE"""),3500.0)</f>
        <v>3500</v>
      </c>
      <c r="D330" s="1">
        <f>IFERROR(__xludf.DUMMYFUNCTION("""COMPUTED_VALUE"""),3455.0)</f>
        <v>3455</v>
      </c>
      <c r="E330" s="1">
        <f>IFERROR(__xludf.DUMMYFUNCTION("""COMPUTED_VALUE"""),3495.0)</f>
        <v>3495</v>
      </c>
      <c r="F330" s="1">
        <f>IFERROR(__xludf.DUMMYFUNCTION("""COMPUTED_VALUE"""),29380.0)</f>
        <v>29380</v>
      </c>
    </row>
    <row r="331">
      <c r="A331" s="2">
        <f>IFERROR(__xludf.DUMMYFUNCTION("""COMPUTED_VALUE"""),41393.645833333336)</f>
        <v>41393.64583</v>
      </c>
      <c r="B331" s="1">
        <f>IFERROR(__xludf.DUMMYFUNCTION("""COMPUTED_VALUE"""),3500.0)</f>
        <v>3500</v>
      </c>
      <c r="C331" s="1">
        <f>IFERROR(__xludf.DUMMYFUNCTION("""COMPUTED_VALUE"""),3520.0)</f>
        <v>3520</v>
      </c>
      <c r="D331" s="1">
        <f>IFERROR(__xludf.DUMMYFUNCTION("""COMPUTED_VALUE"""),3455.0)</f>
        <v>3455</v>
      </c>
      <c r="E331" s="1">
        <f>IFERROR(__xludf.DUMMYFUNCTION("""COMPUTED_VALUE"""),3465.0)</f>
        <v>3465</v>
      </c>
      <c r="F331" s="1">
        <f>IFERROR(__xludf.DUMMYFUNCTION("""COMPUTED_VALUE"""),22183.0)</f>
        <v>22183</v>
      </c>
    </row>
    <row r="332">
      <c r="A332" s="2">
        <f>IFERROR(__xludf.DUMMYFUNCTION("""COMPUTED_VALUE"""),41394.645833333336)</f>
        <v>41394.64583</v>
      </c>
      <c r="B332" s="1">
        <f>IFERROR(__xludf.DUMMYFUNCTION("""COMPUTED_VALUE"""),3490.0)</f>
        <v>3490</v>
      </c>
      <c r="C332" s="1">
        <f>IFERROR(__xludf.DUMMYFUNCTION("""COMPUTED_VALUE"""),3535.0)</f>
        <v>3535</v>
      </c>
      <c r="D332" s="1">
        <f>IFERROR(__xludf.DUMMYFUNCTION("""COMPUTED_VALUE"""),3490.0)</f>
        <v>3490</v>
      </c>
      <c r="E332" s="1">
        <f>IFERROR(__xludf.DUMMYFUNCTION("""COMPUTED_VALUE"""),3535.0)</f>
        <v>3535</v>
      </c>
      <c r="F332" s="1">
        <f>IFERROR(__xludf.DUMMYFUNCTION("""COMPUTED_VALUE"""),30132.0)</f>
        <v>30132</v>
      </c>
    </row>
    <row r="333">
      <c r="A333" s="2">
        <f>IFERROR(__xludf.DUMMYFUNCTION("""COMPUTED_VALUE"""),41396.645833333336)</f>
        <v>41396.64583</v>
      </c>
      <c r="B333" s="1">
        <f>IFERROR(__xludf.DUMMYFUNCTION("""COMPUTED_VALUE"""),3540.0)</f>
        <v>3540</v>
      </c>
      <c r="C333" s="1">
        <f>IFERROR(__xludf.DUMMYFUNCTION("""COMPUTED_VALUE"""),3640.0)</f>
        <v>3640</v>
      </c>
      <c r="D333" s="1">
        <f>IFERROR(__xludf.DUMMYFUNCTION("""COMPUTED_VALUE"""),3540.0)</f>
        <v>3540</v>
      </c>
      <c r="E333" s="1">
        <f>IFERROR(__xludf.DUMMYFUNCTION("""COMPUTED_VALUE"""),3640.0)</f>
        <v>3640</v>
      </c>
      <c r="F333" s="1">
        <f>IFERROR(__xludf.DUMMYFUNCTION("""COMPUTED_VALUE"""),43451.0)</f>
        <v>43451</v>
      </c>
    </row>
    <row r="334">
      <c r="A334" s="2">
        <f>IFERROR(__xludf.DUMMYFUNCTION("""COMPUTED_VALUE"""),41397.645833333336)</f>
        <v>41397.64583</v>
      </c>
      <c r="B334" s="1">
        <f>IFERROR(__xludf.DUMMYFUNCTION("""COMPUTED_VALUE"""),3630.0)</f>
        <v>3630</v>
      </c>
      <c r="C334" s="1">
        <f>IFERROR(__xludf.DUMMYFUNCTION("""COMPUTED_VALUE"""),3730.0)</f>
        <v>3730</v>
      </c>
      <c r="D334" s="1">
        <f>IFERROR(__xludf.DUMMYFUNCTION("""COMPUTED_VALUE"""),3580.0)</f>
        <v>3580</v>
      </c>
      <c r="E334" s="1">
        <f>IFERROR(__xludf.DUMMYFUNCTION("""COMPUTED_VALUE"""),3675.0)</f>
        <v>3675</v>
      </c>
      <c r="F334" s="1">
        <f>IFERROR(__xludf.DUMMYFUNCTION("""COMPUTED_VALUE"""),46839.0)</f>
        <v>46839</v>
      </c>
    </row>
    <row r="335">
      <c r="A335" s="2">
        <f>IFERROR(__xludf.DUMMYFUNCTION("""COMPUTED_VALUE"""),41400.645833333336)</f>
        <v>41400.64583</v>
      </c>
      <c r="B335" s="1">
        <f>IFERROR(__xludf.DUMMYFUNCTION("""COMPUTED_VALUE"""),3605.0)</f>
        <v>3605</v>
      </c>
      <c r="C335" s="1">
        <f>IFERROR(__xludf.DUMMYFUNCTION("""COMPUTED_VALUE"""),3700.0)</f>
        <v>3700</v>
      </c>
      <c r="D335" s="1">
        <f>IFERROR(__xludf.DUMMYFUNCTION("""COMPUTED_VALUE"""),3545.0)</f>
        <v>3545</v>
      </c>
      <c r="E335" s="1">
        <f>IFERROR(__xludf.DUMMYFUNCTION("""COMPUTED_VALUE"""),3615.0)</f>
        <v>3615</v>
      </c>
      <c r="F335" s="1">
        <f>IFERROR(__xludf.DUMMYFUNCTION("""COMPUTED_VALUE"""),30820.0)</f>
        <v>30820</v>
      </c>
    </row>
    <row r="336">
      <c r="A336" s="2">
        <f>IFERROR(__xludf.DUMMYFUNCTION("""COMPUTED_VALUE"""),41401.645833333336)</f>
        <v>41401.64583</v>
      </c>
      <c r="B336" s="1">
        <f>IFERROR(__xludf.DUMMYFUNCTION("""COMPUTED_VALUE"""),3630.0)</f>
        <v>3630</v>
      </c>
      <c r="C336" s="1">
        <f>IFERROR(__xludf.DUMMYFUNCTION("""COMPUTED_VALUE"""),3740.0)</f>
        <v>3740</v>
      </c>
      <c r="D336" s="1">
        <f>IFERROR(__xludf.DUMMYFUNCTION("""COMPUTED_VALUE"""),3630.0)</f>
        <v>3630</v>
      </c>
      <c r="E336" s="1">
        <f>IFERROR(__xludf.DUMMYFUNCTION("""COMPUTED_VALUE"""),3675.0)</f>
        <v>3675</v>
      </c>
      <c r="F336" s="1">
        <f>IFERROR(__xludf.DUMMYFUNCTION("""COMPUTED_VALUE"""),23302.0)</f>
        <v>23302</v>
      </c>
    </row>
    <row r="337">
      <c r="A337" s="2">
        <f>IFERROR(__xludf.DUMMYFUNCTION("""COMPUTED_VALUE"""),41402.645833333336)</f>
        <v>41402.64583</v>
      </c>
      <c r="B337" s="1">
        <f>IFERROR(__xludf.DUMMYFUNCTION("""COMPUTED_VALUE"""),3675.0)</f>
        <v>3675</v>
      </c>
      <c r="C337" s="1">
        <f>IFERROR(__xludf.DUMMYFUNCTION("""COMPUTED_VALUE"""),3720.0)</f>
        <v>3720</v>
      </c>
      <c r="D337" s="1">
        <f>IFERROR(__xludf.DUMMYFUNCTION("""COMPUTED_VALUE"""),3625.0)</f>
        <v>3625</v>
      </c>
      <c r="E337" s="1">
        <f>IFERROR(__xludf.DUMMYFUNCTION("""COMPUTED_VALUE"""),3695.0)</f>
        <v>3695</v>
      </c>
      <c r="F337" s="1">
        <f>IFERROR(__xludf.DUMMYFUNCTION("""COMPUTED_VALUE"""),23063.0)</f>
        <v>23063</v>
      </c>
    </row>
    <row r="338">
      <c r="A338" s="2">
        <f>IFERROR(__xludf.DUMMYFUNCTION("""COMPUTED_VALUE"""),41403.645833333336)</f>
        <v>41403.64583</v>
      </c>
      <c r="B338" s="1">
        <f>IFERROR(__xludf.DUMMYFUNCTION("""COMPUTED_VALUE"""),3705.0)</f>
        <v>3705</v>
      </c>
      <c r="C338" s="1">
        <f>IFERROR(__xludf.DUMMYFUNCTION("""COMPUTED_VALUE"""),3725.0)</f>
        <v>3725</v>
      </c>
      <c r="D338" s="1">
        <f>IFERROR(__xludf.DUMMYFUNCTION("""COMPUTED_VALUE"""),3700.0)</f>
        <v>3700</v>
      </c>
      <c r="E338" s="1">
        <f>IFERROR(__xludf.DUMMYFUNCTION("""COMPUTED_VALUE"""),3700.0)</f>
        <v>3700</v>
      </c>
      <c r="F338" s="1">
        <f>IFERROR(__xludf.DUMMYFUNCTION("""COMPUTED_VALUE"""),10599.0)</f>
        <v>10599</v>
      </c>
    </row>
    <row r="339">
      <c r="A339" s="2">
        <f>IFERROR(__xludf.DUMMYFUNCTION("""COMPUTED_VALUE"""),41404.645833333336)</f>
        <v>41404.64583</v>
      </c>
      <c r="B339" s="1">
        <f>IFERROR(__xludf.DUMMYFUNCTION("""COMPUTED_VALUE"""),3650.0)</f>
        <v>3650</v>
      </c>
      <c r="C339" s="1">
        <f>IFERROR(__xludf.DUMMYFUNCTION("""COMPUTED_VALUE"""),3700.0)</f>
        <v>3700</v>
      </c>
      <c r="D339" s="1">
        <f>IFERROR(__xludf.DUMMYFUNCTION("""COMPUTED_VALUE"""),3650.0)</f>
        <v>3650</v>
      </c>
      <c r="E339" s="1">
        <f>IFERROR(__xludf.DUMMYFUNCTION("""COMPUTED_VALUE"""),3680.0)</f>
        <v>3680</v>
      </c>
      <c r="F339" s="1">
        <f>IFERROR(__xludf.DUMMYFUNCTION("""COMPUTED_VALUE"""),11967.0)</f>
        <v>11967</v>
      </c>
    </row>
    <row r="340">
      <c r="A340" s="2">
        <f>IFERROR(__xludf.DUMMYFUNCTION("""COMPUTED_VALUE"""),41407.645833333336)</f>
        <v>41407.64583</v>
      </c>
      <c r="B340" s="1">
        <f>IFERROR(__xludf.DUMMYFUNCTION("""COMPUTED_VALUE"""),3680.0)</f>
        <v>3680</v>
      </c>
      <c r="C340" s="1">
        <f>IFERROR(__xludf.DUMMYFUNCTION("""COMPUTED_VALUE"""),3780.0)</f>
        <v>3780</v>
      </c>
      <c r="D340" s="1">
        <f>IFERROR(__xludf.DUMMYFUNCTION("""COMPUTED_VALUE"""),3650.0)</f>
        <v>3650</v>
      </c>
      <c r="E340" s="1">
        <f>IFERROR(__xludf.DUMMYFUNCTION("""COMPUTED_VALUE"""),3740.0)</f>
        <v>3740</v>
      </c>
      <c r="F340" s="1">
        <f>IFERROR(__xludf.DUMMYFUNCTION("""COMPUTED_VALUE"""),23622.0)</f>
        <v>23622</v>
      </c>
    </row>
    <row r="341">
      <c r="A341" s="2">
        <f>IFERROR(__xludf.DUMMYFUNCTION("""COMPUTED_VALUE"""),41408.645833333336)</f>
        <v>41408.64583</v>
      </c>
      <c r="B341" s="1">
        <f>IFERROR(__xludf.DUMMYFUNCTION("""COMPUTED_VALUE"""),3740.0)</f>
        <v>3740</v>
      </c>
      <c r="C341" s="1">
        <f>IFERROR(__xludf.DUMMYFUNCTION("""COMPUTED_VALUE"""),3770.0)</f>
        <v>3770</v>
      </c>
      <c r="D341" s="1">
        <f>IFERROR(__xludf.DUMMYFUNCTION("""COMPUTED_VALUE"""),3695.0)</f>
        <v>3695</v>
      </c>
      <c r="E341" s="1">
        <f>IFERROR(__xludf.DUMMYFUNCTION("""COMPUTED_VALUE"""),3700.0)</f>
        <v>3700</v>
      </c>
      <c r="F341" s="1">
        <f>IFERROR(__xludf.DUMMYFUNCTION("""COMPUTED_VALUE"""),24150.0)</f>
        <v>24150</v>
      </c>
    </row>
    <row r="342">
      <c r="A342" s="2">
        <f>IFERROR(__xludf.DUMMYFUNCTION("""COMPUTED_VALUE"""),41409.645833333336)</f>
        <v>41409.64583</v>
      </c>
      <c r="B342" s="1">
        <f>IFERROR(__xludf.DUMMYFUNCTION("""COMPUTED_VALUE"""),3750.0)</f>
        <v>3750</v>
      </c>
      <c r="C342" s="1">
        <f>IFERROR(__xludf.DUMMYFUNCTION("""COMPUTED_VALUE"""),3750.0)</f>
        <v>3750</v>
      </c>
      <c r="D342" s="1">
        <f>IFERROR(__xludf.DUMMYFUNCTION("""COMPUTED_VALUE"""),3680.0)</f>
        <v>3680</v>
      </c>
      <c r="E342" s="1">
        <f>IFERROR(__xludf.DUMMYFUNCTION("""COMPUTED_VALUE"""),3710.0)</f>
        <v>3710</v>
      </c>
      <c r="F342" s="1">
        <f>IFERROR(__xludf.DUMMYFUNCTION("""COMPUTED_VALUE"""),5540.0)</f>
        <v>5540</v>
      </c>
    </row>
    <row r="343">
      <c r="A343" s="2">
        <f>IFERROR(__xludf.DUMMYFUNCTION("""COMPUTED_VALUE"""),41410.645833333336)</f>
        <v>41410.64583</v>
      </c>
      <c r="B343" s="1">
        <f>IFERROR(__xludf.DUMMYFUNCTION("""COMPUTED_VALUE"""),3710.0)</f>
        <v>3710</v>
      </c>
      <c r="C343" s="1">
        <f>IFERROR(__xludf.DUMMYFUNCTION("""COMPUTED_VALUE"""),3745.0)</f>
        <v>3745</v>
      </c>
      <c r="D343" s="1">
        <f>IFERROR(__xludf.DUMMYFUNCTION("""COMPUTED_VALUE"""),3680.0)</f>
        <v>3680</v>
      </c>
      <c r="E343" s="1">
        <f>IFERROR(__xludf.DUMMYFUNCTION("""COMPUTED_VALUE"""),3720.0)</f>
        <v>3720</v>
      </c>
      <c r="F343" s="1">
        <f>IFERROR(__xludf.DUMMYFUNCTION("""COMPUTED_VALUE"""),17401.0)</f>
        <v>17401</v>
      </c>
    </row>
    <row r="344">
      <c r="A344" s="2">
        <f>IFERROR(__xludf.DUMMYFUNCTION("""COMPUTED_VALUE"""),41414.645833333336)</f>
        <v>41414.64583</v>
      </c>
      <c r="B344" s="1">
        <f>IFERROR(__xludf.DUMMYFUNCTION("""COMPUTED_VALUE"""),3735.0)</f>
        <v>3735</v>
      </c>
      <c r="C344" s="1">
        <f>IFERROR(__xludf.DUMMYFUNCTION("""COMPUTED_VALUE"""),3735.0)</f>
        <v>3735</v>
      </c>
      <c r="D344" s="1">
        <f>IFERROR(__xludf.DUMMYFUNCTION("""COMPUTED_VALUE"""),3680.0)</f>
        <v>3680</v>
      </c>
      <c r="E344" s="1">
        <f>IFERROR(__xludf.DUMMYFUNCTION("""COMPUTED_VALUE"""),3720.0)</f>
        <v>3720</v>
      </c>
      <c r="F344" s="1">
        <f>IFERROR(__xludf.DUMMYFUNCTION("""COMPUTED_VALUE"""),19386.0)</f>
        <v>19386</v>
      </c>
    </row>
    <row r="345">
      <c r="A345" s="2">
        <f>IFERROR(__xludf.DUMMYFUNCTION("""COMPUTED_VALUE"""),41415.645833333336)</f>
        <v>41415.64583</v>
      </c>
      <c r="B345" s="1">
        <f>IFERROR(__xludf.DUMMYFUNCTION("""COMPUTED_VALUE"""),3700.0)</f>
        <v>3700</v>
      </c>
      <c r="C345" s="1">
        <f>IFERROR(__xludf.DUMMYFUNCTION("""COMPUTED_VALUE"""),3740.0)</f>
        <v>3740</v>
      </c>
      <c r="D345" s="1">
        <f>IFERROR(__xludf.DUMMYFUNCTION("""COMPUTED_VALUE"""),3680.0)</f>
        <v>3680</v>
      </c>
      <c r="E345" s="1">
        <f>IFERROR(__xludf.DUMMYFUNCTION("""COMPUTED_VALUE"""),3700.0)</f>
        <v>3700</v>
      </c>
      <c r="F345" s="1">
        <f>IFERROR(__xludf.DUMMYFUNCTION("""COMPUTED_VALUE"""),40990.0)</f>
        <v>40990</v>
      </c>
    </row>
    <row r="346">
      <c r="A346" s="2">
        <f>IFERROR(__xludf.DUMMYFUNCTION("""COMPUTED_VALUE"""),41416.645833333336)</f>
        <v>41416.64583</v>
      </c>
      <c r="B346" s="1">
        <f>IFERROR(__xludf.DUMMYFUNCTION("""COMPUTED_VALUE"""),3700.0)</f>
        <v>3700</v>
      </c>
      <c r="C346" s="1">
        <f>IFERROR(__xludf.DUMMYFUNCTION("""COMPUTED_VALUE"""),3730.0)</f>
        <v>3730</v>
      </c>
      <c r="D346" s="1">
        <f>IFERROR(__xludf.DUMMYFUNCTION("""COMPUTED_VALUE"""),3690.0)</f>
        <v>3690</v>
      </c>
      <c r="E346" s="1">
        <f>IFERROR(__xludf.DUMMYFUNCTION("""COMPUTED_VALUE"""),3700.0)</f>
        <v>3700</v>
      </c>
      <c r="F346" s="1">
        <f>IFERROR(__xludf.DUMMYFUNCTION("""COMPUTED_VALUE"""),14821.0)</f>
        <v>14821</v>
      </c>
    </row>
    <row r="347">
      <c r="A347" s="2">
        <f>IFERROR(__xludf.DUMMYFUNCTION("""COMPUTED_VALUE"""),41417.645833333336)</f>
        <v>41417.64583</v>
      </c>
      <c r="B347" s="1">
        <f>IFERROR(__xludf.DUMMYFUNCTION("""COMPUTED_VALUE"""),3705.0)</f>
        <v>3705</v>
      </c>
      <c r="C347" s="1">
        <f>IFERROR(__xludf.DUMMYFUNCTION("""COMPUTED_VALUE"""),3745.0)</f>
        <v>3745</v>
      </c>
      <c r="D347" s="1">
        <f>IFERROR(__xludf.DUMMYFUNCTION("""COMPUTED_VALUE"""),3705.0)</f>
        <v>3705</v>
      </c>
      <c r="E347" s="1">
        <f>IFERROR(__xludf.DUMMYFUNCTION("""COMPUTED_VALUE"""),3715.0)</f>
        <v>3715</v>
      </c>
      <c r="F347" s="1">
        <f>IFERROR(__xludf.DUMMYFUNCTION("""COMPUTED_VALUE"""),13244.0)</f>
        <v>13244</v>
      </c>
    </row>
    <row r="348">
      <c r="A348" s="2">
        <f>IFERROR(__xludf.DUMMYFUNCTION("""COMPUTED_VALUE"""),41418.645833333336)</f>
        <v>41418.64583</v>
      </c>
      <c r="B348" s="1">
        <f>IFERROR(__xludf.DUMMYFUNCTION("""COMPUTED_VALUE"""),3720.0)</f>
        <v>3720</v>
      </c>
      <c r="C348" s="1">
        <f>IFERROR(__xludf.DUMMYFUNCTION("""COMPUTED_VALUE"""),3775.0)</f>
        <v>3775</v>
      </c>
      <c r="D348" s="1">
        <f>IFERROR(__xludf.DUMMYFUNCTION("""COMPUTED_VALUE"""),3720.0)</f>
        <v>3720</v>
      </c>
      <c r="E348" s="1">
        <f>IFERROR(__xludf.DUMMYFUNCTION("""COMPUTED_VALUE"""),3750.0)</f>
        <v>3750</v>
      </c>
      <c r="F348" s="1">
        <f>IFERROR(__xludf.DUMMYFUNCTION("""COMPUTED_VALUE"""),17723.0)</f>
        <v>17723</v>
      </c>
    </row>
    <row r="349">
      <c r="A349" s="2">
        <f>IFERROR(__xludf.DUMMYFUNCTION("""COMPUTED_VALUE"""),41421.645833333336)</f>
        <v>41421.64583</v>
      </c>
      <c r="B349" s="1">
        <f>IFERROR(__xludf.DUMMYFUNCTION("""COMPUTED_VALUE"""),3780.0)</f>
        <v>3780</v>
      </c>
      <c r="C349" s="1">
        <f>IFERROR(__xludf.DUMMYFUNCTION("""COMPUTED_VALUE"""),3780.0)</f>
        <v>3780</v>
      </c>
      <c r="D349" s="1">
        <f>IFERROR(__xludf.DUMMYFUNCTION("""COMPUTED_VALUE"""),3715.0)</f>
        <v>3715</v>
      </c>
      <c r="E349" s="1">
        <f>IFERROR(__xludf.DUMMYFUNCTION("""COMPUTED_VALUE"""),3725.0)</f>
        <v>3725</v>
      </c>
      <c r="F349" s="1">
        <f>IFERROR(__xludf.DUMMYFUNCTION("""COMPUTED_VALUE"""),11670.0)</f>
        <v>11670</v>
      </c>
    </row>
    <row r="350">
      <c r="A350" s="2">
        <f>IFERROR(__xludf.DUMMYFUNCTION("""COMPUTED_VALUE"""),41422.645833333336)</f>
        <v>41422.64583</v>
      </c>
      <c r="B350" s="1">
        <f>IFERROR(__xludf.DUMMYFUNCTION("""COMPUTED_VALUE"""),3725.0)</f>
        <v>3725</v>
      </c>
      <c r="C350" s="1">
        <f>IFERROR(__xludf.DUMMYFUNCTION("""COMPUTED_VALUE"""),3725.0)</f>
        <v>3725</v>
      </c>
      <c r="D350" s="1">
        <f>IFERROR(__xludf.DUMMYFUNCTION("""COMPUTED_VALUE"""),3675.0)</f>
        <v>3675</v>
      </c>
      <c r="E350" s="1">
        <f>IFERROR(__xludf.DUMMYFUNCTION("""COMPUTED_VALUE"""),3715.0)</f>
        <v>3715</v>
      </c>
      <c r="F350" s="1">
        <f>IFERROR(__xludf.DUMMYFUNCTION("""COMPUTED_VALUE"""),11030.0)</f>
        <v>11030</v>
      </c>
    </row>
    <row r="351">
      <c r="A351" s="2">
        <f>IFERROR(__xludf.DUMMYFUNCTION("""COMPUTED_VALUE"""),41423.645833333336)</f>
        <v>41423.64583</v>
      </c>
      <c r="B351" s="1">
        <f>IFERROR(__xludf.DUMMYFUNCTION("""COMPUTED_VALUE"""),3665.0)</f>
        <v>3665</v>
      </c>
      <c r="C351" s="1">
        <f>IFERROR(__xludf.DUMMYFUNCTION("""COMPUTED_VALUE"""),3720.0)</f>
        <v>3720</v>
      </c>
      <c r="D351" s="1">
        <f>IFERROR(__xludf.DUMMYFUNCTION("""COMPUTED_VALUE"""),3665.0)</f>
        <v>3665</v>
      </c>
      <c r="E351" s="1">
        <f>IFERROR(__xludf.DUMMYFUNCTION("""COMPUTED_VALUE"""),3690.0)</f>
        <v>3690</v>
      </c>
      <c r="F351" s="1">
        <f>IFERROR(__xludf.DUMMYFUNCTION("""COMPUTED_VALUE"""),6580.0)</f>
        <v>6580</v>
      </c>
    </row>
    <row r="352">
      <c r="A352" s="2">
        <f>IFERROR(__xludf.DUMMYFUNCTION("""COMPUTED_VALUE"""),41424.645833333336)</f>
        <v>41424.64583</v>
      </c>
      <c r="B352" s="1">
        <f>IFERROR(__xludf.DUMMYFUNCTION("""COMPUTED_VALUE"""),3690.0)</f>
        <v>3690</v>
      </c>
      <c r="C352" s="1">
        <f>IFERROR(__xludf.DUMMYFUNCTION("""COMPUTED_VALUE"""),3785.0)</f>
        <v>3785</v>
      </c>
      <c r="D352" s="1">
        <f>IFERROR(__xludf.DUMMYFUNCTION("""COMPUTED_VALUE"""),3690.0)</f>
        <v>3690</v>
      </c>
      <c r="E352" s="1">
        <f>IFERROR(__xludf.DUMMYFUNCTION("""COMPUTED_VALUE"""),3755.0)</f>
        <v>3755</v>
      </c>
      <c r="F352" s="1">
        <f>IFERROR(__xludf.DUMMYFUNCTION("""COMPUTED_VALUE"""),20960.0)</f>
        <v>20960</v>
      </c>
    </row>
    <row r="353">
      <c r="A353" s="2">
        <f>IFERROR(__xludf.DUMMYFUNCTION("""COMPUTED_VALUE"""),41425.645833333336)</f>
        <v>41425.64583</v>
      </c>
      <c r="B353" s="1">
        <f>IFERROR(__xludf.DUMMYFUNCTION("""COMPUTED_VALUE"""),3755.0)</f>
        <v>3755</v>
      </c>
      <c r="C353" s="1">
        <f>IFERROR(__xludf.DUMMYFUNCTION("""COMPUTED_VALUE"""),3755.0)</f>
        <v>3755</v>
      </c>
      <c r="D353" s="1">
        <f>IFERROR(__xludf.DUMMYFUNCTION("""COMPUTED_VALUE"""),3680.0)</f>
        <v>3680</v>
      </c>
      <c r="E353" s="1">
        <f>IFERROR(__xludf.DUMMYFUNCTION("""COMPUTED_VALUE"""),3700.0)</f>
        <v>3700</v>
      </c>
      <c r="F353" s="1">
        <f>IFERROR(__xludf.DUMMYFUNCTION("""COMPUTED_VALUE"""),20190.0)</f>
        <v>20190</v>
      </c>
    </row>
    <row r="354">
      <c r="A354" s="2">
        <f>IFERROR(__xludf.DUMMYFUNCTION("""COMPUTED_VALUE"""),41428.645833333336)</f>
        <v>41428.64583</v>
      </c>
      <c r="B354" s="1">
        <f>IFERROR(__xludf.DUMMYFUNCTION("""COMPUTED_VALUE"""),3725.0)</f>
        <v>3725</v>
      </c>
      <c r="C354" s="1">
        <f>IFERROR(__xludf.DUMMYFUNCTION("""COMPUTED_VALUE"""),3800.0)</f>
        <v>3800</v>
      </c>
      <c r="D354" s="1">
        <f>IFERROR(__xludf.DUMMYFUNCTION("""COMPUTED_VALUE"""),3715.0)</f>
        <v>3715</v>
      </c>
      <c r="E354" s="1">
        <f>IFERROR(__xludf.DUMMYFUNCTION("""COMPUTED_VALUE"""),3755.0)</f>
        <v>3755</v>
      </c>
      <c r="F354" s="1">
        <f>IFERROR(__xludf.DUMMYFUNCTION("""COMPUTED_VALUE"""),17660.0)</f>
        <v>17660</v>
      </c>
    </row>
    <row r="355">
      <c r="A355" s="2">
        <f>IFERROR(__xludf.DUMMYFUNCTION("""COMPUTED_VALUE"""),41429.645833333336)</f>
        <v>41429.64583</v>
      </c>
      <c r="B355" s="1">
        <f>IFERROR(__xludf.DUMMYFUNCTION("""COMPUTED_VALUE"""),3780.0)</f>
        <v>3780</v>
      </c>
      <c r="C355" s="1">
        <f>IFERROR(__xludf.DUMMYFUNCTION("""COMPUTED_VALUE"""),3830.0)</f>
        <v>3830</v>
      </c>
      <c r="D355" s="1">
        <f>IFERROR(__xludf.DUMMYFUNCTION("""COMPUTED_VALUE"""),3700.0)</f>
        <v>3700</v>
      </c>
      <c r="E355" s="1">
        <f>IFERROR(__xludf.DUMMYFUNCTION("""COMPUTED_VALUE"""),3700.0)</f>
        <v>3700</v>
      </c>
      <c r="F355" s="1">
        <f>IFERROR(__xludf.DUMMYFUNCTION("""COMPUTED_VALUE"""),40983.0)</f>
        <v>40983</v>
      </c>
    </row>
    <row r="356">
      <c r="A356" s="2">
        <f>IFERROR(__xludf.DUMMYFUNCTION("""COMPUTED_VALUE"""),41430.645833333336)</f>
        <v>41430.64583</v>
      </c>
      <c r="B356" s="1">
        <f>IFERROR(__xludf.DUMMYFUNCTION("""COMPUTED_VALUE"""),3740.0)</f>
        <v>3740</v>
      </c>
      <c r="C356" s="1">
        <f>IFERROR(__xludf.DUMMYFUNCTION("""COMPUTED_VALUE"""),3740.0)</f>
        <v>3740</v>
      </c>
      <c r="D356" s="1">
        <f>IFERROR(__xludf.DUMMYFUNCTION("""COMPUTED_VALUE"""),3560.0)</f>
        <v>3560</v>
      </c>
      <c r="E356" s="1">
        <f>IFERROR(__xludf.DUMMYFUNCTION("""COMPUTED_VALUE"""),3650.0)</f>
        <v>3650</v>
      </c>
      <c r="F356" s="1">
        <f>IFERROR(__xludf.DUMMYFUNCTION("""COMPUTED_VALUE"""),20280.0)</f>
        <v>20280</v>
      </c>
    </row>
    <row r="357">
      <c r="A357" s="2">
        <f>IFERROR(__xludf.DUMMYFUNCTION("""COMPUTED_VALUE"""),41432.645833333336)</f>
        <v>41432.64583</v>
      </c>
      <c r="B357" s="1">
        <f>IFERROR(__xludf.DUMMYFUNCTION("""COMPUTED_VALUE"""),3790.0)</f>
        <v>3790</v>
      </c>
      <c r="C357" s="1">
        <f>IFERROR(__xludf.DUMMYFUNCTION("""COMPUTED_VALUE"""),4175.0)</f>
        <v>4175</v>
      </c>
      <c r="D357" s="1">
        <f>IFERROR(__xludf.DUMMYFUNCTION("""COMPUTED_VALUE"""),3750.0)</f>
        <v>3750</v>
      </c>
      <c r="E357" s="1">
        <f>IFERROR(__xludf.DUMMYFUNCTION("""COMPUTED_VALUE"""),4140.0)</f>
        <v>4140</v>
      </c>
      <c r="F357" s="1">
        <f>IFERROR(__xludf.DUMMYFUNCTION("""COMPUTED_VALUE"""),499022.0)</f>
        <v>499022</v>
      </c>
    </row>
    <row r="358">
      <c r="A358" s="2">
        <f>IFERROR(__xludf.DUMMYFUNCTION("""COMPUTED_VALUE"""),41435.645833333336)</f>
        <v>41435.64583</v>
      </c>
      <c r="B358" s="1">
        <f>IFERROR(__xludf.DUMMYFUNCTION("""COMPUTED_VALUE"""),4105.0)</f>
        <v>4105</v>
      </c>
      <c r="C358" s="1">
        <f>IFERROR(__xludf.DUMMYFUNCTION("""COMPUTED_VALUE"""),4105.0)</f>
        <v>4105</v>
      </c>
      <c r="D358" s="1">
        <f>IFERROR(__xludf.DUMMYFUNCTION("""COMPUTED_VALUE"""),3815.0)</f>
        <v>3815</v>
      </c>
      <c r="E358" s="1">
        <f>IFERROR(__xludf.DUMMYFUNCTION("""COMPUTED_VALUE"""),3890.0)</f>
        <v>3890</v>
      </c>
      <c r="F358" s="1">
        <f>IFERROR(__xludf.DUMMYFUNCTION("""COMPUTED_VALUE"""),197372.0)</f>
        <v>197372</v>
      </c>
    </row>
    <row r="359">
      <c r="A359" s="2">
        <f>IFERROR(__xludf.DUMMYFUNCTION("""COMPUTED_VALUE"""),41436.645833333336)</f>
        <v>41436.64583</v>
      </c>
      <c r="B359" s="1">
        <f>IFERROR(__xludf.DUMMYFUNCTION("""COMPUTED_VALUE"""),3830.0)</f>
        <v>3830</v>
      </c>
      <c r="C359" s="1">
        <f>IFERROR(__xludf.DUMMYFUNCTION("""COMPUTED_VALUE"""),3955.0)</f>
        <v>3955</v>
      </c>
      <c r="D359" s="1">
        <f>IFERROR(__xludf.DUMMYFUNCTION("""COMPUTED_VALUE"""),3830.0)</f>
        <v>3830</v>
      </c>
      <c r="E359" s="1">
        <f>IFERROR(__xludf.DUMMYFUNCTION("""COMPUTED_VALUE"""),3955.0)</f>
        <v>3955</v>
      </c>
      <c r="F359" s="1">
        <f>IFERROR(__xludf.DUMMYFUNCTION("""COMPUTED_VALUE"""),63620.0)</f>
        <v>63620</v>
      </c>
    </row>
    <row r="360">
      <c r="A360" s="2">
        <f>IFERROR(__xludf.DUMMYFUNCTION("""COMPUTED_VALUE"""),41437.645833333336)</f>
        <v>41437.64583</v>
      </c>
      <c r="B360" s="1">
        <f>IFERROR(__xludf.DUMMYFUNCTION("""COMPUTED_VALUE"""),3850.0)</f>
        <v>3850</v>
      </c>
      <c r="C360" s="1">
        <f>IFERROR(__xludf.DUMMYFUNCTION("""COMPUTED_VALUE"""),4015.0)</f>
        <v>4015</v>
      </c>
      <c r="D360" s="1">
        <f>IFERROR(__xludf.DUMMYFUNCTION("""COMPUTED_VALUE"""),3770.0)</f>
        <v>3770</v>
      </c>
      <c r="E360" s="1">
        <f>IFERROR(__xludf.DUMMYFUNCTION("""COMPUTED_VALUE"""),3945.0)</f>
        <v>3945</v>
      </c>
      <c r="F360" s="1">
        <f>IFERROR(__xludf.DUMMYFUNCTION("""COMPUTED_VALUE"""),52640.0)</f>
        <v>52640</v>
      </c>
    </row>
    <row r="361">
      <c r="A361" s="2">
        <f>IFERROR(__xludf.DUMMYFUNCTION("""COMPUTED_VALUE"""),41438.645833333336)</f>
        <v>41438.64583</v>
      </c>
      <c r="B361" s="1">
        <f>IFERROR(__xludf.DUMMYFUNCTION("""COMPUTED_VALUE"""),3945.0)</f>
        <v>3945</v>
      </c>
      <c r="C361" s="1">
        <f>IFERROR(__xludf.DUMMYFUNCTION("""COMPUTED_VALUE"""),4195.0)</f>
        <v>4195</v>
      </c>
      <c r="D361" s="1">
        <f>IFERROR(__xludf.DUMMYFUNCTION("""COMPUTED_VALUE"""),3870.0)</f>
        <v>3870</v>
      </c>
      <c r="E361" s="1">
        <f>IFERROR(__xludf.DUMMYFUNCTION("""COMPUTED_VALUE"""),4030.0)</f>
        <v>4030</v>
      </c>
      <c r="F361" s="1">
        <f>IFERROR(__xludf.DUMMYFUNCTION("""COMPUTED_VALUE"""),85039.0)</f>
        <v>85039</v>
      </c>
    </row>
    <row r="362">
      <c r="A362" s="2">
        <f>IFERROR(__xludf.DUMMYFUNCTION("""COMPUTED_VALUE"""),41439.645833333336)</f>
        <v>41439.64583</v>
      </c>
      <c r="B362" s="1">
        <f>IFERROR(__xludf.DUMMYFUNCTION("""COMPUTED_VALUE"""),4050.0)</f>
        <v>4050</v>
      </c>
      <c r="C362" s="1">
        <f>IFERROR(__xludf.DUMMYFUNCTION("""COMPUTED_VALUE"""),4160.0)</f>
        <v>4160</v>
      </c>
      <c r="D362" s="1">
        <f>IFERROR(__xludf.DUMMYFUNCTION("""COMPUTED_VALUE"""),4035.0)</f>
        <v>4035</v>
      </c>
      <c r="E362" s="1">
        <f>IFERROR(__xludf.DUMMYFUNCTION("""COMPUTED_VALUE"""),4095.0)</f>
        <v>4095</v>
      </c>
      <c r="F362" s="1">
        <f>IFERROR(__xludf.DUMMYFUNCTION("""COMPUTED_VALUE"""),52910.0)</f>
        <v>52910</v>
      </c>
    </row>
    <row r="363">
      <c r="A363" s="2">
        <f>IFERROR(__xludf.DUMMYFUNCTION("""COMPUTED_VALUE"""),41442.645833333336)</f>
        <v>41442.64583</v>
      </c>
      <c r="B363" s="1">
        <f>IFERROR(__xludf.DUMMYFUNCTION("""COMPUTED_VALUE"""),4140.0)</f>
        <v>4140</v>
      </c>
      <c r="C363" s="1">
        <f>IFERROR(__xludf.DUMMYFUNCTION("""COMPUTED_VALUE"""),4140.0)</f>
        <v>4140</v>
      </c>
      <c r="D363" s="1">
        <f>IFERROR(__xludf.DUMMYFUNCTION("""COMPUTED_VALUE"""),3915.0)</f>
        <v>3915</v>
      </c>
      <c r="E363" s="1">
        <f>IFERROR(__xludf.DUMMYFUNCTION("""COMPUTED_VALUE"""),3960.0)</f>
        <v>3960</v>
      </c>
      <c r="F363" s="1">
        <f>IFERROR(__xludf.DUMMYFUNCTION("""COMPUTED_VALUE"""),71068.0)</f>
        <v>71068</v>
      </c>
    </row>
    <row r="364">
      <c r="A364" s="2">
        <f>IFERROR(__xludf.DUMMYFUNCTION("""COMPUTED_VALUE"""),41443.645833333336)</f>
        <v>41443.64583</v>
      </c>
      <c r="B364" s="1">
        <f>IFERROR(__xludf.DUMMYFUNCTION("""COMPUTED_VALUE"""),3935.0)</f>
        <v>3935</v>
      </c>
      <c r="C364" s="1">
        <f>IFERROR(__xludf.DUMMYFUNCTION("""COMPUTED_VALUE"""),3945.0)</f>
        <v>3945</v>
      </c>
      <c r="D364" s="1">
        <f>IFERROR(__xludf.DUMMYFUNCTION("""COMPUTED_VALUE"""),3830.0)</f>
        <v>3830</v>
      </c>
      <c r="E364" s="1">
        <f>IFERROR(__xludf.DUMMYFUNCTION("""COMPUTED_VALUE"""),3890.0)</f>
        <v>3890</v>
      </c>
      <c r="F364" s="1">
        <f>IFERROR(__xludf.DUMMYFUNCTION("""COMPUTED_VALUE"""),35122.0)</f>
        <v>35122</v>
      </c>
    </row>
    <row r="365">
      <c r="A365" s="2">
        <f>IFERROR(__xludf.DUMMYFUNCTION("""COMPUTED_VALUE"""),41444.645833333336)</f>
        <v>41444.64583</v>
      </c>
      <c r="B365" s="1">
        <f>IFERROR(__xludf.DUMMYFUNCTION("""COMPUTED_VALUE"""),3900.0)</f>
        <v>3900</v>
      </c>
      <c r="C365" s="1">
        <f>IFERROR(__xludf.DUMMYFUNCTION("""COMPUTED_VALUE"""),3930.0)</f>
        <v>3930</v>
      </c>
      <c r="D365" s="1">
        <f>IFERROR(__xludf.DUMMYFUNCTION("""COMPUTED_VALUE"""),3715.0)</f>
        <v>3715</v>
      </c>
      <c r="E365" s="1">
        <f>IFERROR(__xludf.DUMMYFUNCTION("""COMPUTED_VALUE"""),3770.0)</f>
        <v>3770</v>
      </c>
      <c r="F365" s="1">
        <f>IFERROR(__xludf.DUMMYFUNCTION("""COMPUTED_VALUE"""),56161.0)</f>
        <v>56161</v>
      </c>
    </row>
    <row r="366">
      <c r="A366" s="2">
        <f>IFERROR(__xludf.DUMMYFUNCTION("""COMPUTED_VALUE"""),41445.645833333336)</f>
        <v>41445.64583</v>
      </c>
      <c r="B366" s="1">
        <f>IFERROR(__xludf.DUMMYFUNCTION("""COMPUTED_VALUE"""),3700.0)</f>
        <v>3700</v>
      </c>
      <c r="C366" s="1">
        <f>IFERROR(__xludf.DUMMYFUNCTION("""COMPUTED_VALUE"""),3755.0)</f>
        <v>3755</v>
      </c>
      <c r="D366" s="1">
        <f>IFERROR(__xludf.DUMMYFUNCTION("""COMPUTED_VALUE"""),3655.0)</f>
        <v>3655</v>
      </c>
      <c r="E366" s="1">
        <f>IFERROR(__xludf.DUMMYFUNCTION("""COMPUTED_VALUE"""),3655.0)</f>
        <v>3655</v>
      </c>
      <c r="F366" s="1">
        <f>IFERROR(__xludf.DUMMYFUNCTION("""COMPUTED_VALUE"""),29585.0)</f>
        <v>29585</v>
      </c>
    </row>
    <row r="367">
      <c r="A367" s="2">
        <f>IFERROR(__xludf.DUMMYFUNCTION("""COMPUTED_VALUE"""),41446.645833333336)</f>
        <v>41446.64583</v>
      </c>
      <c r="B367" s="1">
        <f>IFERROR(__xludf.DUMMYFUNCTION("""COMPUTED_VALUE"""),3555.0)</f>
        <v>3555</v>
      </c>
      <c r="C367" s="1">
        <f>IFERROR(__xludf.DUMMYFUNCTION("""COMPUTED_VALUE"""),3700.0)</f>
        <v>3700</v>
      </c>
      <c r="D367" s="1">
        <f>IFERROR(__xludf.DUMMYFUNCTION("""COMPUTED_VALUE"""),3550.0)</f>
        <v>3550</v>
      </c>
      <c r="E367" s="1">
        <f>IFERROR(__xludf.DUMMYFUNCTION("""COMPUTED_VALUE"""),3700.0)</f>
        <v>3700</v>
      </c>
      <c r="F367" s="1">
        <f>IFERROR(__xludf.DUMMYFUNCTION("""COMPUTED_VALUE"""),28915.0)</f>
        <v>28915</v>
      </c>
    </row>
    <row r="368">
      <c r="A368" s="2">
        <f>IFERROR(__xludf.DUMMYFUNCTION("""COMPUTED_VALUE"""),41449.645833333336)</f>
        <v>41449.64583</v>
      </c>
      <c r="B368" s="1">
        <f>IFERROR(__xludf.DUMMYFUNCTION("""COMPUTED_VALUE"""),3700.0)</f>
        <v>3700</v>
      </c>
      <c r="C368" s="1">
        <f>IFERROR(__xludf.DUMMYFUNCTION("""COMPUTED_VALUE"""),3715.0)</f>
        <v>3715</v>
      </c>
      <c r="D368" s="1">
        <f>IFERROR(__xludf.DUMMYFUNCTION("""COMPUTED_VALUE"""),3570.0)</f>
        <v>3570</v>
      </c>
      <c r="E368" s="1">
        <f>IFERROR(__xludf.DUMMYFUNCTION("""COMPUTED_VALUE"""),3570.0)</f>
        <v>3570</v>
      </c>
      <c r="F368" s="1">
        <f>IFERROR(__xludf.DUMMYFUNCTION("""COMPUTED_VALUE"""),15804.0)</f>
        <v>15804</v>
      </c>
    </row>
    <row r="369">
      <c r="A369" s="2">
        <f>IFERROR(__xludf.DUMMYFUNCTION("""COMPUTED_VALUE"""),41450.645833333336)</f>
        <v>41450.64583</v>
      </c>
      <c r="B369" s="1">
        <f>IFERROR(__xludf.DUMMYFUNCTION("""COMPUTED_VALUE"""),3550.0)</f>
        <v>3550</v>
      </c>
      <c r="C369" s="1">
        <f>IFERROR(__xludf.DUMMYFUNCTION("""COMPUTED_VALUE"""),3610.0)</f>
        <v>3610</v>
      </c>
      <c r="D369" s="1">
        <f>IFERROR(__xludf.DUMMYFUNCTION("""COMPUTED_VALUE"""),3440.0)</f>
        <v>3440</v>
      </c>
      <c r="E369" s="1">
        <f>IFERROR(__xludf.DUMMYFUNCTION("""COMPUTED_VALUE"""),3575.0)</f>
        <v>3575</v>
      </c>
      <c r="F369" s="1">
        <f>IFERROR(__xludf.DUMMYFUNCTION("""COMPUTED_VALUE"""),59654.0)</f>
        <v>59654</v>
      </c>
    </row>
    <row r="370">
      <c r="A370" s="2">
        <f>IFERROR(__xludf.DUMMYFUNCTION("""COMPUTED_VALUE"""),41451.645833333336)</f>
        <v>41451.64583</v>
      </c>
      <c r="B370" s="1">
        <f>IFERROR(__xludf.DUMMYFUNCTION("""COMPUTED_VALUE"""),3560.0)</f>
        <v>3560</v>
      </c>
      <c r="C370" s="1">
        <f>IFERROR(__xludf.DUMMYFUNCTION("""COMPUTED_VALUE"""),3700.0)</f>
        <v>3700</v>
      </c>
      <c r="D370" s="1">
        <f>IFERROR(__xludf.DUMMYFUNCTION("""COMPUTED_VALUE"""),3560.0)</f>
        <v>3560</v>
      </c>
      <c r="E370" s="1">
        <f>IFERROR(__xludf.DUMMYFUNCTION("""COMPUTED_VALUE"""),3665.0)</f>
        <v>3665</v>
      </c>
      <c r="F370" s="1">
        <f>IFERROR(__xludf.DUMMYFUNCTION("""COMPUTED_VALUE"""),12655.0)</f>
        <v>12655</v>
      </c>
    </row>
    <row r="371">
      <c r="A371" s="2">
        <f>IFERROR(__xludf.DUMMYFUNCTION("""COMPUTED_VALUE"""),41452.645833333336)</f>
        <v>41452.64583</v>
      </c>
      <c r="B371" s="1">
        <f>IFERROR(__xludf.DUMMYFUNCTION("""COMPUTED_VALUE"""),3675.0)</f>
        <v>3675</v>
      </c>
      <c r="C371" s="1">
        <f>IFERROR(__xludf.DUMMYFUNCTION("""COMPUTED_VALUE"""),3700.0)</f>
        <v>3700</v>
      </c>
      <c r="D371" s="1">
        <f>IFERROR(__xludf.DUMMYFUNCTION("""COMPUTED_VALUE"""),3630.0)</f>
        <v>3630</v>
      </c>
      <c r="E371" s="1">
        <f>IFERROR(__xludf.DUMMYFUNCTION("""COMPUTED_VALUE"""),3700.0)</f>
        <v>3700</v>
      </c>
      <c r="F371" s="1">
        <f>IFERROR(__xludf.DUMMYFUNCTION("""COMPUTED_VALUE"""),33088.0)</f>
        <v>33088</v>
      </c>
    </row>
    <row r="372">
      <c r="A372" s="2">
        <f>IFERROR(__xludf.DUMMYFUNCTION("""COMPUTED_VALUE"""),41453.645833333336)</f>
        <v>41453.64583</v>
      </c>
      <c r="B372" s="1">
        <f>IFERROR(__xludf.DUMMYFUNCTION("""COMPUTED_VALUE"""),3740.0)</f>
        <v>3740</v>
      </c>
      <c r="C372" s="1">
        <f>IFERROR(__xludf.DUMMYFUNCTION("""COMPUTED_VALUE"""),3740.0)</f>
        <v>3740</v>
      </c>
      <c r="D372" s="1">
        <f>IFERROR(__xludf.DUMMYFUNCTION("""COMPUTED_VALUE"""),3605.0)</f>
        <v>3605</v>
      </c>
      <c r="E372" s="1">
        <f>IFERROR(__xludf.DUMMYFUNCTION("""COMPUTED_VALUE"""),3650.0)</f>
        <v>3650</v>
      </c>
      <c r="F372" s="1">
        <f>IFERROR(__xludf.DUMMYFUNCTION("""COMPUTED_VALUE"""),12540.0)</f>
        <v>12540</v>
      </c>
    </row>
    <row r="373">
      <c r="A373" s="2">
        <f>IFERROR(__xludf.DUMMYFUNCTION("""COMPUTED_VALUE"""),41456.645833333336)</f>
        <v>41456.64583</v>
      </c>
      <c r="B373" s="1">
        <f>IFERROR(__xludf.DUMMYFUNCTION("""COMPUTED_VALUE"""),3690.0)</f>
        <v>3690</v>
      </c>
      <c r="C373" s="1">
        <f>IFERROR(__xludf.DUMMYFUNCTION("""COMPUTED_VALUE"""),3750.0)</f>
        <v>3750</v>
      </c>
      <c r="D373" s="1">
        <f>IFERROR(__xludf.DUMMYFUNCTION("""COMPUTED_VALUE"""),3605.0)</f>
        <v>3605</v>
      </c>
      <c r="E373" s="1">
        <f>IFERROR(__xludf.DUMMYFUNCTION("""COMPUTED_VALUE"""),3745.0)</f>
        <v>3745</v>
      </c>
      <c r="F373" s="1">
        <f>IFERROR(__xludf.DUMMYFUNCTION("""COMPUTED_VALUE"""),17774.0)</f>
        <v>17774</v>
      </c>
    </row>
    <row r="374">
      <c r="A374" s="2">
        <f>IFERROR(__xludf.DUMMYFUNCTION("""COMPUTED_VALUE"""),41457.645833333336)</f>
        <v>41457.64583</v>
      </c>
      <c r="B374" s="1">
        <f>IFERROR(__xludf.DUMMYFUNCTION("""COMPUTED_VALUE"""),3780.0)</f>
        <v>3780</v>
      </c>
      <c r="C374" s="1">
        <f>IFERROR(__xludf.DUMMYFUNCTION("""COMPUTED_VALUE"""),3780.0)</f>
        <v>3780</v>
      </c>
      <c r="D374" s="1">
        <f>IFERROR(__xludf.DUMMYFUNCTION("""COMPUTED_VALUE"""),3680.0)</f>
        <v>3680</v>
      </c>
      <c r="E374" s="1">
        <f>IFERROR(__xludf.DUMMYFUNCTION("""COMPUTED_VALUE"""),3680.0)</f>
        <v>3680</v>
      </c>
      <c r="F374" s="1">
        <f>IFERROR(__xludf.DUMMYFUNCTION("""COMPUTED_VALUE"""),32730.0)</f>
        <v>32730</v>
      </c>
    </row>
    <row r="375">
      <c r="A375" s="2">
        <f>IFERROR(__xludf.DUMMYFUNCTION("""COMPUTED_VALUE"""),41458.645833333336)</f>
        <v>41458.64583</v>
      </c>
      <c r="B375" s="1">
        <f>IFERROR(__xludf.DUMMYFUNCTION("""COMPUTED_VALUE"""),3740.0)</f>
        <v>3740</v>
      </c>
      <c r="C375" s="1">
        <f>IFERROR(__xludf.DUMMYFUNCTION("""COMPUTED_VALUE"""),3740.0)</f>
        <v>3740</v>
      </c>
      <c r="D375" s="1">
        <f>IFERROR(__xludf.DUMMYFUNCTION("""COMPUTED_VALUE"""),3655.0)</f>
        <v>3655</v>
      </c>
      <c r="E375" s="1">
        <f>IFERROR(__xludf.DUMMYFUNCTION("""COMPUTED_VALUE"""),3695.0)</f>
        <v>3695</v>
      </c>
      <c r="F375" s="1">
        <f>IFERROR(__xludf.DUMMYFUNCTION("""COMPUTED_VALUE"""),4410.0)</f>
        <v>4410</v>
      </c>
    </row>
    <row r="376">
      <c r="A376" s="2">
        <f>IFERROR(__xludf.DUMMYFUNCTION("""COMPUTED_VALUE"""),41459.645833333336)</f>
        <v>41459.64583</v>
      </c>
      <c r="B376" s="1">
        <f>IFERROR(__xludf.DUMMYFUNCTION("""COMPUTED_VALUE"""),3745.0)</f>
        <v>3745</v>
      </c>
      <c r="C376" s="1">
        <f>IFERROR(__xludf.DUMMYFUNCTION("""COMPUTED_VALUE"""),3800.0)</f>
        <v>3800</v>
      </c>
      <c r="D376" s="1">
        <f>IFERROR(__xludf.DUMMYFUNCTION("""COMPUTED_VALUE"""),3700.0)</f>
        <v>3700</v>
      </c>
      <c r="E376" s="1">
        <f>IFERROR(__xludf.DUMMYFUNCTION("""COMPUTED_VALUE"""),3780.0)</f>
        <v>3780</v>
      </c>
      <c r="F376" s="1">
        <f>IFERROR(__xludf.DUMMYFUNCTION("""COMPUTED_VALUE"""),10780.0)</f>
        <v>10780</v>
      </c>
    </row>
    <row r="377">
      <c r="A377" s="2">
        <f>IFERROR(__xludf.DUMMYFUNCTION("""COMPUTED_VALUE"""),41460.645833333336)</f>
        <v>41460.64583</v>
      </c>
      <c r="B377" s="1">
        <f>IFERROR(__xludf.DUMMYFUNCTION("""COMPUTED_VALUE"""),3780.0)</f>
        <v>3780</v>
      </c>
      <c r="C377" s="1">
        <f>IFERROR(__xludf.DUMMYFUNCTION("""COMPUTED_VALUE"""),3790.0)</f>
        <v>3790</v>
      </c>
      <c r="D377" s="1">
        <f>IFERROR(__xludf.DUMMYFUNCTION("""COMPUTED_VALUE"""),3625.0)</f>
        <v>3625</v>
      </c>
      <c r="E377" s="1">
        <f>IFERROR(__xludf.DUMMYFUNCTION("""COMPUTED_VALUE"""),3730.0)</f>
        <v>3730</v>
      </c>
      <c r="F377" s="1">
        <f>IFERROR(__xludf.DUMMYFUNCTION("""COMPUTED_VALUE"""),11128.0)</f>
        <v>11128</v>
      </c>
    </row>
    <row r="378">
      <c r="A378" s="2">
        <f>IFERROR(__xludf.DUMMYFUNCTION("""COMPUTED_VALUE"""),41463.645833333336)</f>
        <v>41463.64583</v>
      </c>
      <c r="B378" s="1">
        <f>IFERROR(__xludf.DUMMYFUNCTION("""COMPUTED_VALUE"""),3730.0)</f>
        <v>3730</v>
      </c>
      <c r="C378" s="1">
        <f>IFERROR(__xludf.DUMMYFUNCTION("""COMPUTED_VALUE"""),3730.0)</f>
        <v>3730</v>
      </c>
      <c r="D378" s="1">
        <f>IFERROR(__xludf.DUMMYFUNCTION("""COMPUTED_VALUE"""),3625.0)</f>
        <v>3625</v>
      </c>
      <c r="E378" s="1">
        <f>IFERROR(__xludf.DUMMYFUNCTION("""COMPUTED_VALUE"""),3695.0)</f>
        <v>3695</v>
      </c>
      <c r="F378" s="1">
        <f>IFERROR(__xludf.DUMMYFUNCTION("""COMPUTED_VALUE"""),9620.0)</f>
        <v>9620</v>
      </c>
    </row>
    <row r="379">
      <c r="A379" s="2">
        <f>IFERROR(__xludf.DUMMYFUNCTION("""COMPUTED_VALUE"""),41464.645833333336)</f>
        <v>41464.64583</v>
      </c>
      <c r="B379" s="1">
        <f>IFERROR(__xludf.DUMMYFUNCTION("""COMPUTED_VALUE"""),3695.0)</f>
        <v>3695</v>
      </c>
      <c r="C379" s="1">
        <f>IFERROR(__xludf.DUMMYFUNCTION("""COMPUTED_VALUE"""),3695.0)</f>
        <v>3695</v>
      </c>
      <c r="D379" s="1">
        <f>IFERROR(__xludf.DUMMYFUNCTION("""COMPUTED_VALUE"""),3550.0)</f>
        <v>3550</v>
      </c>
      <c r="E379" s="1">
        <f>IFERROR(__xludf.DUMMYFUNCTION("""COMPUTED_VALUE"""),3560.0)</f>
        <v>3560</v>
      </c>
      <c r="F379" s="1">
        <f>IFERROR(__xludf.DUMMYFUNCTION("""COMPUTED_VALUE"""),23751.0)</f>
        <v>23751</v>
      </c>
    </row>
    <row r="380">
      <c r="A380" s="2">
        <f>IFERROR(__xludf.DUMMYFUNCTION("""COMPUTED_VALUE"""),41465.645833333336)</f>
        <v>41465.64583</v>
      </c>
      <c r="B380" s="1">
        <f>IFERROR(__xludf.DUMMYFUNCTION("""COMPUTED_VALUE"""),3600.0)</f>
        <v>3600</v>
      </c>
      <c r="C380" s="1">
        <f>IFERROR(__xludf.DUMMYFUNCTION("""COMPUTED_VALUE"""),3600.0)</f>
        <v>3600</v>
      </c>
      <c r="D380" s="1">
        <f>IFERROR(__xludf.DUMMYFUNCTION("""COMPUTED_VALUE"""),3500.0)</f>
        <v>3500</v>
      </c>
      <c r="E380" s="1">
        <f>IFERROR(__xludf.DUMMYFUNCTION("""COMPUTED_VALUE"""),3535.0)</f>
        <v>3535</v>
      </c>
      <c r="F380" s="1">
        <f>IFERROR(__xludf.DUMMYFUNCTION("""COMPUTED_VALUE"""),20862.0)</f>
        <v>20862</v>
      </c>
    </row>
    <row r="381">
      <c r="A381" s="2">
        <f>IFERROR(__xludf.DUMMYFUNCTION("""COMPUTED_VALUE"""),41466.645833333336)</f>
        <v>41466.64583</v>
      </c>
      <c r="B381" s="1">
        <f>IFERROR(__xludf.DUMMYFUNCTION("""COMPUTED_VALUE"""),3595.0)</f>
        <v>3595</v>
      </c>
      <c r="C381" s="1">
        <f>IFERROR(__xludf.DUMMYFUNCTION("""COMPUTED_VALUE"""),3635.0)</f>
        <v>3635</v>
      </c>
      <c r="D381" s="1">
        <f>IFERROR(__xludf.DUMMYFUNCTION("""COMPUTED_VALUE"""),3520.0)</f>
        <v>3520</v>
      </c>
      <c r="E381" s="1">
        <f>IFERROR(__xludf.DUMMYFUNCTION("""COMPUTED_VALUE"""),3530.0)</f>
        <v>3530</v>
      </c>
      <c r="F381" s="1">
        <f>IFERROR(__xludf.DUMMYFUNCTION("""COMPUTED_VALUE"""),25832.0)</f>
        <v>25832</v>
      </c>
    </row>
    <row r="382">
      <c r="A382" s="2">
        <f>IFERROR(__xludf.DUMMYFUNCTION("""COMPUTED_VALUE"""),41467.645833333336)</f>
        <v>41467.64583</v>
      </c>
      <c r="B382" s="1">
        <f>IFERROR(__xludf.DUMMYFUNCTION("""COMPUTED_VALUE"""),3545.0)</f>
        <v>3545</v>
      </c>
      <c r="C382" s="1">
        <f>IFERROR(__xludf.DUMMYFUNCTION("""COMPUTED_VALUE"""),3570.0)</f>
        <v>3570</v>
      </c>
      <c r="D382" s="1">
        <f>IFERROR(__xludf.DUMMYFUNCTION("""COMPUTED_VALUE"""),3450.0)</f>
        <v>3450</v>
      </c>
      <c r="E382" s="1">
        <f>IFERROR(__xludf.DUMMYFUNCTION("""COMPUTED_VALUE"""),3510.0)</f>
        <v>3510</v>
      </c>
      <c r="F382" s="1">
        <f>IFERROR(__xludf.DUMMYFUNCTION("""COMPUTED_VALUE"""),24573.0)</f>
        <v>24573</v>
      </c>
    </row>
    <row r="383">
      <c r="A383" s="2">
        <f>IFERROR(__xludf.DUMMYFUNCTION("""COMPUTED_VALUE"""),41470.645833333336)</f>
        <v>41470.64583</v>
      </c>
      <c r="B383" s="1">
        <f>IFERROR(__xludf.DUMMYFUNCTION("""COMPUTED_VALUE"""),3560.0)</f>
        <v>3560</v>
      </c>
      <c r="C383" s="1">
        <f>IFERROR(__xludf.DUMMYFUNCTION("""COMPUTED_VALUE"""),3560.0)</f>
        <v>3560</v>
      </c>
      <c r="D383" s="1">
        <f>IFERROR(__xludf.DUMMYFUNCTION("""COMPUTED_VALUE"""),3490.0)</f>
        <v>3490</v>
      </c>
      <c r="E383" s="1">
        <f>IFERROR(__xludf.DUMMYFUNCTION("""COMPUTED_VALUE"""),3510.0)</f>
        <v>3510</v>
      </c>
      <c r="F383" s="1">
        <f>IFERROR(__xludf.DUMMYFUNCTION("""COMPUTED_VALUE"""),12289.0)</f>
        <v>12289</v>
      </c>
    </row>
    <row r="384">
      <c r="A384" s="2">
        <f>IFERROR(__xludf.DUMMYFUNCTION("""COMPUTED_VALUE"""),41471.645833333336)</f>
        <v>41471.64583</v>
      </c>
      <c r="B384" s="1">
        <f>IFERROR(__xludf.DUMMYFUNCTION("""COMPUTED_VALUE"""),3540.0)</f>
        <v>3540</v>
      </c>
      <c r="C384" s="1">
        <f>IFERROR(__xludf.DUMMYFUNCTION("""COMPUTED_VALUE"""),3540.0)</f>
        <v>3540</v>
      </c>
      <c r="D384" s="1">
        <f>IFERROR(__xludf.DUMMYFUNCTION("""COMPUTED_VALUE"""),3495.0)</f>
        <v>3495</v>
      </c>
      <c r="E384" s="1">
        <f>IFERROR(__xludf.DUMMYFUNCTION("""COMPUTED_VALUE"""),3525.0)</f>
        <v>3525</v>
      </c>
      <c r="F384" s="1">
        <f>IFERROR(__xludf.DUMMYFUNCTION("""COMPUTED_VALUE"""),25322.0)</f>
        <v>25322</v>
      </c>
    </row>
    <row r="385">
      <c r="A385" s="2">
        <f>IFERROR(__xludf.DUMMYFUNCTION("""COMPUTED_VALUE"""),41472.645833333336)</f>
        <v>41472.64583</v>
      </c>
      <c r="B385" s="1">
        <f>IFERROR(__xludf.DUMMYFUNCTION("""COMPUTED_VALUE"""),3520.0)</f>
        <v>3520</v>
      </c>
      <c r="C385" s="1">
        <f>IFERROR(__xludf.DUMMYFUNCTION("""COMPUTED_VALUE"""),3575.0)</f>
        <v>3575</v>
      </c>
      <c r="D385" s="1">
        <f>IFERROR(__xludf.DUMMYFUNCTION("""COMPUTED_VALUE"""),3520.0)</f>
        <v>3520</v>
      </c>
      <c r="E385" s="1">
        <f>IFERROR(__xludf.DUMMYFUNCTION("""COMPUTED_VALUE"""),3570.0)</f>
        <v>3570</v>
      </c>
      <c r="F385" s="1">
        <f>IFERROR(__xludf.DUMMYFUNCTION("""COMPUTED_VALUE"""),12010.0)</f>
        <v>12010</v>
      </c>
    </row>
    <row r="386">
      <c r="A386" s="2">
        <f>IFERROR(__xludf.DUMMYFUNCTION("""COMPUTED_VALUE"""),41473.645833333336)</f>
        <v>41473.64583</v>
      </c>
      <c r="B386" s="1">
        <f>IFERROR(__xludf.DUMMYFUNCTION("""COMPUTED_VALUE"""),3595.0)</f>
        <v>3595</v>
      </c>
      <c r="C386" s="1">
        <f>IFERROR(__xludf.DUMMYFUNCTION("""COMPUTED_VALUE"""),3610.0)</f>
        <v>3610</v>
      </c>
      <c r="D386" s="1">
        <f>IFERROR(__xludf.DUMMYFUNCTION("""COMPUTED_VALUE"""),3565.0)</f>
        <v>3565</v>
      </c>
      <c r="E386" s="1">
        <f>IFERROR(__xludf.DUMMYFUNCTION("""COMPUTED_VALUE"""),3575.0)</f>
        <v>3575</v>
      </c>
      <c r="F386" s="1">
        <f>IFERROR(__xludf.DUMMYFUNCTION("""COMPUTED_VALUE"""),11112.0)</f>
        <v>11112</v>
      </c>
    </row>
    <row r="387">
      <c r="A387" s="2">
        <f>IFERROR(__xludf.DUMMYFUNCTION("""COMPUTED_VALUE"""),41474.645833333336)</f>
        <v>41474.64583</v>
      </c>
      <c r="B387" s="1">
        <f>IFERROR(__xludf.DUMMYFUNCTION("""COMPUTED_VALUE"""),3575.0)</f>
        <v>3575</v>
      </c>
      <c r="C387" s="1">
        <f>IFERROR(__xludf.DUMMYFUNCTION("""COMPUTED_VALUE"""),3615.0)</f>
        <v>3615</v>
      </c>
      <c r="D387" s="1">
        <f>IFERROR(__xludf.DUMMYFUNCTION("""COMPUTED_VALUE"""),3560.0)</f>
        <v>3560</v>
      </c>
      <c r="E387" s="1">
        <f>IFERROR(__xludf.DUMMYFUNCTION("""COMPUTED_VALUE"""),3600.0)</f>
        <v>3600</v>
      </c>
      <c r="F387" s="1">
        <f>IFERROR(__xludf.DUMMYFUNCTION("""COMPUTED_VALUE"""),6980.0)</f>
        <v>6980</v>
      </c>
    </row>
    <row r="388">
      <c r="A388" s="2">
        <f>IFERROR(__xludf.DUMMYFUNCTION("""COMPUTED_VALUE"""),41477.645833333336)</f>
        <v>41477.64583</v>
      </c>
      <c r="B388" s="1">
        <f>IFERROR(__xludf.DUMMYFUNCTION("""COMPUTED_VALUE"""),3600.0)</f>
        <v>3600</v>
      </c>
      <c r="C388" s="1">
        <f>IFERROR(__xludf.DUMMYFUNCTION("""COMPUTED_VALUE"""),3620.0)</f>
        <v>3620</v>
      </c>
      <c r="D388" s="1">
        <f>IFERROR(__xludf.DUMMYFUNCTION("""COMPUTED_VALUE"""),3580.0)</f>
        <v>3580</v>
      </c>
      <c r="E388" s="1">
        <f>IFERROR(__xludf.DUMMYFUNCTION("""COMPUTED_VALUE"""),3600.0)</f>
        <v>3600</v>
      </c>
      <c r="F388" s="1">
        <f>IFERROR(__xludf.DUMMYFUNCTION("""COMPUTED_VALUE"""),9870.0)</f>
        <v>9870</v>
      </c>
    </row>
    <row r="389">
      <c r="A389" s="2">
        <f>IFERROR(__xludf.DUMMYFUNCTION("""COMPUTED_VALUE"""),41478.645833333336)</f>
        <v>41478.64583</v>
      </c>
      <c r="B389" s="1">
        <f>IFERROR(__xludf.DUMMYFUNCTION("""COMPUTED_VALUE"""),3600.0)</f>
        <v>3600</v>
      </c>
      <c r="C389" s="1">
        <f>IFERROR(__xludf.DUMMYFUNCTION("""COMPUTED_VALUE"""),3615.0)</f>
        <v>3615</v>
      </c>
      <c r="D389" s="1">
        <f>IFERROR(__xludf.DUMMYFUNCTION("""COMPUTED_VALUE"""),3590.0)</f>
        <v>3590</v>
      </c>
      <c r="E389" s="1">
        <f>IFERROR(__xludf.DUMMYFUNCTION("""COMPUTED_VALUE"""),3605.0)</f>
        <v>3605</v>
      </c>
      <c r="F389" s="1">
        <f>IFERROR(__xludf.DUMMYFUNCTION("""COMPUTED_VALUE"""),7650.0)</f>
        <v>7650</v>
      </c>
    </row>
    <row r="390">
      <c r="A390" s="2">
        <f>IFERROR(__xludf.DUMMYFUNCTION("""COMPUTED_VALUE"""),41479.645833333336)</f>
        <v>41479.64583</v>
      </c>
      <c r="B390" s="1">
        <f>IFERROR(__xludf.DUMMYFUNCTION("""COMPUTED_VALUE"""),3620.0)</f>
        <v>3620</v>
      </c>
      <c r="C390" s="1">
        <f>IFERROR(__xludf.DUMMYFUNCTION("""COMPUTED_VALUE"""),3640.0)</f>
        <v>3640</v>
      </c>
      <c r="D390" s="1">
        <f>IFERROR(__xludf.DUMMYFUNCTION("""COMPUTED_VALUE"""),3605.0)</f>
        <v>3605</v>
      </c>
      <c r="E390" s="1">
        <f>IFERROR(__xludf.DUMMYFUNCTION("""COMPUTED_VALUE"""),3620.0)</f>
        <v>3620</v>
      </c>
      <c r="F390" s="1">
        <f>IFERROR(__xludf.DUMMYFUNCTION("""COMPUTED_VALUE"""),9811.0)</f>
        <v>9811</v>
      </c>
    </row>
    <row r="391">
      <c r="A391" s="2">
        <f>IFERROR(__xludf.DUMMYFUNCTION("""COMPUTED_VALUE"""),41480.645833333336)</f>
        <v>41480.64583</v>
      </c>
      <c r="B391" s="1">
        <f>IFERROR(__xludf.DUMMYFUNCTION("""COMPUTED_VALUE"""),3620.0)</f>
        <v>3620</v>
      </c>
      <c r="C391" s="1">
        <f>IFERROR(__xludf.DUMMYFUNCTION("""COMPUTED_VALUE"""),3630.0)</f>
        <v>3630</v>
      </c>
      <c r="D391" s="1">
        <f>IFERROR(__xludf.DUMMYFUNCTION("""COMPUTED_VALUE"""),3590.0)</f>
        <v>3590</v>
      </c>
      <c r="E391" s="1">
        <f>IFERROR(__xludf.DUMMYFUNCTION("""COMPUTED_VALUE"""),3620.0)</f>
        <v>3620</v>
      </c>
      <c r="F391" s="1">
        <f>IFERROR(__xludf.DUMMYFUNCTION("""COMPUTED_VALUE"""),3440.0)</f>
        <v>3440</v>
      </c>
    </row>
    <row r="392">
      <c r="A392" s="2">
        <f>IFERROR(__xludf.DUMMYFUNCTION("""COMPUTED_VALUE"""),41481.645833333336)</f>
        <v>41481.64583</v>
      </c>
      <c r="B392" s="1">
        <f>IFERROR(__xludf.DUMMYFUNCTION("""COMPUTED_VALUE"""),3620.0)</f>
        <v>3620</v>
      </c>
      <c r="C392" s="1">
        <f>IFERROR(__xludf.DUMMYFUNCTION("""COMPUTED_VALUE"""),3640.0)</f>
        <v>3640</v>
      </c>
      <c r="D392" s="1">
        <f>IFERROR(__xludf.DUMMYFUNCTION("""COMPUTED_VALUE"""),3560.0)</f>
        <v>3560</v>
      </c>
      <c r="E392" s="1">
        <f>IFERROR(__xludf.DUMMYFUNCTION("""COMPUTED_VALUE"""),3600.0)</f>
        <v>3600</v>
      </c>
      <c r="F392" s="1">
        <f>IFERROR(__xludf.DUMMYFUNCTION("""COMPUTED_VALUE"""),6980.0)</f>
        <v>6980</v>
      </c>
    </row>
    <row r="393">
      <c r="A393" s="2">
        <f>IFERROR(__xludf.DUMMYFUNCTION("""COMPUTED_VALUE"""),41484.645833333336)</f>
        <v>41484.64583</v>
      </c>
      <c r="B393" s="1">
        <f>IFERROR(__xludf.DUMMYFUNCTION("""COMPUTED_VALUE"""),3570.0)</f>
        <v>3570</v>
      </c>
      <c r="C393" s="1">
        <f>IFERROR(__xludf.DUMMYFUNCTION("""COMPUTED_VALUE"""),3595.0)</f>
        <v>3595</v>
      </c>
      <c r="D393" s="1">
        <f>IFERROR(__xludf.DUMMYFUNCTION("""COMPUTED_VALUE"""),3515.0)</f>
        <v>3515</v>
      </c>
      <c r="E393" s="1">
        <f>IFERROR(__xludf.DUMMYFUNCTION("""COMPUTED_VALUE"""),3515.0)</f>
        <v>3515</v>
      </c>
      <c r="F393" s="1">
        <f>IFERROR(__xludf.DUMMYFUNCTION("""COMPUTED_VALUE"""),18599.0)</f>
        <v>18599</v>
      </c>
    </row>
    <row r="394">
      <c r="A394" s="2">
        <f>IFERROR(__xludf.DUMMYFUNCTION("""COMPUTED_VALUE"""),41485.645833333336)</f>
        <v>41485.64583</v>
      </c>
      <c r="B394" s="1">
        <f>IFERROR(__xludf.DUMMYFUNCTION("""COMPUTED_VALUE"""),3570.0)</f>
        <v>3570</v>
      </c>
      <c r="C394" s="1">
        <f>IFERROR(__xludf.DUMMYFUNCTION("""COMPUTED_VALUE"""),3570.0)</f>
        <v>3570</v>
      </c>
      <c r="D394" s="1">
        <f>IFERROR(__xludf.DUMMYFUNCTION("""COMPUTED_VALUE"""),3500.0)</f>
        <v>3500</v>
      </c>
      <c r="E394" s="1">
        <f>IFERROR(__xludf.DUMMYFUNCTION("""COMPUTED_VALUE"""),3500.0)</f>
        <v>3500</v>
      </c>
      <c r="F394" s="1">
        <f>IFERROR(__xludf.DUMMYFUNCTION("""COMPUTED_VALUE"""),15336.0)</f>
        <v>15336</v>
      </c>
    </row>
    <row r="395">
      <c r="A395" s="2">
        <f>IFERROR(__xludf.DUMMYFUNCTION("""COMPUTED_VALUE"""),41486.645833333336)</f>
        <v>41486.64583</v>
      </c>
      <c r="B395" s="1">
        <f>IFERROR(__xludf.DUMMYFUNCTION("""COMPUTED_VALUE"""),3450.0)</f>
        <v>3450</v>
      </c>
      <c r="C395" s="1">
        <f>IFERROR(__xludf.DUMMYFUNCTION("""COMPUTED_VALUE"""),3505.0)</f>
        <v>3505</v>
      </c>
      <c r="D395" s="1">
        <f>IFERROR(__xludf.DUMMYFUNCTION("""COMPUTED_VALUE"""),3435.0)</f>
        <v>3435</v>
      </c>
      <c r="E395" s="1">
        <f>IFERROR(__xludf.DUMMYFUNCTION("""COMPUTED_VALUE"""),3435.0)</f>
        <v>3435</v>
      </c>
      <c r="F395" s="1">
        <f>IFERROR(__xludf.DUMMYFUNCTION("""COMPUTED_VALUE"""),37670.0)</f>
        <v>37670</v>
      </c>
    </row>
    <row r="396">
      <c r="A396" s="2">
        <f>IFERROR(__xludf.DUMMYFUNCTION("""COMPUTED_VALUE"""),41487.645833333336)</f>
        <v>41487.64583</v>
      </c>
      <c r="B396" s="1">
        <f>IFERROR(__xludf.DUMMYFUNCTION("""COMPUTED_VALUE"""),3435.0)</f>
        <v>3435</v>
      </c>
      <c r="C396" s="1">
        <f>IFERROR(__xludf.DUMMYFUNCTION("""COMPUTED_VALUE"""),3550.0)</f>
        <v>3550</v>
      </c>
      <c r="D396" s="1">
        <f>IFERROR(__xludf.DUMMYFUNCTION("""COMPUTED_VALUE"""),3410.0)</f>
        <v>3410</v>
      </c>
      <c r="E396" s="1">
        <f>IFERROR(__xludf.DUMMYFUNCTION("""COMPUTED_VALUE"""),3415.0)</f>
        <v>3415</v>
      </c>
      <c r="F396" s="1">
        <f>IFERROR(__xludf.DUMMYFUNCTION("""COMPUTED_VALUE"""),33721.0)</f>
        <v>33721</v>
      </c>
    </row>
    <row r="397">
      <c r="A397" s="2">
        <f>IFERROR(__xludf.DUMMYFUNCTION("""COMPUTED_VALUE"""),41488.645833333336)</f>
        <v>41488.64583</v>
      </c>
      <c r="B397" s="1">
        <f>IFERROR(__xludf.DUMMYFUNCTION("""COMPUTED_VALUE"""),3415.0)</f>
        <v>3415</v>
      </c>
      <c r="C397" s="1">
        <f>IFERROR(__xludf.DUMMYFUNCTION("""COMPUTED_VALUE"""),3485.0)</f>
        <v>3485</v>
      </c>
      <c r="D397" s="1">
        <f>IFERROR(__xludf.DUMMYFUNCTION("""COMPUTED_VALUE"""),3415.0)</f>
        <v>3415</v>
      </c>
      <c r="E397" s="1">
        <f>IFERROR(__xludf.DUMMYFUNCTION("""COMPUTED_VALUE"""),3425.0)</f>
        <v>3425</v>
      </c>
      <c r="F397" s="1">
        <f>IFERROR(__xludf.DUMMYFUNCTION("""COMPUTED_VALUE"""),26170.0)</f>
        <v>26170</v>
      </c>
    </row>
    <row r="398">
      <c r="A398" s="2">
        <f>IFERROR(__xludf.DUMMYFUNCTION("""COMPUTED_VALUE"""),41491.645833333336)</f>
        <v>41491.64583</v>
      </c>
      <c r="B398" s="1">
        <f>IFERROR(__xludf.DUMMYFUNCTION("""COMPUTED_VALUE"""),3430.0)</f>
        <v>3430</v>
      </c>
      <c r="C398" s="1">
        <f>IFERROR(__xludf.DUMMYFUNCTION("""COMPUTED_VALUE"""),3465.0)</f>
        <v>3465</v>
      </c>
      <c r="D398" s="1">
        <f>IFERROR(__xludf.DUMMYFUNCTION("""COMPUTED_VALUE"""),3410.0)</f>
        <v>3410</v>
      </c>
      <c r="E398" s="1">
        <f>IFERROR(__xludf.DUMMYFUNCTION("""COMPUTED_VALUE"""),3435.0)</f>
        <v>3435</v>
      </c>
      <c r="F398" s="1">
        <f>IFERROR(__xludf.DUMMYFUNCTION("""COMPUTED_VALUE"""),5600.0)</f>
        <v>5600</v>
      </c>
    </row>
    <row r="399">
      <c r="A399" s="2">
        <f>IFERROR(__xludf.DUMMYFUNCTION("""COMPUTED_VALUE"""),41492.645833333336)</f>
        <v>41492.64583</v>
      </c>
      <c r="B399" s="1">
        <f>IFERROR(__xludf.DUMMYFUNCTION("""COMPUTED_VALUE"""),3440.0)</f>
        <v>3440</v>
      </c>
      <c r="C399" s="1">
        <f>IFERROR(__xludf.DUMMYFUNCTION("""COMPUTED_VALUE"""),3700.0)</f>
        <v>3700</v>
      </c>
      <c r="D399" s="1">
        <f>IFERROR(__xludf.DUMMYFUNCTION("""COMPUTED_VALUE"""),3430.0)</f>
        <v>3430</v>
      </c>
      <c r="E399" s="1">
        <f>IFERROR(__xludf.DUMMYFUNCTION("""COMPUTED_VALUE"""),3520.0)</f>
        <v>3520</v>
      </c>
      <c r="F399" s="1">
        <f>IFERROR(__xludf.DUMMYFUNCTION("""COMPUTED_VALUE"""),36470.0)</f>
        <v>36470</v>
      </c>
    </row>
    <row r="400">
      <c r="A400" s="2">
        <f>IFERROR(__xludf.DUMMYFUNCTION("""COMPUTED_VALUE"""),41493.645833333336)</f>
        <v>41493.64583</v>
      </c>
      <c r="B400" s="1">
        <f>IFERROR(__xludf.DUMMYFUNCTION("""COMPUTED_VALUE"""),3550.0)</f>
        <v>3550</v>
      </c>
      <c r="C400" s="1">
        <f>IFERROR(__xludf.DUMMYFUNCTION("""COMPUTED_VALUE"""),3560.0)</f>
        <v>3560</v>
      </c>
      <c r="D400" s="1">
        <f>IFERROR(__xludf.DUMMYFUNCTION("""COMPUTED_VALUE"""),3505.0)</f>
        <v>3505</v>
      </c>
      <c r="E400" s="1">
        <f>IFERROR(__xludf.DUMMYFUNCTION("""COMPUTED_VALUE"""),3550.0)</f>
        <v>3550</v>
      </c>
      <c r="F400" s="1">
        <f>IFERROR(__xludf.DUMMYFUNCTION("""COMPUTED_VALUE"""),30988.0)</f>
        <v>30988</v>
      </c>
    </row>
    <row r="401">
      <c r="A401" s="2">
        <f>IFERROR(__xludf.DUMMYFUNCTION("""COMPUTED_VALUE"""),41494.645833333336)</f>
        <v>41494.64583</v>
      </c>
      <c r="B401" s="1">
        <f>IFERROR(__xludf.DUMMYFUNCTION("""COMPUTED_VALUE"""),3715.0)</f>
        <v>3715</v>
      </c>
      <c r="C401" s="1">
        <f>IFERROR(__xludf.DUMMYFUNCTION("""COMPUTED_VALUE"""),3900.0)</f>
        <v>3900</v>
      </c>
      <c r="D401" s="1">
        <f>IFERROR(__xludf.DUMMYFUNCTION("""COMPUTED_VALUE"""),3635.0)</f>
        <v>3635</v>
      </c>
      <c r="E401" s="1">
        <f>IFERROR(__xludf.DUMMYFUNCTION("""COMPUTED_VALUE"""),3645.0)</f>
        <v>3645</v>
      </c>
      <c r="F401" s="1">
        <f>IFERROR(__xludf.DUMMYFUNCTION("""COMPUTED_VALUE"""),151273.0)</f>
        <v>151273</v>
      </c>
    </row>
    <row r="402">
      <c r="A402" s="2">
        <f>IFERROR(__xludf.DUMMYFUNCTION("""COMPUTED_VALUE"""),41495.645833333336)</f>
        <v>41495.64583</v>
      </c>
      <c r="B402" s="1">
        <f>IFERROR(__xludf.DUMMYFUNCTION("""COMPUTED_VALUE"""),3630.0)</f>
        <v>3630</v>
      </c>
      <c r="C402" s="1">
        <f>IFERROR(__xludf.DUMMYFUNCTION("""COMPUTED_VALUE"""),3630.0)</f>
        <v>3630</v>
      </c>
      <c r="D402" s="1">
        <f>IFERROR(__xludf.DUMMYFUNCTION("""COMPUTED_VALUE"""),3505.0)</f>
        <v>3505</v>
      </c>
      <c r="E402" s="1">
        <f>IFERROR(__xludf.DUMMYFUNCTION("""COMPUTED_VALUE"""),3540.0)</f>
        <v>3540</v>
      </c>
      <c r="F402" s="1">
        <f>IFERROR(__xludf.DUMMYFUNCTION("""COMPUTED_VALUE"""),36862.0)</f>
        <v>36862</v>
      </c>
    </row>
    <row r="403">
      <c r="A403" s="2">
        <f>IFERROR(__xludf.DUMMYFUNCTION("""COMPUTED_VALUE"""),41498.645833333336)</f>
        <v>41498.64583</v>
      </c>
      <c r="B403" s="1">
        <f>IFERROR(__xludf.DUMMYFUNCTION("""COMPUTED_VALUE"""),3540.0)</f>
        <v>3540</v>
      </c>
      <c r="C403" s="1">
        <f>IFERROR(__xludf.DUMMYFUNCTION("""COMPUTED_VALUE"""),3550.0)</f>
        <v>3550</v>
      </c>
      <c r="D403" s="1">
        <f>IFERROR(__xludf.DUMMYFUNCTION("""COMPUTED_VALUE"""),3430.0)</f>
        <v>3430</v>
      </c>
      <c r="E403" s="1">
        <f>IFERROR(__xludf.DUMMYFUNCTION("""COMPUTED_VALUE"""),3475.0)</f>
        <v>3475</v>
      </c>
      <c r="F403" s="1">
        <f>IFERROR(__xludf.DUMMYFUNCTION("""COMPUTED_VALUE"""),33782.0)</f>
        <v>33782</v>
      </c>
    </row>
    <row r="404">
      <c r="A404" s="2">
        <f>IFERROR(__xludf.DUMMYFUNCTION("""COMPUTED_VALUE"""),41499.645833333336)</f>
        <v>41499.64583</v>
      </c>
      <c r="B404" s="1">
        <f>IFERROR(__xludf.DUMMYFUNCTION("""COMPUTED_VALUE"""),3480.0)</f>
        <v>3480</v>
      </c>
      <c r="C404" s="1">
        <f>IFERROR(__xludf.DUMMYFUNCTION("""COMPUTED_VALUE"""),3620.0)</f>
        <v>3620</v>
      </c>
      <c r="D404" s="1">
        <f>IFERROR(__xludf.DUMMYFUNCTION("""COMPUTED_VALUE"""),3480.0)</f>
        <v>3480</v>
      </c>
      <c r="E404" s="1">
        <f>IFERROR(__xludf.DUMMYFUNCTION("""COMPUTED_VALUE"""),3545.0)</f>
        <v>3545</v>
      </c>
      <c r="F404" s="1">
        <f>IFERROR(__xludf.DUMMYFUNCTION("""COMPUTED_VALUE"""),50720.0)</f>
        <v>50720</v>
      </c>
    </row>
    <row r="405">
      <c r="A405" s="2">
        <f>IFERROR(__xludf.DUMMYFUNCTION("""COMPUTED_VALUE"""),41500.645833333336)</f>
        <v>41500.64583</v>
      </c>
      <c r="B405" s="1">
        <f>IFERROR(__xludf.DUMMYFUNCTION("""COMPUTED_VALUE"""),3570.0)</f>
        <v>3570</v>
      </c>
      <c r="C405" s="1">
        <f>IFERROR(__xludf.DUMMYFUNCTION("""COMPUTED_VALUE"""),3615.0)</f>
        <v>3615</v>
      </c>
      <c r="D405" s="1">
        <f>IFERROR(__xludf.DUMMYFUNCTION("""COMPUTED_VALUE"""),3550.0)</f>
        <v>3550</v>
      </c>
      <c r="E405" s="1">
        <f>IFERROR(__xludf.DUMMYFUNCTION("""COMPUTED_VALUE"""),3550.0)</f>
        <v>3550</v>
      </c>
      <c r="F405" s="1">
        <f>IFERROR(__xludf.DUMMYFUNCTION("""COMPUTED_VALUE"""),16061.0)</f>
        <v>16061</v>
      </c>
    </row>
    <row r="406">
      <c r="A406" s="2">
        <f>IFERROR(__xludf.DUMMYFUNCTION("""COMPUTED_VALUE"""),41502.645833333336)</f>
        <v>41502.64583</v>
      </c>
      <c r="B406" s="1">
        <f>IFERROR(__xludf.DUMMYFUNCTION("""COMPUTED_VALUE"""),3600.0)</f>
        <v>3600</v>
      </c>
      <c r="C406" s="1">
        <f>IFERROR(__xludf.DUMMYFUNCTION("""COMPUTED_VALUE"""),3645.0)</f>
        <v>3645</v>
      </c>
      <c r="D406" s="1">
        <f>IFERROR(__xludf.DUMMYFUNCTION("""COMPUTED_VALUE"""),3545.0)</f>
        <v>3545</v>
      </c>
      <c r="E406" s="1">
        <f>IFERROR(__xludf.DUMMYFUNCTION("""COMPUTED_VALUE"""),3545.0)</f>
        <v>3545</v>
      </c>
      <c r="F406" s="1">
        <f>IFERROR(__xludf.DUMMYFUNCTION("""COMPUTED_VALUE"""),31240.0)</f>
        <v>31240</v>
      </c>
    </row>
    <row r="407">
      <c r="A407" s="2">
        <f>IFERROR(__xludf.DUMMYFUNCTION("""COMPUTED_VALUE"""),41505.645833333336)</f>
        <v>41505.64583</v>
      </c>
      <c r="B407" s="1">
        <f>IFERROR(__xludf.DUMMYFUNCTION("""COMPUTED_VALUE"""),3550.0)</f>
        <v>3550</v>
      </c>
      <c r="C407" s="1">
        <f>IFERROR(__xludf.DUMMYFUNCTION("""COMPUTED_VALUE"""),3640.0)</f>
        <v>3640</v>
      </c>
      <c r="D407" s="1">
        <f>IFERROR(__xludf.DUMMYFUNCTION("""COMPUTED_VALUE"""),3505.0)</f>
        <v>3505</v>
      </c>
      <c r="E407" s="1">
        <f>IFERROR(__xludf.DUMMYFUNCTION("""COMPUTED_VALUE"""),3545.0)</f>
        <v>3545</v>
      </c>
      <c r="F407" s="1">
        <f>IFERROR(__xludf.DUMMYFUNCTION("""COMPUTED_VALUE"""),22131.0)</f>
        <v>22131</v>
      </c>
    </row>
    <row r="408">
      <c r="A408" s="2">
        <f>IFERROR(__xludf.DUMMYFUNCTION("""COMPUTED_VALUE"""),41506.645833333336)</f>
        <v>41506.64583</v>
      </c>
      <c r="B408" s="1">
        <f>IFERROR(__xludf.DUMMYFUNCTION("""COMPUTED_VALUE"""),3545.0)</f>
        <v>3545</v>
      </c>
      <c r="C408" s="1">
        <f>IFERROR(__xludf.DUMMYFUNCTION("""COMPUTED_VALUE"""),3575.0)</f>
        <v>3575</v>
      </c>
      <c r="D408" s="1">
        <f>IFERROR(__xludf.DUMMYFUNCTION("""COMPUTED_VALUE"""),3485.0)</f>
        <v>3485</v>
      </c>
      <c r="E408" s="1">
        <f>IFERROR(__xludf.DUMMYFUNCTION("""COMPUTED_VALUE"""),3500.0)</f>
        <v>3500</v>
      </c>
      <c r="F408" s="1">
        <f>IFERROR(__xludf.DUMMYFUNCTION("""COMPUTED_VALUE"""),37960.0)</f>
        <v>37960</v>
      </c>
    </row>
    <row r="409">
      <c r="A409" s="2">
        <f>IFERROR(__xludf.DUMMYFUNCTION("""COMPUTED_VALUE"""),41507.645833333336)</f>
        <v>41507.64583</v>
      </c>
      <c r="B409" s="1">
        <f>IFERROR(__xludf.DUMMYFUNCTION("""COMPUTED_VALUE"""),3510.0)</f>
        <v>3510</v>
      </c>
      <c r="C409" s="1">
        <f>IFERROR(__xludf.DUMMYFUNCTION("""COMPUTED_VALUE"""),3705.0)</f>
        <v>3705</v>
      </c>
      <c r="D409" s="1">
        <f>IFERROR(__xludf.DUMMYFUNCTION("""COMPUTED_VALUE"""),3445.0)</f>
        <v>3445</v>
      </c>
      <c r="E409" s="1">
        <f>IFERROR(__xludf.DUMMYFUNCTION("""COMPUTED_VALUE"""),3630.0)</f>
        <v>3630</v>
      </c>
      <c r="F409" s="1">
        <f>IFERROR(__xludf.DUMMYFUNCTION("""COMPUTED_VALUE"""),149398.0)</f>
        <v>149398</v>
      </c>
    </row>
    <row r="410">
      <c r="A410" s="2">
        <f>IFERROR(__xludf.DUMMYFUNCTION("""COMPUTED_VALUE"""),41508.645833333336)</f>
        <v>41508.64583</v>
      </c>
      <c r="B410" s="1">
        <f>IFERROR(__xludf.DUMMYFUNCTION("""COMPUTED_VALUE"""),3630.0)</f>
        <v>3630</v>
      </c>
      <c r="C410" s="1">
        <f>IFERROR(__xludf.DUMMYFUNCTION("""COMPUTED_VALUE"""),3645.0)</f>
        <v>3645</v>
      </c>
      <c r="D410" s="1">
        <f>IFERROR(__xludf.DUMMYFUNCTION("""COMPUTED_VALUE"""),3580.0)</f>
        <v>3580</v>
      </c>
      <c r="E410" s="1">
        <f>IFERROR(__xludf.DUMMYFUNCTION("""COMPUTED_VALUE"""),3635.0)</f>
        <v>3635</v>
      </c>
      <c r="F410" s="1">
        <f>IFERROR(__xludf.DUMMYFUNCTION("""COMPUTED_VALUE"""),25403.0)</f>
        <v>25403</v>
      </c>
    </row>
    <row r="411">
      <c r="A411" s="2">
        <f>IFERROR(__xludf.DUMMYFUNCTION("""COMPUTED_VALUE"""),41509.645833333336)</f>
        <v>41509.64583</v>
      </c>
      <c r="B411" s="1">
        <f>IFERROR(__xludf.DUMMYFUNCTION("""COMPUTED_VALUE"""),3615.0)</f>
        <v>3615</v>
      </c>
      <c r="C411" s="1">
        <f>IFERROR(__xludf.DUMMYFUNCTION("""COMPUTED_VALUE"""),3680.0)</f>
        <v>3680</v>
      </c>
      <c r="D411" s="1">
        <f>IFERROR(__xludf.DUMMYFUNCTION("""COMPUTED_VALUE"""),3615.0)</f>
        <v>3615</v>
      </c>
      <c r="E411" s="1">
        <f>IFERROR(__xludf.DUMMYFUNCTION("""COMPUTED_VALUE"""),3645.0)</f>
        <v>3645</v>
      </c>
      <c r="F411" s="1">
        <f>IFERROR(__xludf.DUMMYFUNCTION("""COMPUTED_VALUE"""),15224.0)</f>
        <v>15224</v>
      </c>
    </row>
    <row r="412">
      <c r="A412" s="2">
        <f>IFERROR(__xludf.DUMMYFUNCTION("""COMPUTED_VALUE"""),41512.645833333336)</f>
        <v>41512.64583</v>
      </c>
      <c r="B412" s="1">
        <f>IFERROR(__xludf.DUMMYFUNCTION("""COMPUTED_VALUE"""),3630.0)</f>
        <v>3630</v>
      </c>
      <c r="C412" s="1">
        <f>IFERROR(__xludf.DUMMYFUNCTION("""COMPUTED_VALUE"""),3735.0)</f>
        <v>3735</v>
      </c>
      <c r="D412" s="1">
        <f>IFERROR(__xludf.DUMMYFUNCTION("""COMPUTED_VALUE"""),3600.0)</f>
        <v>3600</v>
      </c>
      <c r="E412" s="1">
        <f>IFERROR(__xludf.DUMMYFUNCTION("""COMPUTED_VALUE"""),3735.0)</f>
        <v>3735</v>
      </c>
      <c r="F412" s="1">
        <f>IFERROR(__xludf.DUMMYFUNCTION("""COMPUTED_VALUE"""),12342.0)</f>
        <v>12342</v>
      </c>
    </row>
    <row r="413">
      <c r="A413" s="2">
        <f>IFERROR(__xludf.DUMMYFUNCTION("""COMPUTED_VALUE"""),41513.645833333336)</f>
        <v>41513.64583</v>
      </c>
      <c r="B413" s="1">
        <f>IFERROR(__xludf.DUMMYFUNCTION("""COMPUTED_VALUE"""),3730.0)</f>
        <v>3730</v>
      </c>
      <c r="C413" s="1">
        <f>IFERROR(__xludf.DUMMYFUNCTION("""COMPUTED_VALUE"""),3730.0)</f>
        <v>3730</v>
      </c>
      <c r="D413" s="1">
        <f>IFERROR(__xludf.DUMMYFUNCTION("""COMPUTED_VALUE"""),3650.0)</f>
        <v>3650</v>
      </c>
      <c r="E413" s="1">
        <f>IFERROR(__xludf.DUMMYFUNCTION("""COMPUTED_VALUE"""),3700.0)</f>
        <v>3700</v>
      </c>
      <c r="F413" s="1">
        <f>IFERROR(__xludf.DUMMYFUNCTION("""COMPUTED_VALUE"""),23700.0)</f>
        <v>23700</v>
      </c>
    </row>
    <row r="414">
      <c r="A414" s="2">
        <f>IFERROR(__xludf.DUMMYFUNCTION("""COMPUTED_VALUE"""),41514.645833333336)</f>
        <v>41514.64583</v>
      </c>
      <c r="B414" s="1">
        <f>IFERROR(__xludf.DUMMYFUNCTION("""COMPUTED_VALUE"""),3625.0)</f>
        <v>3625</v>
      </c>
      <c r="C414" s="1">
        <f>IFERROR(__xludf.DUMMYFUNCTION("""COMPUTED_VALUE"""),3685.0)</f>
        <v>3685</v>
      </c>
      <c r="D414" s="1">
        <f>IFERROR(__xludf.DUMMYFUNCTION("""COMPUTED_VALUE"""),3570.0)</f>
        <v>3570</v>
      </c>
      <c r="E414" s="1">
        <f>IFERROR(__xludf.DUMMYFUNCTION("""COMPUTED_VALUE"""),3595.0)</f>
        <v>3595</v>
      </c>
      <c r="F414" s="1">
        <f>IFERROR(__xludf.DUMMYFUNCTION("""COMPUTED_VALUE"""),18230.0)</f>
        <v>18230</v>
      </c>
    </row>
    <row r="415">
      <c r="A415" s="2">
        <f>IFERROR(__xludf.DUMMYFUNCTION("""COMPUTED_VALUE"""),41515.645833333336)</f>
        <v>41515.64583</v>
      </c>
      <c r="B415" s="1">
        <f>IFERROR(__xludf.DUMMYFUNCTION("""COMPUTED_VALUE"""),3585.0)</f>
        <v>3585</v>
      </c>
      <c r="C415" s="1">
        <f>IFERROR(__xludf.DUMMYFUNCTION("""COMPUTED_VALUE"""),3680.0)</f>
        <v>3680</v>
      </c>
      <c r="D415" s="1">
        <f>IFERROR(__xludf.DUMMYFUNCTION("""COMPUTED_VALUE"""),3585.0)</f>
        <v>3585</v>
      </c>
      <c r="E415" s="1">
        <f>IFERROR(__xludf.DUMMYFUNCTION("""COMPUTED_VALUE"""),3665.0)</f>
        <v>3665</v>
      </c>
      <c r="F415" s="1">
        <f>IFERROR(__xludf.DUMMYFUNCTION("""COMPUTED_VALUE"""),10042.0)</f>
        <v>10042</v>
      </c>
    </row>
    <row r="416">
      <c r="A416" s="2">
        <f>IFERROR(__xludf.DUMMYFUNCTION("""COMPUTED_VALUE"""),41516.645833333336)</f>
        <v>41516.64583</v>
      </c>
      <c r="B416" s="1">
        <f>IFERROR(__xludf.DUMMYFUNCTION("""COMPUTED_VALUE"""),3720.0)</f>
        <v>3720</v>
      </c>
      <c r="C416" s="1">
        <f>IFERROR(__xludf.DUMMYFUNCTION("""COMPUTED_VALUE"""),3720.0)</f>
        <v>3720</v>
      </c>
      <c r="D416" s="1">
        <f>IFERROR(__xludf.DUMMYFUNCTION("""COMPUTED_VALUE"""),3650.0)</f>
        <v>3650</v>
      </c>
      <c r="E416" s="1">
        <f>IFERROR(__xludf.DUMMYFUNCTION("""COMPUTED_VALUE"""),3650.0)</f>
        <v>3650</v>
      </c>
      <c r="F416" s="1">
        <f>IFERROR(__xludf.DUMMYFUNCTION("""COMPUTED_VALUE"""),21705.0)</f>
        <v>21705</v>
      </c>
    </row>
    <row r="417">
      <c r="A417" s="2">
        <f>IFERROR(__xludf.DUMMYFUNCTION("""COMPUTED_VALUE"""),41519.645833333336)</f>
        <v>41519.64583</v>
      </c>
      <c r="B417" s="1">
        <f>IFERROR(__xludf.DUMMYFUNCTION("""COMPUTED_VALUE"""),3610.0)</f>
        <v>3610</v>
      </c>
      <c r="C417" s="1">
        <f>IFERROR(__xludf.DUMMYFUNCTION("""COMPUTED_VALUE"""),3650.0)</f>
        <v>3650</v>
      </c>
      <c r="D417" s="1">
        <f>IFERROR(__xludf.DUMMYFUNCTION("""COMPUTED_VALUE"""),3570.0)</f>
        <v>3570</v>
      </c>
      <c r="E417" s="1">
        <f>IFERROR(__xludf.DUMMYFUNCTION("""COMPUTED_VALUE"""),3575.0)</f>
        <v>3575</v>
      </c>
      <c r="F417" s="1">
        <f>IFERROR(__xludf.DUMMYFUNCTION("""COMPUTED_VALUE"""),38952.0)</f>
        <v>38952</v>
      </c>
    </row>
    <row r="418">
      <c r="A418" s="2">
        <f>IFERROR(__xludf.DUMMYFUNCTION("""COMPUTED_VALUE"""),41520.645833333336)</f>
        <v>41520.64583</v>
      </c>
      <c r="B418" s="1">
        <f>IFERROR(__xludf.DUMMYFUNCTION("""COMPUTED_VALUE"""),3600.0)</f>
        <v>3600</v>
      </c>
      <c r="C418" s="1">
        <f>IFERROR(__xludf.DUMMYFUNCTION("""COMPUTED_VALUE"""),3830.0)</f>
        <v>3830</v>
      </c>
      <c r="D418" s="1">
        <f>IFERROR(__xludf.DUMMYFUNCTION("""COMPUTED_VALUE"""),3600.0)</f>
        <v>3600</v>
      </c>
      <c r="E418" s="1">
        <f>IFERROR(__xludf.DUMMYFUNCTION("""COMPUTED_VALUE"""),3785.0)</f>
        <v>3785</v>
      </c>
      <c r="F418" s="1">
        <f>IFERROR(__xludf.DUMMYFUNCTION("""COMPUTED_VALUE"""),99131.0)</f>
        <v>99131</v>
      </c>
    </row>
    <row r="419">
      <c r="A419" s="2">
        <f>IFERROR(__xludf.DUMMYFUNCTION("""COMPUTED_VALUE"""),41521.645833333336)</f>
        <v>41521.64583</v>
      </c>
      <c r="B419" s="1">
        <f>IFERROR(__xludf.DUMMYFUNCTION("""COMPUTED_VALUE"""),3785.0)</f>
        <v>3785</v>
      </c>
      <c r="C419" s="1">
        <f>IFERROR(__xludf.DUMMYFUNCTION("""COMPUTED_VALUE"""),3885.0)</f>
        <v>3885</v>
      </c>
      <c r="D419" s="1">
        <f>IFERROR(__xludf.DUMMYFUNCTION("""COMPUTED_VALUE"""),3780.0)</f>
        <v>3780</v>
      </c>
      <c r="E419" s="1">
        <f>IFERROR(__xludf.DUMMYFUNCTION("""COMPUTED_VALUE"""),3880.0)</f>
        <v>3880</v>
      </c>
      <c r="F419" s="1">
        <f>IFERROR(__xludf.DUMMYFUNCTION("""COMPUTED_VALUE"""),36515.0)</f>
        <v>36515</v>
      </c>
    </row>
    <row r="420">
      <c r="A420" s="2">
        <f>IFERROR(__xludf.DUMMYFUNCTION("""COMPUTED_VALUE"""),41522.645833333336)</f>
        <v>41522.64583</v>
      </c>
      <c r="B420" s="1">
        <f>IFERROR(__xludf.DUMMYFUNCTION("""COMPUTED_VALUE"""),3870.0)</f>
        <v>3870</v>
      </c>
      <c r="C420" s="1">
        <f>IFERROR(__xludf.DUMMYFUNCTION("""COMPUTED_VALUE"""),3900.0)</f>
        <v>3900</v>
      </c>
      <c r="D420" s="1">
        <f>IFERROR(__xludf.DUMMYFUNCTION("""COMPUTED_VALUE"""),3765.0)</f>
        <v>3765</v>
      </c>
      <c r="E420" s="1">
        <f>IFERROR(__xludf.DUMMYFUNCTION("""COMPUTED_VALUE"""),3825.0)</f>
        <v>3825</v>
      </c>
      <c r="F420" s="1">
        <f>IFERROR(__xludf.DUMMYFUNCTION("""COMPUTED_VALUE"""),38354.0)</f>
        <v>38354</v>
      </c>
    </row>
    <row r="421">
      <c r="A421" s="2">
        <f>IFERROR(__xludf.DUMMYFUNCTION("""COMPUTED_VALUE"""),41523.645833333336)</f>
        <v>41523.64583</v>
      </c>
      <c r="B421" s="1">
        <f>IFERROR(__xludf.DUMMYFUNCTION("""COMPUTED_VALUE"""),3770.0)</f>
        <v>3770</v>
      </c>
      <c r="C421" s="1">
        <f>IFERROR(__xludf.DUMMYFUNCTION("""COMPUTED_VALUE"""),3820.0)</f>
        <v>3820</v>
      </c>
      <c r="D421" s="1">
        <f>IFERROR(__xludf.DUMMYFUNCTION("""COMPUTED_VALUE"""),3735.0)</f>
        <v>3735</v>
      </c>
      <c r="E421" s="1">
        <f>IFERROR(__xludf.DUMMYFUNCTION("""COMPUTED_VALUE"""),3765.0)</f>
        <v>3765</v>
      </c>
      <c r="F421" s="1">
        <f>IFERROR(__xludf.DUMMYFUNCTION("""COMPUTED_VALUE"""),44556.0)</f>
        <v>44556</v>
      </c>
    </row>
    <row r="422">
      <c r="A422" s="2">
        <f>IFERROR(__xludf.DUMMYFUNCTION("""COMPUTED_VALUE"""),41526.645833333336)</f>
        <v>41526.64583</v>
      </c>
      <c r="B422" s="1">
        <f>IFERROR(__xludf.DUMMYFUNCTION("""COMPUTED_VALUE"""),3810.0)</f>
        <v>3810</v>
      </c>
      <c r="C422" s="1">
        <f>IFERROR(__xludf.DUMMYFUNCTION("""COMPUTED_VALUE"""),3820.0)</f>
        <v>3820</v>
      </c>
      <c r="D422" s="1">
        <f>IFERROR(__xludf.DUMMYFUNCTION("""COMPUTED_VALUE"""),3680.0)</f>
        <v>3680</v>
      </c>
      <c r="E422" s="1">
        <f>IFERROR(__xludf.DUMMYFUNCTION("""COMPUTED_VALUE"""),3745.0)</f>
        <v>3745</v>
      </c>
      <c r="F422" s="1">
        <f>IFERROR(__xludf.DUMMYFUNCTION("""COMPUTED_VALUE"""),37460.0)</f>
        <v>37460</v>
      </c>
    </row>
    <row r="423">
      <c r="A423" s="2">
        <f>IFERROR(__xludf.DUMMYFUNCTION("""COMPUTED_VALUE"""),41527.645833333336)</f>
        <v>41527.64583</v>
      </c>
      <c r="B423" s="1">
        <f>IFERROR(__xludf.DUMMYFUNCTION("""COMPUTED_VALUE"""),3755.0)</f>
        <v>3755</v>
      </c>
      <c r="C423" s="1">
        <f>IFERROR(__xludf.DUMMYFUNCTION("""COMPUTED_VALUE"""),3790.0)</f>
        <v>3790</v>
      </c>
      <c r="D423" s="1">
        <f>IFERROR(__xludf.DUMMYFUNCTION("""COMPUTED_VALUE"""),3690.0)</f>
        <v>3690</v>
      </c>
      <c r="E423" s="1">
        <f>IFERROR(__xludf.DUMMYFUNCTION("""COMPUTED_VALUE"""),3750.0)</f>
        <v>3750</v>
      </c>
      <c r="F423" s="1">
        <f>IFERROR(__xludf.DUMMYFUNCTION("""COMPUTED_VALUE"""),34751.0)</f>
        <v>34751</v>
      </c>
    </row>
    <row r="424">
      <c r="A424" s="2">
        <f>IFERROR(__xludf.DUMMYFUNCTION("""COMPUTED_VALUE"""),41528.645833333336)</f>
        <v>41528.64583</v>
      </c>
      <c r="B424" s="1">
        <f>IFERROR(__xludf.DUMMYFUNCTION("""COMPUTED_VALUE"""),3800.0)</f>
        <v>3800</v>
      </c>
      <c r="C424" s="1">
        <f>IFERROR(__xludf.DUMMYFUNCTION("""COMPUTED_VALUE"""),3845.0)</f>
        <v>3845</v>
      </c>
      <c r="D424" s="1">
        <f>IFERROR(__xludf.DUMMYFUNCTION("""COMPUTED_VALUE"""),3765.0)</f>
        <v>3765</v>
      </c>
      <c r="E424" s="1">
        <f>IFERROR(__xludf.DUMMYFUNCTION("""COMPUTED_VALUE"""),3830.0)</f>
        <v>3830</v>
      </c>
      <c r="F424" s="1">
        <f>IFERROR(__xludf.DUMMYFUNCTION("""COMPUTED_VALUE"""),26589.0)</f>
        <v>26589</v>
      </c>
    </row>
    <row r="425">
      <c r="A425" s="2">
        <f>IFERROR(__xludf.DUMMYFUNCTION("""COMPUTED_VALUE"""),41529.645833333336)</f>
        <v>41529.64583</v>
      </c>
      <c r="B425" s="1">
        <f>IFERROR(__xludf.DUMMYFUNCTION("""COMPUTED_VALUE"""),3805.0)</f>
        <v>3805</v>
      </c>
      <c r="C425" s="1">
        <f>IFERROR(__xludf.DUMMYFUNCTION("""COMPUTED_VALUE"""),3860.0)</f>
        <v>3860</v>
      </c>
      <c r="D425" s="1">
        <f>IFERROR(__xludf.DUMMYFUNCTION("""COMPUTED_VALUE"""),3770.0)</f>
        <v>3770</v>
      </c>
      <c r="E425" s="1">
        <f>IFERROR(__xludf.DUMMYFUNCTION("""COMPUTED_VALUE"""),3825.0)</f>
        <v>3825</v>
      </c>
      <c r="F425" s="1">
        <f>IFERROR(__xludf.DUMMYFUNCTION("""COMPUTED_VALUE"""),21255.0)</f>
        <v>21255</v>
      </c>
    </row>
    <row r="426">
      <c r="A426" s="2">
        <f>IFERROR(__xludf.DUMMYFUNCTION("""COMPUTED_VALUE"""),41530.645833333336)</f>
        <v>41530.64583</v>
      </c>
      <c r="B426" s="1">
        <f>IFERROR(__xludf.DUMMYFUNCTION("""COMPUTED_VALUE"""),3825.0)</f>
        <v>3825</v>
      </c>
      <c r="C426" s="1">
        <f>IFERROR(__xludf.DUMMYFUNCTION("""COMPUTED_VALUE"""),3935.0)</f>
        <v>3935</v>
      </c>
      <c r="D426" s="1">
        <f>IFERROR(__xludf.DUMMYFUNCTION("""COMPUTED_VALUE"""),3810.0)</f>
        <v>3810</v>
      </c>
      <c r="E426" s="1">
        <f>IFERROR(__xludf.DUMMYFUNCTION("""COMPUTED_VALUE"""),3910.0)</f>
        <v>3910</v>
      </c>
      <c r="F426" s="1">
        <f>IFERROR(__xludf.DUMMYFUNCTION("""COMPUTED_VALUE"""),51151.0)</f>
        <v>51151</v>
      </c>
    </row>
    <row r="427">
      <c r="A427" s="2">
        <f>IFERROR(__xludf.DUMMYFUNCTION("""COMPUTED_VALUE"""),41533.645833333336)</f>
        <v>41533.64583</v>
      </c>
      <c r="B427" s="1">
        <f>IFERROR(__xludf.DUMMYFUNCTION("""COMPUTED_VALUE"""),3980.0)</f>
        <v>3980</v>
      </c>
      <c r="C427" s="1">
        <f>IFERROR(__xludf.DUMMYFUNCTION("""COMPUTED_VALUE"""),4080.0)</f>
        <v>4080</v>
      </c>
      <c r="D427" s="1">
        <f>IFERROR(__xludf.DUMMYFUNCTION("""COMPUTED_VALUE"""),3875.0)</f>
        <v>3875</v>
      </c>
      <c r="E427" s="1">
        <f>IFERROR(__xludf.DUMMYFUNCTION("""COMPUTED_VALUE"""),3945.0)</f>
        <v>3945</v>
      </c>
      <c r="F427" s="1">
        <f>IFERROR(__xludf.DUMMYFUNCTION("""COMPUTED_VALUE"""),36380.0)</f>
        <v>36380</v>
      </c>
    </row>
    <row r="428">
      <c r="A428" s="2">
        <f>IFERROR(__xludf.DUMMYFUNCTION("""COMPUTED_VALUE"""),41534.645833333336)</f>
        <v>41534.64583</v>
      </c>
      <c r="B428" s="1">
        <f>IFERROR(__xludf.DUMMYFUNCTION("""COMPUTED_VALUE"""),3945.0)</f>
        <v>3945</v>
      </c>
      <c r="C428" s="1">
        <f>IFERROR(__xludf.DUMMYFUNCTION("""COMPUTED_VALUE"""),3945.0)</f>
        <v>3945</v>
      </c>
      <c r="D428" s="1">
        <f>IFERROR(__xludf.DUMMYFUNCTION("""COMPUTED_VALUE"""),3885.0)</f>
        <v>3885</v>
      </c>
      <c r="E428" s="1">
        <f>IFERROR(__xludf.DUMMYFUNCTION("""COMPUTED_VALUE"""),3915.0)</f>
        <v>3915</v>
      </c>
      <c r="F428" s="1">
        <f>IFERROR(__xludf.DUMMYFUNCTION("""COMPUTED_VALUE"""),12911.0)</f>
        <v>12911</v>
      </c>
    </row>
    <row r="429">
      <c r="A429" s="2">
        <f>IFERROR(__xludf.DUMMYFUNCTION("""COMPUTED_VALUE"""),41540.645833333336)</f>
        <v>41540.64583</v>
      </c>
      <c r="B429" s="1">
        <f>IFERROR(__xludf.DUMMYFUNCTION("""COMPUTED_VALUE"""),3990.0)</f>
        <v>3990</v>
      </c>
      <c r="C429" s="1">
        <f>IFERROR(__xludf.DUMMYFUNCTION("""COMPUTED_VALUE"""),3990.0)</f>
        <v>3990</v>
      </c>
      <c r="D429" s="1">
        <f>IFERROR(__xludf.DUMMYFUNCTION("""COMPUTED_VALUE"""),3750.0)</f>
        <v>3750</v>
      </c>
      <c r="E429" s="1">
        <f>IFERROR(__xludf.DUMMYFUNCTION("""COMPUTED_VALUE"""),3770.0)</f>
        <v>3770</v>
      </c>
      <c r="F429" s="1">
        <f>IFERROR(__xludf.DUMMYFUNCTION("""COMPUTED_VALUE"""),60023.0)</f>
        <v>60023</v>
      </c>
    </row>
    <row r="430">
      <c r="A430" s="2">
        <f>IFERROR(__xludf.DUMMYFUNCTION("""COMPUTED_VALUE"""),41541.645833333336)</f>
        <v>41541.64583</v>
      </c>
      <c r="B430" s="1">
        <f>IFERROR(__xludf.DUMMYFUNCTION("""COMPUTED_VALUE"""),3825.0)</f>
        <v>3825</v>
      </c>
      <c r="C430" s="1">
        <f>IFERROR(__xludf.DUMMYFUNCTION("""COMPUTED_VALUE"""),3825.0)</f>
        <v>3825</v>
      </c>
      <c r="D430" s="1">
        <f>IFERROR(__xludf.DUMMYFUNCTION("""COMPUTED_VALUE"""),3710.0)</f>
        <v>3710</v>
      </c>
      <c r="E430" s="1">
        <f>IFERROR(__xludf.DUMMYFUNCTION("""COMPUTED_VALUE"""),3745.0)</f>
        <v>3745</v>
      </c>
      <c r="F430" s="1">
        <f>IFERROR(__xludf.DUMMYFUNCTION("""COMPUTED_VALUE"""),22880.0)</f>
        <v>22880</v>
      </c>
    </row>
    <row r="431">
      <c r="A431" s="2">
        <f>IFERROR(__xludf.DUMMYFUNCTION("""COMPUTED_VALUE"""),41542.645833333336)</f>
        <v>41542.64583</v>
      </c>
      <c r="B431" s="1">
        <f>IFERROR(__xludf.DUMMYFUNCTION("""COMPUTED_VALUE"""),3760.0)</f>
        <v>3760</v>
      </c>
      <c r="C431" s="1">
        <f>IFERROR(__xludf.DUMMYFUNCTION("""COMPUTED_VALUE"""),3785.0)</f>
        <v>3785</v>
      </c>
      <c r="D431" s="1">
        <f>IFERROR(__xludf.DUMMYFUNCTION("""COMPUTED_VALUE"""),3725.0)</f>
        <v>3725</v>
      </c>
      <c r="E431" s="1">
        <f>IFERROR(__xludf.DUMMYFUNCTION("""COMPUTED_VALUE"""),3760.0)</f>
        <v>3760</v>
      </c>
      <c r="F431" s="1">
        <f>IFERROR(__xludf.DUMMYFUNCTION("""COMPUTED_VALUE"""),21890.0)</f>
        <v>21890</v>
      </c>
    </row>
    <row r="432">
      <c r="A432" s="2">
        <f>IFERROR(__xludf.DUMMYFUNCTION("""COMPUTED_VALUE"""),41543.645833333336)</f>
        <v>41543.64583</v>
      </c>
      <c r="B432" s="1">
        <f>IFERROR(__xludf.DUMMYFUNCTION("""COMPUTED_VALUE"""),3760.0)</f>
        <v>3760</v>
      </c>
      <c r="C432" s="1">
        <f>IFERROR(__xludf.DUMMYFUNCTION("""COMPUTED_VALUE"""),3820.0)</f>
        <v>3820</v>
      </c>
      <c r="D432" s="1">
        <f>IFERROR(__xludf.DUMMYFUNCTION("""COMPUTED_VALUE"""),3720.0)</f>
        <v>3720</v>
      </c>
      <c r="E432" s="1">
        <f>IFERROR(__xludf.DUMMYFUNCTION("""COMPUTED_VALUE"""),3810.0)</f>
        <v>3810</v>
      </c>
      <c r="F432" s="1">
        <f>IFERROR(__xludf.DUMMYFUNCTION("""COMPUTED_VALUE"""),34530.0)</f>
        <v>34530</v>
      </c>
    </row>
    <row r="433">
      <c r="A433" s="2">
        <f>IFERROR(__xludf.DUMMYFUNCTION("""COMPUTED_VALUE"""),41544.645833333336)</f>
        <v>41544.64583</v>
      </c>
      <c r="B433" s="1">
        <f>IFERROR(__xludf.DUMMYFUNCTION("""COMPUTED_VALUE"""),3820.0)</f>
        <v>3820</v>
      </c>
      <c r="C433" s="1">
        <f>IFERROR(__xludf.DUMMYFUNCTION("""COMPUTED_VALUE"""),3835.0)</f>
        <v>3835</v>
      </c>
      <c r="D433" s="1">
        <f>IFERROR(__xludf.DUMMYFUNCTION("""COMPUTED_VALUE"""),3770.0)</f>
        <v>3770</v>
      </c>
      <c r="E433" s="1">
        <f>IFERROR(__xludf.DUMMYFUNCTION("""COMPUTED_VALUE"""),3805.0)</f>
        <v>3805</v>
      </c>
      <c r="F433" s="1">
        <f>IFERROR(__xludf.DUMMYFUNCTION("""COMPUTED_VALUE"""),40430.0)</f>
        <v>40430</v>
      </c>
    </row>
    <row r="434">
      <c r="A434" s="2">
        <f>IFERROR(__xludf.DUMMYFUNCTION("""COMPUTED_VALUE"""),41547.645833333336)</f>
        <v>41547.64583</v>
      </c>
      <c r="B434" s="1">
        <f>IFERROR(__xludf.DUMMYFUNCTION("""COMPUTED_VALUE"""),3830.0)</f>
        <v>3830</v>
      </c>
      <c r="C434" s="1">
        <f>IFERROR(__xludf.DUMMYFUNCTION("""COMPUTED_VALUE"""),3870.0)</f>
        <v>3870</v>
      </c>
      <c r="D434" s="1">
        <f>IFERROR(__xludf.DUMMYFUNCTION("""COMPUTED_VALUE"""),3805.0)</f>
        <v>3805</v>
      </c>
      <c r="E434" s="1">
        <f>IFERROR(__xludf.DUMMYFUNCTION("""COMPUTED_VALUE"""),3840.0)</f>
        <v>3840</v>
      </c>
      <c r="F434" s="1">
        <f>IFERROR(__xludf.DUMMYFUNCTION("""COMPUTED_VALUE"""),27020.0)</f>
        <v>27020</v>
      </c>
    </row>
    <row r="435">
      <c r="A435" s="2">
        <f>IFERROR(__xludf.DUMMYFUNCTION("""COMPUTED_VALUE"""),41548.645833333336)</f>
        <v>41548.64583</v>
      </c>
      <c r="B435" s="1">
        <f>IFERROR(__xludf.DUMMYFUNCTION("""COMPUTED_VALUE"""),3880.0)</f>
        <v>3880</v>
      </c>
      <c r="C435" s="1">
        <f>IFERROR(__xludf.DUMMYFUNCTION("""COMPUTED_VALUE"""),3885.0)</f>
        <v>3885</v>
      </c>
      <c r="D435" s="1">
        <f>IFERROR(__xludf.DUMMYFUNCTION("""COMPUTED_VALUE"""),3820.0)</f>
        <v>3820</v>
      </c>
      <c r="E435" s="1">
        <f>IFERROR(__xludf.DUMMYFUNCTION("""COMPUTED_VALUE"""),3850.0)</f>
        <v>3850</v>
      </c>
      <c r="F435" s="1">
        <f>IFERROR(__xludf.DUMMYFUNCTION("""COMPUTED_VALUE"""),18990.0)</f>
        <v>18990</v>
      </c>
    </row>
    <row r="436">
      <c r="A436" s="2">
        <f>IFERROR(__xludf.DUMMYFUNCTION("""COMPUTED_VALUE"""),41549.645833333336)</f>
        <v>41549.64583</v>
      </c>
      <c r="B436" s="1">
        <f>IFERROR(__xludf.DUMMYFUNCTION("""COMPUTED_VALUE"""),3900.0)</f>
        <v>3900</v>
      </c>
      <c r="C436" s="1">
        <f>IFERROR(__xludf.DUMMYFUNCTION("""COMPUTED_VALUE"""),3930.0)</f>
        <v>3930</v>
      </c>
      <c r="D436" s="1">
        <f>IFERROR(__xludf.DUMMYFUNCTION("""COMPUTED_VALUE"""),3840.0)</f>
        <v>3840</v>
      </c>
      <c r="E436" s="1">
        <f>IFERROR(__xludf.DUMMYFUNCTION("""COMPUTED_VALUE"""),3900.0)</f>
        <v>3900</v>
      </c>
      <c r="F436" s="1">
        <f>IFERROR(__xludf.DUMMYFUNCTION("""COMPUTED_VALUE"""),22506.0)</f>
        <v>22506</v>
      </c>
    </row>
    <row r="437">
      <c r="A437" s="2">
        <f>IFERROR(__xludf.DUMMYFUNCTION("""COMPUTED_VALUE"""),41551.645833333336)</f>
        <v>41551.64583</v>
      </c>
      <c r="B437" s="1">
        <f>IFERROR(__xludf.DUMMYFUNCTION("""COMPUTED_VALUE"""),3900.0)</f>
        <v>3900</v>
      </c>
      <c r="C437" s="1">
        <f>IFERROR(__xludf.DUMMYFUNCTION("""COMPUTED_VALUE"""),3900.0)</f>
        <v>3900</v>
      </c>
      <c r="D437" s="1">
        <f>IFERROR(__xludf.DUMMYFUNCTION("""COMPUTED_VALUE"""),3820.0)</f>
        <v>3820</v>
      </c>
      <c r="E437" s="1">
        <f>IFERROR(__xludf.DUMMYFUNCTION("""COMPUTED_VALUE"""),3850.0)</f>
        <v>3850</v>
      </c>
      <c r="F437" s="1">
        <f>IFERROR(__xludf.DUMMYFUNCTION("""COMPUTED_VALUE"""),14469.0)</f>
        <v>14469</v>
      </c>
    </row>
    <row r="438">
      <c r="A438" s="2">
        <f>IFERROR(__xludf.DUMMYFUNCTION("""COMPUTED_VALUE"""),41554.645833333336)</f>
        <v>41554.64583</v>
      </c>
      <c r="B438" s="1">
        <f>IFERROR(__xludf.DUMMYFUNCTION("""COMPUTED_VALUE"""),3845.0)</f>
        <v>3845</v>
      </c>
      <c r="C438" s="1">
        <f>IFERROR(__xludf.DUMMYFUNCTION("""COMPUTED_VALUE"""),3845.0)</f>
        <v>3845</v>
      </c>
      <c r="D438" s="1">
        <f>IFERROR(__xludf.DUMMYFUNCTION("""COMPUTED_VALUE"""),3770.0)</f>
        <v>3770</v>
      </c>
      <c r="E438" s="1">
        <f>IFERROR(__xludf.DUMMYFUNCTION("""COMPUTED_VALUE"""),3780.0)</f>
        <v>3780</v>
      </c>
      <c r="F438" s="1">
        <f>IFERROR(__xludf.DUMMYFUNCTION("""COMPUTED_VALUE"""),9201.0)</f>
        <v>9201</v>
      </c>
    </row>
    <row r="439">
      <c r="A439" s="2">
        <f>IFERROR(__xludf.DUMMYFUNCTION("""COMPUTED_VALUE"""),41555.645833333336)</f>
        <v>41555.64583</v>
      </c>
      <c r="B439" s="1">
        <f>IFERROR(__xludf.DUMMYFUNCTION("""COMPUTED_VALUE"""),3800.0)</f>
        <v>3800</v>
      </c>
      <c r="C439" s="1">
        <f>IFERROR(__xludf.DUMMYFUNCTION("""COMPUTED_VALUE"""),3800.0)</f>
        <v>3800</v>
      </c>
      <c r="D439" s="1">
        <f>IFERROR(__xludf.DUMMYFUNCTION("""COMPUTED_VALUE"""),3750.0)</f>
        <v>3750</v>
      </c>
      <c r="E439" s="1">
        <f>IFERROR(__xludf.DUMMYFUNCTION("""COMPUTED_VALUE"""),3785.0)</f>
        <v>3785</v>
      </c>
      <c r="F439" s="1">
        <f>IFERROR(__xludf.DUMMYFUNCTION("""COMPUTED_VALUE"""),20452.0)</f>
        <v>20452</v>
      </c>
    </row>
    <row r="440">
      <c r="A440" s="2">
        <f>IFERROR(__xludf.DUMMYFUNCTION("""COMPUTED_VALUE"""),41557.645833333336)</f>
        <v>41557.64583</v>
      </c>
      <c r="B440" s="1">
        <f>IFERROR(__xludf.DUMMYFUNCTION("""COMPUTED_VALUE"""),3785.0)</f>
        <v>3785</v>
      </c>
      <c r="C440" s="1">
        <f>IFERROR(__xludf.DUMMYFUNCTION("""COMPUTED_VALUE"""),3820.0)</f>
        <v>3820</v>
      </c>
      <c r="D440" s="1">
        <f>IFERROR(__xludf.DUMMYFUNCTION("""COMPUTED_VALUE"""),3770.0)</f>
        <v>3770</v>
      </c>
      <c r="E440" s="1">
        <f>IFERROR(__xludf.DUMMYFUNCTION("""COMPUTED_VALUE"""),3815.0)</f>
        <v>3815</v>
      </c>
      <c r="F440" s="1">
        <f>IFERROR(__xludf.DUMMYFUNCTION("""COMPUTED_VALUE"""),7621.0)</f>
        <v>7621</v>
      </c>
    </row>
    <row r="441">
      <c r="A441" s="2">
        <f>IFERROR(__xludf.DUMMYFUNCTION("""COMPUTED_VALUE"""),41558.645833333336)</f>
        <v>41558.64583</v>
      </c>
      <c r="B441" s="1">
        <f>IFERROR(__xludf.DUMMYFUNCTION("""COMPUTED_VALUE"""),3840.0)</f>
        <v>3840</v>
      </c>
      <c r="C441" s="1">
        <f>IFERROR(__xludf.DUMMYFUNCTION("""COMPUTED_VALUE"""),3840.0)</f>
        <v>3840</v>
      </c>
      <c r="D441" s="1">
        <f>IFERROR(__xludf.DUMMYFUNCTION("""COMPUTED_VALUE"""),3760.0)</f>
        <v>3760</v>
      </c>
      <c r="E441" s="1">
        <f>IFERROR(__xludf.DUMMYFUNCTION("""COMPUTED_VALUE"""),3820.0)</f>
        <v>3820</v>
      </c>
      <c r="F441" s="1">
        <f>IFERROR(__xludf.DUMMYFUNCTION("""COMPUTED_VALUE"""),20421.0)</f>
        <v>20421</v>
      </c>
    </row>
    <row r="442">
      <c r="A442" s="2">
        <f>IFERROR(__xludf.DUMMYFUNCTION("""COMPUTED_VALUE"""),41561.645833333336)</f>
        <v>41561.64583</v>
      </c>
      <c r="B442" s="1">
        <f>IFERROR(__xludf.DUMMYFUNCTION("""COMPUTED_VALUE"""),3830.0)</f>
        <v>3830</v>
      </c>
      <c r="C442" s="1">
        <f>IFERROR(__xludf.DUMMYFUNCTION("""COMPUTED_VALUE"""),3850.0)</f>
        <v>3850</v>
      </c>
      <c r="D442" s="1">
        <f>IFERROR(__xludf.DUMMYFUNCTION("""COMPUTED_VALUE"""),3765.0)</f>
        <v>3765</v>
      </c>
      <c r="E442" s="1">
        <f>IFERROR(__xludf.DUMMYFUNCTION("""COMPUTED_VALUE"""),3785.0)</f>
        <v>3785</v>
      </c>
      <c r="F442" s="1">
        <f>IFERROR(__xludf.DUMMYFUNCTION("""COMPUTED_VALUE"""),7850.0)</f>
        <v>7850</v>
      </c>
    </row>
    <row r="443">
      <c r="A443" s="2">
        <f>IFERROR(__xludf.DUMMYFUNCTION("""COMPUTED_VALUE"""),41562.645833333336)</f>
        <v>41562.64583</v>
      </c>
      <c r="B443" s="1">
        <f>IFERROR(__xludf.DUMMYFUNCTION("""COMPUTED_VALUE"""),3725.0)</f>
        <v>3725</v>
      </c>
      <c r="C443" s="1">
        <f>IFERROR(__xludf.DUMMYFUNCTION("""COMPUTED_VALUE"""),3805.0)</f>
        <v>3805</v>
      </c>
      <c r="D443" s="1">
        <f>IFERROR(__xludf.DUMMYFUNCTION("""COMPUTED_VALUE"""),3725.0)</f>
        <v>3725</v>
      </c>
      <c r="E443" s="1">
        <f>IFERROR(__xludf.DUMMYFUNCTION("""COMPUTED_VALUE"""),3765.0)</f>
        <v>3765</v>
      </c>
      <c r="F443" s="1">
        <f>IFERROR(__xludf.DUMMYFUNCTION("""COMPUTED_VALUE"""),9454.0)</f>
        <v>9454</v>
      </c>
    </row>
    <row r="444">
      <c r="A444" s="2">
        <f>IFERROR(__xludf.DUMMYFUNCTION("""COMPUTED_VALUE"""),41563.645833333336)</f>
        <v>41563.64583</v>
      </c>
      <c r="B444" s="1">
        <f>IFERROR(__xludf.DUMMYFUNCTION("""COMPUTED_VALUE"""),3745.0)</f>
        <v>3745</v>
      </c>
      <c r="C444" s="1">
        <f>IFERROR(__xludf.DUMMYFUNCTION("""COMPUTED_VALUE"""),3800.0)</f>
        <v>3800</v>
      </c>
      <c r="D444" s="1">
        <f>IFERROR(__xludf.DUMMYFUNCTION("""COMPUTED_VALUE"""),3745.0)</f>
        <v>3745</v>
      </c>
      <c r="E444" s="1">
        <f>IFERROR(__xludf.DUMMYFUNCTION("""COMPUTED_VALUE"""),3775.0)</f>
        <v>3775</v>
      </c>
      <c r="F444" s="1">
        <f>IFERROR(__xludf.DUMMYFUNCTION("""COMPUTED_VALUE"""),10146.0)</f>
        <v>10146</v>
      </c>
    </row>
    <row r="445">
      <c r="A445" s="2">
        <f>IFERROR(__xludf.DUMMYFUNCTION("""COMPUTED_VALUE"""),41564.645833333336)</f>
        <v>41564.64583</v>
      </c>
      <c r="B445" s="1">
        <f>IFERROR(__xludf.DUMMYFUNCTION("""COMPUTED_VALUE"""),3800.0)</f>
        <v>3800</v>
      </c>
      <c r="C445" s="1">
        <f>IFERROR(__xludf.DUMMYFUNCTION("""COMPUTED_VALUE"""),3800.0)</f>
        <v>3800</v>
      </c>
      <c r="D445" s="1">
        <f>IFERROR(__xludf.DUMMYFUNCTION("""COMPUTED_VALUE"""),3745.0)</f>
        <v>3745</v>
      </c>
      <c r="E445" s="1">
        <f>IFERROR(__xludf.DUMMYFUNCTION("""COMPUTED_VALUE"""),3780.0)</f>
        <v>3780</v>
      </c>
      <c r="F445" s="1">
        <f>IFERROR(__xludf.DUMMYFUNCTION("""COMPUTED_VALUE"""),10430.0)</f>
        <v>10430</v>
      </c>
    </row>
    <row r="446">
      <c r="A446" s="2">
        <f>IFERROR(__xludf.DUMMYFUNCTION("""COMPUTED_VALUE"""),41565.645833333336)</f>
        <v>41565.64583</v>
      </c>
      <c r="B446" s="1">
        <f>IFERROR(__xludf.DUMMYFUNCTION("""COMPUTED_VALUE"""),3750.0)</f>
        <v>3750</v>
      </c>
      <c r="C446" s="1">
        <f>IFERROR(__xludf.DUMMYFUNCTION("""COMPUTED_VALUE"""),3770.0)</f>
        <v>3770</v>
      </c>
      <c r="D446" s="1">
        <f>IFERROR(__xludf.DUMMYFUNCTION("""COMPUTED_VALUE"""),3690.0)</f>
        <v>3690</v>
      </c>
      <c r="E446" s="1">
        <f>IFERROR(__xludf.DUMMYFUNCTION("""COMPUTED_VALUE"""),3700.0)</f>
        <v>3700</v>
      </c>
      <c r="F446" s="1">
        <f>IFERROR(__xludf.DUMMYFUNCTION("""COMPUTED_VALUE"""),5700.0)</f>
        <v>5700</v>
      </c>
    </row>
    <row r="447">
      <c r="A447" s="2">
        <f>IFERROR(__xludf.DUMMYFUNCTION("""COMPUTED_VALUE"""),41568.645833333336)</f>
        <v>41568.64583</v>
      </c>
      <c r="B447" s="1">
        <f>IFERROR(__xludf.DUMMYFUNCTION("""COMPUTED_VALUE"""),3700.0)</f>
        <v>3700</v>
      </c>
      <c r="C447" s="1">
        <f>IFERROR(__xludf.DUMMYFUNCTION("""COMPUTED_VALUE"""),3745.0)</f>
        <v>3745</v>
      </c>
      <c r="D447" s="1">
        <f>IFERROR(__xludf.DUMMYFUNCTION("""COMPUTED_VALUE"""),3685.0)</f>
        <v>3685</v>
      </c>
      <c r="E447" s="1">
        <f>IFERROR(__xludf.DUMMYFUNCTION("""COMPUTED_VALUE"""),3715.0)</f>
        <v>3715</v>
      </c>
      <c r="F447" s="1">
        <f>IFERROR(__xludf.DUMMYFUNCTION("""COMPUTED_VALUE"""),13418.0)</f>
        <v>13418</v>
      </c>
    </row>
    <row r="448">
      <c r="A448" s="2">
        <f>IFERROR(__xludf.DUMMYFUNCTION("""COMPUTED_VALUE"""),41569.645833333336)</f>
        <v>41569.64583</v>
      </c>
      <c r="B448" s="1">
        <f>IFERROR(__xludf.DUMMYFUNCTION("""COMPUTED_VALUE"""),3675.0)</f>
        <v>3675</v>
      </c>
      <c r="C448" s="1">
        <f>IFERROR(__xludf.DUMMYFUNCTION("""COMPUTED_VALUE"""),3795.0)</f>
        <v>3795</v>
      </c>
      <c r="D448" s="1">
        <f>IFERROR(__xludf.DUMMYFUNCTION("""COMPUTED_VALUE"""),3675.0)</f>
        <v>3675</v>
      </c>
      <c r="E448" s="1">
        <f>IFERROR(__xludf.DUMMYFUNCTION("""COMPUTED_VALUE"""),3735.0)</f>
        <v>3735</v>
      </c>
      <c r="F448" s="1">
        <f>IFERROR(__xludf.DUMMYFUNCTION("""COMPUTED_VALUE"""),10855.0)</f>
        <v>10855</v>
      </c>
    </row>
    <row r="449">
      <c r="A449" s="2">
        <f>IFERROR(__xludf.DUMMYFUNCTION("""COMPUTED_VALUE"""),41570.645833333336)</f>
        <v>41570.64583</v>
      </c>
      <c r="B449" s="1">
        <f>IFERROR(__xludf.DUMMYFUNCTION("""COMPUTED_VALUE"""),3735.0)</f>
        <v>3735</v>
      </c>
      <c r="C449" s="1">
        <f>IFERROR(__xludf.DUMMYFUNCTION("""COMPUTED_VALUE"""),3805.0)</f>
        <v>3805</v>
      </c>
      <c r="D449" s="1">
        <f>IFERROR(__xludf.DUMMYFUNCTION("""COMPUTED_VALUE"""),3670.0)</f>
        <v>3670</v>
      </c>
      <c r="E449" s="1">
        <f>IFERROR(__xludf.DUMMYFUNCTION("""COMPUTED_VALUE"""),3720.0)</f>
        <v>3720</v>
      </c>
      <c r="F449" s="1">
        <f>IFERROR(__xludf.DUMMYFUNCTION("""COMPUTED_VALUE"""),12978.0)</f>
        <v>12978</v>
      </c>
    </row>
    <row r="450">
      <c r="A450" s="2">
        <f>IFERROR(__xludf.DUMMYFUNCTION("""COMPUTED_VALUE"""),41571.645833333336)</f>
        <v>41571.64583</v>
      </c>
      <c r="B450" s="1">
        <f>IFERROR(__xludf.DUMMYFUNCTION("""COMPUTED_VALUE"""),3720.0)</f>
        <v>3720</v>
      </c>
      <c r="C450" s="1">
        <f>IFERROR(__xludf.DUMMYFUNCTION("""COMPUTED_VALUE"""),3740.0)</f>
        <v>3740</v>
      </c>
      <c r="D450" s="1">
        <f>IFERROR(__xludf.DUMMYFUNCTION("""COMPUTED_VALUE"""),3700.0)</f>
        <v>3700</v>
      </c>
      <c r="E450" s="1">
        <f>IFERROR(__xludf.DUMMYFUNCTION("""COMPUTED_VALUE"""),3725.0)</f>
        <v>3725</v>
      </c>
      <c r="F450" s="1">
        <f>IFERROR(__xludf.DUMMYFUNCTION("""COMPUTED_VALUE"""),11927.0)</f>
        <v>11927</v>
      </c>
    </row>
    <row r="451">
      <c r="A451" s="2">
        <f>IFERROR(__xludf.DUMMYFUNCTION("""COMPUTED_VALUE"""),41572.645833333336)</f>
        <v>41572.64583</v>
      </c>
      <c r="B451" s="1">
        <f>IFERROR(__xludf.DUMMYFUNCTION("""COMPUTED_VALUE"""),3730.0)</f>
        <v>3730</v>
      </c>
      <c r="C451" s="1">
        <f>IFERROR(__xludf.DUMMYFUNCTION("""COMPUTED_VALUE"""),3795.0)</f>
        <v>3795</v>
      </c>
      <c r="D451" s="1">
        <f>IFERROR(__xludf.DUMMYFUNCTION("""COMPUTED_VALUE"""),3720.0)</f>
        <v>3720</v>
      </c>
      <c r="E451" s="1">
        <f>IFERROR(__xludf.DUMMYFUNCTION("""COMPUTED_VALUE"""),3795.0)</f>
        <v>3795</v>
      </c>
      <c r="F451" s="1">
        <f>IFERROR(__xludf.DUMMYFUNCTION("""COMPUTED_VALUE"""),6640.0)</f>
        <v>6640</v>
      </c>
    </row>
    <row r="452">
      <c r="A452" s="2">
        <f>IFERROR(__xludf.DUMMYFUNCTION("""COMPUTED_VALUE"""),41575.645833333336)</f>
        <v>41575.64583</v>
      </c>
      <c r="B452" s="1">
        <f>IFERROR(__xludf.DUMMYFUNCTION("""COMPUTED_VALUE"""),3760.0)</f>
        <v>3760</v>
      </c>
      <c r="C452" s="1">
        <f>IFERROR(__xludf.DUMMYFUNCTION("""COMPUTED_VALUE"""),3800.0)</f>
        <v>3800</v>
      </c>
      <c r="D452" s="1">
        <f>IFERROR(__xludf.DUMMYFUNCTION("""COMPUTED_VALUE"""),3730.0)</f>
        <v>3730</v>
      </c>
      <c r="E452" s="1">
        <f>IFERROR(__xludf.DUMMYFUNCTION("""COMPUTED_VALUE"""),3800.0)</f>
        <v>3800</v>
      </c>
      <c r="F452" s="1">
        <f>IFERROR(__xludf.DUMMYFUNCTION("""COMPUTED_VALUE"""),11141.0)</f>
        <v>11141</v>
      </c>
    </row>
    <row r="453">
      <c r="A453" s="2">
        <f>IFERROR(__xludf.DUMMYFUNCTION("""COMPUTED_VALUE"""),41576.645833333336)</f>
        <v>41576.64583</v>
      </c>
      <c r="B453" s="1">
        <f>IFERROR(__xludf.DUMMYFUNCTION("""COMPUTED_VALUE"""),3800.0)</f>
        <v>3800</v>
      </c>
      <c r="C453" s="1">
        <f>IFERROR(__xludf.DUMMYFUNCTION("""COMPUTED_VALUE"""),3800.0)</f>
        <v>3800</v>
      </c>
      <c r="D453" s="1">
        <f>IFERROR(__xludf.DUMMYFUNCTION("""COMPUTED_VALUE"""),3730.0)</f>
        <v>3730</v>
      </c>
      <c r="E453" s="1">
        <f>IFERROR(__xludf.DUMMYFUNCTION("""COMPUTED_VALUE"""),3770.0)</f>
        <v>3770</v>
      </c>
      <c r="F453" s="1">
        <f>IFERROR(__xludf.DUMMYFUNCTION("""COMPUTED_VALUE"""),9031.0)</f>
        <v>9031</v>
      </c>
    </row>
    <row r="454">
      <c r="A454" s="2">
        <f>IFERROR(__xludf.DUMMYFUNCTION("""COMPUTED_VALUE"""),41577.645833333336)</f>
        <v>41577.64583</v>
      </c>
      <c r="B454" s="1">
        <f>IFERROR(__xludf.DUMMYFUNCTION("""COMPUTED_VALUE"""),4100.0)</f>
        <v>4100</v>
      </c>
      <c r="C454" s="1">
        <f>IFERROR(__xludf.DUMMYFUNCTION("""COMPUTED_VALUE"""),4100.0)</f>
        <v>4100</v>
      </c>
      <c r="D454" s="1">
        <f>IFERROR(__xludf.DUMMYFUNCTION("""COMPUTED_VALUE"""),3805.0)</f>
        <v>3805</v>
      </c>
      <c r="E454" s="1">
        <f>IFERROR(__xludf.DUMMYFUNCTION("""COMPUTED_VALUE"""),3910.0)</f>
        <v>3910</v>
      </c>
      <c r="F454" s="1">
        <f>IFERROR(__xludf.DUMMYFUNCTION("""COMPUTED_VALUE"""),38456.0)</f>
        <v>38456</v>
      </c>
    </row>
    <row r="455">
      <c r="A455" s="2">
        <f>IFERROR(__xludf.DUMMYFUNCTION("""COMPUTED_VALUE"""),41578.645833333336)</f>
        <v>41578.64583</v>
      </c>
      <c r="B455" s="1">
        <f>IFERROR(__xludf.DUMMYFUNCTION("""COMPUTED_VALUE"""),3900.0)</f>
        <v>3900</v>
      </c>
      <c r="C455" s="1">
        <f>IFERROR(__xludf.DUMMYFUNCTION("""COMPUTED_VALUE"""),3945.0)</f>
        <v>3945</v>
      </c>
      <c r="D455" s="1">
        <f>IFERROR(__xludf.DUMMYFUNCTION("""COMPUTED_VALUE"""),3855.0)</f>
        <v>3855</v>
      </c>
      <c r="E455" s="1">
        <f>IFERROR(__xludf.DUMMYFUNCTION("""COMPUTED_VALUE"""),3905.0)</f>
        <v>3905</v>
      </c>
      <c r="F455" s="1">
        <f>IFERROR(__xludf.DUMMYFUNCTION("""COMPUTED_VALUE"""),12891.0)</f>
        <v>12891</v>
      </c>
    </row>
    <row r="456">
      <c r="A456" s="2">
        <f>IFERROR(__xludf.DUMMYFUNCTION("""COMPUTED_VALUE"""),41579.645833333336)</f>
        <v>41579.64583</v>
      </c>
      <c r="B456" s="1">
        <f>IFERROR(__xludf.DUMMYFUNCTION("""COMPUTED_VALUE"""),4010.0)</f>
        <v>4010</v>
      </c>
      <c r="C456" s="1">
        <f>IFERROR(__xludf.DUMMYFUNCTION("""COMPUTED_VALUE"""),4010.0)</f>
        <v>4010</v>
      </c>
      <c r="D456" s="1">
        <f>IFERROR(__xludf.DUMMYFUNCTION("""COMPUTED_VALUE"""),3905.0)</f>
        <v>3905</v>
      </c>
      <c r="E456" s="1">
        <f>IFERROR(__xludf.DUMMYFUNCTION("""COMPUTED_VALUE"""),3965.0)</f>
        <v>3965</v>
      </c>
      <c r="F456" s="1">
        <f>IFERROR(__xludf.DUMMYFUNCTION("""COMPUTED_VALUE"""),23806.0)</f>
        <v>23806</v>
      </c>
    </row>
    <row r="457">
      <c r="A457" s="2">
        <f>IFERROR(__xludf.DUMMYFUNCTION("""COMPUTED_VALUE"""),41582.645833333336)</f>
        <v>41582.64583</v>
      </c>
      <c r="B457" s="1">
        <f>IFERROR(__xludf.DUMMYFUNCTION("""COMPUTED_VALUE"""),3945.0)</f>
        <v>3945</v>
      </c>
      <c r="C457" s="1">
        <f>IFERROR(__xludf.DUMMYFUNCTION("""COMPUTED_VALUE"""),3965.0)</f>
        <v>3965</v>
      </c>
      <c r="D457" s="1">
        <f>IFERROR(__xludf.DUMMYFUNCTION("""COMPUTED_VALUE"""),3905.0)</f>
        <v>3905</v>
      </c>
      <c r="E457" s="1">
        <f>IFERROR(__xludf.DUMMYFUNCTION("""COMPUTED_VALUE"""),3960.0)</f>
        <v>3960</v>
      </c>
      <c r="F457" s="1">
        <f>IFERROR(__xludf.DUMMYFUNCTION("""COMPUTED_VALUE"""),8370.0)</f>
        <v>8370</v>
      </c>
    </row>
    <row r="458">
      <c r="A458" s="2">
        <f>IFERROR(__xludf.DUMMYFUNCTION("""COMPUTED_VALUE"""),41583.645833333336)</f>
        <v>41583.64583</v>
      </c>
      <c r="B458" s="1">
        <f>IFERROR(__xludf.DUMMYFUNCTION("""COMPUTED_VALUE"""),3900.0)</f>
        <v>3900</v>
      </c>
      <c r="C458" s="1">
        <f>IFERROR(__xludf.DUMMYFUNCTION("""COMPUTED_VALUE"""),3905.0)</f>
        <v>3905</v>
      </c>
      <c r="D458" s="1">
        <f>IFERROR(__xludf.DUMMYFUNCTION("""COMPUTED_VALUE"""),3845.0)</f>
        <v>3845</v>
      </c>
      <c r="E458" s="1">
        <f>IFERROR(__xludf.DUMMYFUNCTION("""COMPUTED_VALUE"""),3865.0)</f>
        <v>3865</v>
      </c>
      <c r="F458" s="1">
        <f>IFERROR(__xludf.DUMMYFUNCTION("""COMPUTED_VALUE"""),3171.0)</f>
        <v>3171</v>
      </c>
    </row>
    <row r="459">
      <c r="A459" s="2">
        <f>IFERROR(__xludf.DUMMYFUNCTION("""COMPUTED_VALUE"""),41584.645833333336)</f>
        <v>41584.64583</v>
      </c>
      <c r="B459" s="1">
        <f>IFERROR(__xludf.DUMMYFUNCTION("""COMPUTED_VALUE"""),3720.0)</f>
        <v>3720</v>
      </c>
      <c r="C459" s="1">
        <f>IFERROR(__xludf.DUMMYFUNCTION("""COMPUTED_VALUE"""),3810.0)</f>
        <v>3810</v>
      </c>
      <c r="D459" s="1">
        <f>IFERROR(__xludf.DUMMYFUNCTION("""COMPUTED_VALUE"""),3720.0)</f>
        <v>3720</v>
      </c>
      <c r="E459" s="1">
        <f>IFERROR(__xludf.DUMMYFUNCTION("""COMPUTED_VALUE"""),3740.0)</f>
        <v>3740</v>
      </c>
      <c r="F459" s="1">
        <f>IFERROR(__xludf.DUMMYFUNCTION("""COMPUTED_VALUE"""),25450.0)</f>
        <v>25450</v>
      </c>
    </row>
    <row r="460">
      <c r="A460" s="2">
        <f>IFERROR(__xludf.DUMMYFUNCTION("""COMPUTED_VALUE"""),41585.645833333336)</f>
        <v>41585.64583</v>
      </c>
      <c r="B460" s="1">
        <f>IFERROR(__xludf.DUMMYFUNCTION("""COMPUTED_VALUE"""),3720.0)</f>
        <v>3720</v>
      </c>
      <c r="C460" s="1">
        <f>IFERROR(__xludf.DUMMYFUNCTION("""COMPUTED_VALUE"""),3800.0)</f>
        <v>3800</v>
      </c>
      <c r="D460" s="1">
        <f>IFERROR(__xludf.DUMMYFUNCTION("""COMPUTED_VALUE"""),3720.0)</f>
        <v>3720</v>
      </c>
      <c r="E460" s="1">
        <f>IFERROR(__xludf.DUMMYFUNCTION("""COMPUTED_VALUE"""),3780.0)</f>
        <v>3780</v>
      </c>
      <c r="F460" s="1">
        <f>IFERROR(__xludf.DUMMYFUNCTION("""COMPUTED_VALUE"""),7530.0)</f>
        <v>7530</v>
      </c>
    </row>
    <row r="461">
      <c r="A461" s="2">
        <f>IFERROR(__xludf.DUMMYFUNCTION("""COMPUTED_VALUE"""),41586.645833333336)</f>
        <v>41586.64583</v>
      </c>
      <c r="B461" s="1">
        <f>IFERROR(__xludf.DUMMYFUNCTION("""COMPUTED_VALUE"""),3730.0)</f>
        <v>3730</v>
      </c>
      <c r="C461" s="1">
        <f>IFERROR(__xludf.DUMMYFUNCTION("""COMPUTED_VALUE"""),3795.0)</f>
        <v>3795</v>
      </c>
      <c r="D461" s="1">
        <f>IFERROR(__xludf.DUMMYFUNCTION("""COMPUTED_VALUE"""),3715.0)</f>
        <v>3715</v>
      </c>
      <c r="E461" s="1">
        <f>IFERROR(__xludf.DUMMYFUNCTION("""COMPUTED_VALUE"""),3730.0)</f>
        <v>3730</v>
      </c>
      <c r="F461" s="1">
        <f>IFERROR(__xludf.DUMMYFUNCTION("""COMPUTED_VALUE"""),11701.0)</f>
        <v>11701</v>
      </c>
    </row>
    <row r="462">
      <c r="A462" s="2">
        <f>IFERROR(__xludf.DUMMYFUNCTION("""COMPUTED_VALUE"""),41589.645833333336)</f>
        <v>41589.64583</v>
      </c>
      <c r="B462" s="1">
        <f>IFERROR(__xludf.DUMMYFUNCTION("""COMPUTED_VALUE"""),3700.0)</f>
        <v>3700</v>
      </c>
      <c r="C462" s="1">
        <f>IFERROR(__xludf.DUMMYFUNCTION("""COMPUTED_VALUE"""),3765.0)</f>
        <v>3765</v>
      </c>
      <c r="D462" s="1">
        <f>IFERROR(__xludf.DUMMYFUNCTION("""COMPUTED_VALUE"""),3695.0)</f>
        <v>3695</v>
      </c>
      <c r="E462" s="1">
        <f>IFERROR(__xludf.DUMMYFUNCTION("""COMPUTED_VALUE"""),3700.0)</f>
        <v>3700</v>
      </c>
      <c r="F462" s="1">
        <f>IFERROR(__xludf.DUMMYFUNCTION("""COMPUTED_VALUE"""),15632.0)</f>
        <v>15632</v>
      </c>
    </row>
    <row r="463">
      <c r="A463" s="2">
        <f>IFERROR(__xludf.DUMMYFUNCTION("""COMPUTED_VALUE"""),41590.645833333336)</f>
        <v>41590.64583</v>
      </c>
      <c r="B463" s="1">
        <f>IFERROR(__xludf.DUMMYFUNCTION("""COMPUTED_VALUE"""),3780.0)</f>
        <v>3780</v>
      </c>
      <c r="C463" s="1">
        <f>IFERROR(__xludf.DUMMYFUNCTION("""COMPUTED_VALUE"""),3800.0)</f>
        <v>3800</v>
      </c>
      <c r="D463" s="1">
        <f>IFERROR(__xludf.DUMMYFUNCTION("""COMPUTED_VALUE"""),3715.0)</f>
        <v>3715</v>
      </c>
      <c r="E463" s="1">
        <f>IFERROR(__xludf.DUMMYFUNCTION("""COMPUTED_VALUE"""),3780.0)</f>
        <v>3780</v>
      </c>
      <c r="F463" s="1">
        <f>IFERROR(__xludf.DUMMYFUNCTION("""COMPUTED_VALUE"""),7942.0)</f>
        <v>7942</v>
      </c>
    </row>
    <row r="464">
      <c r="A464" s="2">
        <f>IFERROR(__xludf.DUMMYFUNCTION("""COMPUTED_VALUE"""),41591.645833333336)</f>
        <v>41591.64583</v>
      </c>
      <c r="B464" s="1">
        <f>IFERROR(__xludf.DUMMYFUNCTION("""COMPUTED_VALUE"""),3780.0)</f>
        <v>3780</v>
      </c>
      <c r="C464" s="1">
        <f>IFERROR(__xludf.DUMMYFUNCTION("""COMPUTED_VALUE"""),3785.0)</f>
        <v>3785</v>
      </c>
      <c r="D464" s="1">
        <f>IFERROR(__xludf.DUMMYFUNCTION("""COMPUTED_VALUE"""),3730.0)</f>
        <v>3730</v>
      </c>
      <c r="E464" s="1">
        <f>IFERROR(__xludf.DUMMYFUNCTION("""COMPUTED_VALUE"""),3730.0)</f>
        <v>3730</v>
      </c>
      <c r="F464" s="1">
        <f>IFERROR(__xludf.DUMMYFUNCTION("""COMPUTED_VALUE"""),7040.0)</f>
        <v>7040</v>
      </c>
    </row>
    <row r="465">
      <c r="A465" s="2">
        <f>IFERROR(__xludf.DUMMYFUNCTION("""COMPUTED_VALUE"""),41592.645833333336)</f>
        <v>41592.64583</v>
      </c>
      <c r="B465" s="1">
        <f>IFERROR(__xludf.DUMMYFUNCTION("""COMPUTED_VALUE"""),3705.0)</f>
        <v>3705</v>
      </c>
      <c r="C465" s="1">
        <f>IFERROR(__xludf.DUMMYFUNCTION("""COMPUTED_VALUE"""),3745.0)</f>
        <v>3745</v>
      </c>
      <c r="D465" s="1">
        <f>IFERROR(__xludf.DUMMYFUNCTION("""COMPUTED_VALUE"""),3700.0)</f>
        <v>3700</v>
      </c>
      <c r="E465" s="1">
        <f>IFERROR(__xludf.DUMMYFUNCTION("""COMPUTED_VALUE"""),3725.0)</f>
        <v>3725</v>
      </c>
      <c r="F465" s="1">
        <f>IFERROR(__xludf.DUMMYFUNCTION("""COMPUTED_VALUE"""),11970.0)</f>
        <v>11970</v>
      </c>
    </row>
    <row r="466">
      <c r="A466" s="2">
        <f>IFERROR(__xludf.DUMMYFUNCTION("""COMPUTED_VALUE"""),41593.645833333336)</f>
        <v>41593.64583</v>
      </c>
      <c r="B466" s="1">
        <f>IFERROR(__xludf.DUMMYFUNCTION("""COMPUTED_VALUE"""),3725.0)</f>
        <v>3725</v>
      </c>
      <c r="C466" s="1">
        <f>IFERROR(__xludf.DUMMYFUNCTION("""COMPUTED_VALUE"""),3770.0)</f>
        <v>3770</v>
      </c>
      <c r="D466" s="1">
        <f>IFERROR(__xludf.DUMMYFUNCTION("""COMPUTED_VALUE"""),3720.0)</f>
        <v>3720</v>
      </c>
      <c r="E466" s="1">
        <f>IFERROR(__xludf.DUMMYFUNCTION("""COMPUTED_VALUE"""),3760.0)</f>
        <v>3760</v>
      </c>
      <c r="F466" s="1">
        <f>IFERROR(__xludf.DUMMYFUNCTION("""COMPUTED_VALUE"""),5342.0)</f>
        <v>5342</v>
      </c>
    </row>
    <row r="467">
      <c r="A467" s="2">
        <f>IFERROR(__xludf.DUMMYFUNCTION("""COMPUTED_VALUE"""),41596.645833333336)</f>
        <v>41596.64583</v>
      </c>
      <c r="B467" s="1">
        <f>IFERROR(__xludf.DUMMYFUNCTION("""COMPUTED_VALUE"""),3700.0)</f>
        <v>3700</v>
      </c>
      <c r="C467" s="1">
        <f>IFERROR(__xludf.DUMMYFUNCTION("""COMPUTED_VALUE"""),3780.0)</f>
        <v>3780</v>
      </c>
      <c r="D467" s="1">
        <f>IFERROR(__xludf.DUMMYFUNCTION("""COMPUTED_VALUE"""),3700.0)</f>
        <v>3700</v>
      </c>
      <c r="E467" s="1">
        <f>IFERROR(__xludf.DUMMYFUNCTION("""COMPUTED_VALUE"""),3735.0)</f>
        <v>3735</v>
      </c>
      <c r="F467" s="1">
        <f>IFERROR(__xludf.DUMMYFUNCTION("""COMPUTED_VALUE"""),12290.0)</f>
        <v>12290</v>
      </c>
    </row>
    <row r="468">
      <c r="A468" s="2">
        <f>IFERROR(__xludf.DUMMYFUNCTION("""COMPUTED_VALUE"""),41597.645833333336)</f>
        <v>41597.64583</v>
      </c>
      <c r="B468" s="1">
        <f>IFERROR(__xludf.DUMMYFUNCTION("""COMPUTED_VALUE"""),3740.0)</f>
        <v>3740</v>
      </c>
      <c r="C468" s="1">
        <f>IFERROR(__xludf.DUMMYFUNCTION("""COMPUTED_VALUE"""),3740.0)</f>
        <v>3740</v>
      </c>
      <c r="D468" s="1">
        <f>IFERROR(__xludf.DUMMYFUNCTION("""COMPUTED_VALUE"""),3710.0)</f>
        <v>3710</v>
      </c>
      <c r="E468" s="1">
        <f>IFERROR(__xludf.DUMMYFUNCTION("""COMPUTED_VALUE"""),3735.0)</f>
        <v>3735</v>
      </c>
      <c r="F468" s="1">
        <f>IFERROR(__xludf.DUMMYFUNCTION("""COMPUTED_VALUE"""),2620.0)</f>
        <v>2620</v>
      </c>
    </row>
    <row r="469">
      <c r="A469" s="2">
        <f>IFERROR(__xludf.DUMMYFUNCTION("""COMPUTED_VALUE"""),41598.645833333336)</f>
        <v>41598.64583</v>
      </c>
      <c r="B469" s="1">
        <f>IFERROR(__xludf.DUMMYFUNCTION("""COMPUTED_VALUE"""),3735.0)</f>
        <v>3735</v>
      </c>
      <c r="C469" s="1">
        <f>IFERROR(__xludf.DUMMYFUNCTION("""COMPUTED_VALUE"""),3765.0)</f>
        <v>3765</v>
      </c>
      <c r="D469" s="1">
        <f>IFERROR(__xludf.DUMMYFUNCTION("""COMPUTED_VALUE"""),3725.0)</f>
        <v>3725</v>
      </c>
      <c r="E469" s="1">
        <f>IFERROR(__xludf.DUMMYFUNCTION("""COMPUTED_VALUE"""),3730.0)</f>
        <v>3730</v>
      </c>
      <c r="F469" s="1">
        <f>IFERROR(__xludf.DUMMYFUNCTION("""COMPUTED_VALUE"""),10693.0)</f>
        <v>10693</v>
      </c>
    </row>
    <row r="470">
      <c r="A470" s="2">
        <f>IFERROR(__xludf.DUMMYFUNCTION("""COMPUTED_VALUE"""),41599.645833333336)</f>
        <v>41599.64583</v>
      </c>
      <c r="B470" s="1">
        <f>IFERROR(__xludf.DUMMYFUNCTION("""COMPUTED_VALUE"""),3735.0)</f>
        <v>3735</v>
      </c>
      <c r="C470" s="1">
        <f>IFERROR(__xludf.DUMMYFUNCTION("""COMPUTED_VALUE"""),3800.0)</f>
        <v>3800</v>
      </c>
      <c r="D470" s="1">
        <f>IFERROR(__xludf.DUMMYFUNCTION("""COMPUTED_VALUE"""),3730.0)</f>
        <v>3730</v>
      </c>
      <c r="E470" s="1">
        <f>IFERROR(__xludf.DUMMYFUNCTION("""COMPUTED_VALUE"""),3745.0)</f>
        <v>3745</v>
      </c>
      <c r="F470" s="1">
        <f>IFERROR(__xludf.DUMMYFUNCTION("""COMPUTED_VALUE"""),10190.0)</f>
        <v>10190</v>
      </c>
    </row>
    <row r="471">
      <c r="A471" s="2">
        <f>IFERROR(__xludf.DUMMYFUNCTION("""COMPUTED_VALUE"""),41600.645833333336)</f>
        <v>41600.64583</v>
      </c>
      <c r="B471" s="1">
        <f>IFERROR(__xludf.DUMMYFUNCTION("""COMPUTED_VALUE"""),3745.0)</f>
        <v>3745</v>
      </c>
      <c r="C471" s="1">
        <f>IFERROR(__xludf.DUMMYFUNCTION("""COMPUTED_VALUE"""),3835.0)</f>
        <v>3835</v>
      </c>
      <c r="D471" s="1">
        <f>IFERROR(__xludf.DUMMYFUNCTION("""COMPUTED_VALUE"""),3745.0)</f>
        <v>3745</v>
      </c>
      <c r="E471" s="1">
        <f>IFERROR(__xludf.DUMMYFUNCTION("""COMPUTED_VALUE"""),3835.0)</f>
        <v>3835</v>
      </c>
      <c r="F471" s="1">
        <f>IFERROR(__xludf.DUMMYFUNCTION("""COMPUTED_VALUE"""),12080.0)</f>
        <v>12080</v>
      </c>
    </row>
    <row r="472">
      <c r="A472" s="2">
        <f>IFERROR(__xludf.DUMMYFUNCTION("""COMPUTED_VALUE"""),41603.645833333336)</f>
        <v>41603.64583</v>
      </c>
      <c r="B472" s="1">
        <f>IFERROR(__xludf.DUMMYFUNCTION("""COMPUTED_VALUE"""),3835.0)</f>
        <v>3835</v>
      </c>
      <c r="C472" s="1">
        <f>IFERROR(__xludf.DUMMYFUNCTION("""COMPUTED_VALUE"""),3835.0)</f>
        <v>3835</v>
      </c>
      <c r="D472" s="1">
        <f>IFERROR(__xludf.DUMMYFUNCTION("""COMPUTED_VALUE"""),3750.0)</f>
        <v>3750</v>
      </c>
      <c r="E472" s="1">
        <f>IFERROR(__xludf.DUMMYFUNCTION("""COMPUTED_VALUE"""),3785.0)</f>
        <v>3785</v>
      </c>
      <c r="F472" s="1">
        <f>IFERROR(__xludf.DUMMYFUNCTION("""COMPUTED_VALUE"""),14510.0)</f>
        <v>14510</v>
      </c>
    </row>
    <row r="473">
      <c r="A473" s="2">
        <f>IFERROR(__xludf.DUMMYFUNCTION("""COMPUTED_VALUE"""),41604.645833333336)</f>
        <v>41604.64583</v>
      </c>
      <c r="B473" s="1">
        <f>IFERROR(__xludf.DUMMYFUNCTION("""COMPUTED_VALUE"""),3785.0)</f>
        <v>3785</v>
      </c>
      <c r="C473" s="1">
        <f>IFERROR(__xludf.DUMMYFUNCTION("""COMPUTED_VALUE"""),3830.0)</f>
        <v>3830</v>
      </c>
      <c r="D473" s="1">
        <f>IFERROR(__xludf.DUMMYFUNCTION("""COMPUTED_VALUE"""),3765.0)</f>
        <v>3765</v>
      </c>
      <c r="E473" s="1">
        <f>IFERROR(__xludf.DUMMYFUNCTION("""COMPUTED_VALUE"""),3795.0)</f>
        <v>3795</v>
      </c>
      <c r="F473" s="1">
        <f>IFERROR(__xludf.DUMMYFUNCTION("""COMPUTED_VALUE"""),11410.0)</f>
        <v>11410</v>
      </c>
    </row>
    <row r="474">
      <c r="A474" s="2">
        <f>IFERROR(__xludf.DUMMYFUNCTION("""COMPUTED_VALUE"""),41605.645833333336)</f>
        <v>41605.64583</v>
      </c>
      <c r="B474" s="1">
        <f>IFERROR(__xludf.DUMMYFUNCTION("""COMPUTED_VALUE"""),3795.0)</f>
        <v>3795</v>
      </c>
      <c r="C474" s="1">
        <f>IFERROR(__xludf.DUMMYFUNCTION("""COMPUTED_VALUE"""),3810.0)</f>
        <v>3810</v>
      </c>
      <c r="D474" s="1">
        <f>IFERROR(__xludf.DUMMYFUNCTION("""COMPUTED_VALUE"""),3275.0)</f>
        <v>3275</v>
      </c>
      <c r="E474" s="1">
        <f>IFERROR(__xludf.DUMMYFUNCTION("""COMPUTED_VALUE"""),3760.0)</f>
        <v>3760</v>
      </c>
      <c r="F474" s="1">
        <f>IFERROR(__xludf.DUMMYFUNCTION("""COMPUTED_VALUE"""),19606.0)</f>
        <v>19606</v>
      </c>
    </row>
    <row r="475">
      <c r="A475" s="2">
        <f>IFERROR(__xludf.DUMMYFUNCTION("""COMPUTED_VALUE"""),41606.645833333336)</f>
        <v>41606.64583</v>
      </c>
      <c r="B475" s="1">
        <f>IFERROR(__xludf.DUMMYFUNCTION("""COMPUTED_VALUE"""),3760.0)</f>
        <v>3760</v>
      </c>
      <c r="C475" s="1">
        <f>IFERROR(__xludf.DUMMYFUNCTION("""COMPUTED_VALUE"""),3770.0)</f>
        <v>3770</v>
      </c>
      <c r="D475" s="1">
        <f>IFERROR(__xludf.DUMMYFUNCTION("""COMPUTED_VALUE"""),3700.0)</f>
        <v>3700</v>
      </c>
      <c r="E475" s="1">
        <f>IFERROR(__xludf.DUMMYFUNCTION("""COMPUTED_VALUE"""),3735.0)</f>
        <v>3735</v>
      </c>
      <c r="F475" s="1">
        <f>IFERROR(__xludf.DUMMYFUNCTION("""COMPUTED_VALUE"""),11730.0)</f>
        <v>11730</v>
      </c>
    </row>
    <row r="476">
      <c r="A476" s="2">
        <f>IFERROR(__xludf.DUMMYFUNCTION("""COMPUTED_VALUE"""),41607.645833333336)</f>
        <v>41607.64583</v>
      </c>
      <c r="B476" s="1">
        <f>IFERROR(__xludf.DUMMYFUNCTION("""COMPUTED_VALUE"""),3735.0)</f>
        <v>3735</v>
      </c>
      <c r="C476" s="1">
        <f>IFERROR(__xludf.DUMMYFUNCTION("""COMPUTED_VALUE"""),3775.0)</f>
        <v>3775</v>
      </c>
      <c r="D476" s="1">
        <f>IFERROR(__xludf.DUMMYFUNCTION("""COMPUTED_VALUE"""),3720.0)</f>
        <v>3720</v>
      </c>
      <c r="E476" s="1">
        <f>IFERROR(__xludf.DUMMYFUNCTION("""COMPUTED_VALUE"""),3770.0)</f>
        <v>3770</v>
      </c>
      <c r="F476" s="1">
        <f>IFERROR(__xludf.DUMMYFUNCTION("""COMPUTED_VALUE"""),2821.0)</f>
        <v>2821</v>
      </c>
    </row>
    <row r="477">
      <c r="A477" s="2">
        <f>IFERROR(__xludf.DUMMYFUNCTION("""COMPUTED_VALUE"""),41610.645833333336)</f>
        <v>41610.64583</v>
      </c>
      <c r="B477" s="1">
        <f>IFERROR(__xludf.DUMMYFUNCTION("""COMPUTED_VALUE"""),3700.0)</f>
        <v>3700</v>
      </c>
      <c r="C477" s="1">
        <f>IFERROR(__xludf.DUMMYFUNCTION("""COMPUTED_VALUE"""),3770.0)</f>
        <v>3770</v>
      </c>
      <c r="D477" s="1">
        <f>IFERROR(__xludf.DUMMYFUNCTION("""COMPUTED_VALUE"""),3700.0)</f>
        <v>3700</v>
      </c>
      <c r="E477" s="1">
        <f>IFERROR(__xludf.DUMMYFUNCTION("""COMPUTED_VALUE"""),3750.0)</f>
        <v>3750</v>
      </c>
      <c r="F477" s="1">
        <f>IFERROR(__xludf.DUMMYFUNCTION("""COMPUTED_VALUE"""),7805.0)</f>
        <v>7805</v>
      </c>
    </row>
    <row r="478">
      <c r="A478" s="2">
        <f>IFERROR(__xludf.DUMMYFUNCTION("""COMPUTED_VALUE"""),41611.645833333336)</f>
        <v>41611.64583</v>
      </c>
      <c r="B478" s="1">
        <f>IFERROR(__xludf.DUMMYFUNCTION("""COMPUTED_VALUE"""),3730.0)</f>
        <v>3730</v>
      </c>
      <c r="C478" s="1">
        <f>IFERROR(__xludf.DUMMYFUNCTION("""COMPUTED_VALUE"""),3765.0)</f>
        <v>3765</v>
      </c>
      <c r="D478" s="1">
        <f>IFERROR(__xludf.DUMMYFUNCTION("""COMPUTED_VALUE"""),3715.0)</f>
        <v>3715</v>
      </c>
      <c r="E478" s="1">
        <f>IFERROR(__xludf.DUMMYFUNCTION("""COMPUTED_VALUE"""),3760.0)</f>
        <v>3760</v>
      </c>
      <c r="F478" s="1">
        <f>IFERROR(__xludf.DUMMYFUNCTION("""COMPUTED_VALUE"""),6159.0)</f>
        <v>6159</v>
      </c>
    </row>
    <row r="479">
      <c r="A479" s="2">
        <f>IFERROR(__xludf.DUMMYFUNCTION("""COMPUTED_VALUE"""),41612.645833333336)</f>
        <v>41612.64583</v>
      </c>
      <c r="B479" s="1">
        <f>IFERROR(__xludf.DUMMYFUNCTION("""COMPUTED_VALUE"""),3740.0)</f>
        <v>3740</v>
      </c>
      <c r="C479" s="1">
        <f>IFERROR(__xludf.DUMMYFUNCTION("""COMPUTED_VALUE"""),3785.0)</f>
        <v>3785</v>
      </c>
      <c r="D479" s="1">
        <f>IFERROR(__xludf.DUMMYFUNCTION("""COMPUTED_VALUE"""),3555.0)</f>
        <v>3555</v>
      </c>
      <c r="E479" s="1">
        <f>IFERROR(__xludf.DUMMYFUNCTION("""COMPUTED_VALUE"""),3590.0)</f>
        <v>3590</v>
      </c>
      <c r="F479" s="1">
        <f>IFERROR(__xludf.DUMMYFUNCTION("""COMPUTED_VALUE"""),35271.0)</f>
        <v>35271</v>
      </c>
    </row>
    <row r="480">
      <c r="A480" s="2">
        <f>IFERROR(__xludf.DUMMYFUNCTION("""COMPUTED_VALUE"""),41613.645833333336)</f>
        <v>41613.64583</v>
      </c>
      <c r="B480" s="1">
        <f>IFERROR(__xludf.DUMMYFUNCTION("""COMPUTED_VALUE"""),3590.0)</f>
        <v>3590</v>
      </c>
      <c r="C480" s="1">
        <f>IFERROR(__xludf.DUMMYFUNCTION("""COMPUTED_VALUE"""),3630.0)</f>
        <v>3630</v>
      </c>
      <c r="D480" s="1">
        <f>IFERROR(__xludf.DUMMYFUNCTION("""COMPUTED_VALUE"""),3565.0)</f>
        <v>3565</v>
      </c>
      <c r="E480" s="1">
        <f>IFERROR(__xludf.DUMMYFUNCTION("""COMPUTED_VALUE"""),3615.0)</f>
        <v>3615</v>
      </c>
      <c r="F480" s="1">
        <f>IFERROR(__xludf.DUMMYFUNCTION("""COMPUTED_VALUE"""),8629.0)</f>
        <v>8629</v>
      </c>
    </row>
    <row r="481">
      <c r="A481" s="2">
        <f>IFERROR(__xludf.DUMMYFUNCTION("""COMPUTED_VALUE"""),41614.645833333336)</f>
        <v>41614.64583</v>
      </c>
      <c r="B481" s="1">
        <f>IFERROR(__xludf.DUMMYFUNCTION("""COMPUTED_VALUE"""),3605.0)</f>
        <v>3605</v>
      </c>
      <c r="C481" s="1">
        <f>IFERROR(__xludf.DUMMYFUNCTION("""COMPUTED_VALUE"""),3610.0)</f>
        <v>3610</v>
      </c>
      <c r="D481" s="1">
        <f>IFERROR(__xludf.DUMMYFUNCTION("""COMPUTED_VALUE"""),3555.0)</f>
        <v>3555</v>
      </c>
      <c r="E481" s="1">
        <f>IFERROR(__xludf.DUMMYFUNCTION("""COMPUTED_VALUE"""),3555.0)</f>
        <v>3555</v>
      </c>
      <c r="F481" s="1">
        <f>IFERROR(__xludf.DUMMYFUNCTION("""COMPUTED_VALUE"""),20705.0)</f>
        <v>20705</v>
      </c>
    </row>
    <row r="482">
      <c r="A482" s="2">
        <f>IFERROR(__xludf.DUMMYFUNCTION("""COMPUTED_VALUE"""),41617.645833333336)</f>
        <v>41617.64583</v>
      </c>
      <c r="B482" s="1">
        <f>IFERROR(__xludf.DUMMYFUNCTION("""COMPUTED_VALUE"""),3525.0)</f>
        <v>3525</v>
      </c>
      <c r="C482" s="1">
        <f>IFERROR(__xludf.DUMMYFUNCTION("""COMPUTED_VALUE"""),3595.0)</f>
        <v>3595</v>
      </c>
      <c r="D482" s="1">
        <f>IFERROR(__xludf.DUMMYFUNCTION("""COMPUTED_VALUE"""),3525.0)</f>
        <v>3525</v>
      </c>
      <c r="E482" s="1">
        <f>IFERROR(__xludf.DUMMYFUNCTION("""COMPUTED_VALUE"""),3590.0)</f>
        <v>3590</v>
      </c>
      <c r="F482" s="1">
        <f>IFERROR(__xludf.DUMMYFUNCTION("""COMPUTED_VALUE"""),14820.0)</f>
        <v>14820</v>
      </c>
    </row>
    <row r="483">
      <c r="A483" s="2">
        <f>IFERROR(__xludf.DUMMYFUNCTION("""COMPUTED_VALUE"""),41618.645833333336)</f>
        <v>41618.64583</v>
      </c>
      <c r="B483" s="1">
        <f>IFERROR(__xludf.DUMMYFUNCTION("""COMPUTED_VALUE"""),3525.0)</f>
        <v>3525</v>
      </c>
      <c r="C483" s="1">
        <f>IFERROR(__xludf.DUMMYFUNCTION("""COMPUTED_VALUE"""),3585.0)</f>
        <v>3585</v>
      </c>
      <c r="D483" s="1">
        <f>IFERROR(__xludf.DUMMYFUNCTION("""COMPUTED_VALUE"""),3460.0)</f>
        <v>3460</v>
      </c>
      <c r="E483" s="1">
        <f>IFERROR(__xludf.DUMMYFUNCTION("""COMPUTED_VALUE"""),3500.0)</f>
        <v>3500</v>
      </c>
      <c r="F483" s="1">
        <f>IFERROR(__xludf.DUMMYFUNCTION("""COMPUTED_VALUE"""),20646.0)</f>
        <v>20646</v>
      </c>
    </row>
    <row r="484">
      <c r="A484" s="2">
        <f>IFERROR(__xludf.DUMMYFUNCTION("""COMPUTED_VALUE"""),41619.645833333336)</f>
        <v>41619.64583</v>
      </c>
      <c r="B484" s="1">
        <f>IFERROR(__xludf.DUMMYFUNCTION("""COMPUTED_VALUE"""),3500.0)</f>
        <v>3500</v>
      </c>
      <c r="C484" s="1">
        <f>IFERROR(__xludf.DUMMYFUNCTION("""COMPUTED_VALUE"""),3540.0)</f>
        <v>3540</v>
      </c>
      <c r="D484" s="1">
        <f>IFERROR(__xludf.DUMMYFUNCTION("""COMPUTED_VALUE"""),3460.0)</f>
        <v>3460</v>
      </c>
      <c r="E484" s="1">
        <f>IFERROR(__xludf.DUMMYFUNCTION("""COMPUTED_VALUE"""),3520.0)</f>
        <v>3520</v>
      </c>
      <c r="F484" s="1">
        <f>IFERROR(__xludf.DUMMYFUNCTION("""COMPUTED_VALUE"""),12910.0)</f>
        <v>12910</v>
      </c>
    </row>
    <row r="485">
      <c r="A485" s="2">
        <f>IFERROR(__xludf.DUMMYFUNCTION("""COMPUTED_VALUE"""),41620.645833333336)</f>
        <v>41620.64583</v>
      </c>
      <c r="B485" s="1">
        <f>IFERROR(__xludf.DUMMYFUNCTION("""COMPUTED_VALUE"""),3520.0)</f>
        <v>3520</v>
      </c>
      <c r="C485" s="1">
        <f>IFERROR(__xludf.DUMMYFUNCTION("""COMPUTED_VALUE"""),3595.0)</f>
        <v>3595</v>
      </c>
      <c r="D485" s="1">
        <f>IFERROR(__xludf.DUMMYFUNCTION("""COMPUTED_VALUE"""),3430.0)</f>
        <v>3430</v>
      </c>
      <c r="E485" s="1">
        <f>IFERROR(__xludf.DUMMYFUNCTION("""COMPUTED_VALUE"""),3520.0)</f>
        <v>3520</v>
      </c>
      <c r="F485" s="1">
        <f>IFERROR(__xludf.DUMMYFUNCTION("""COMPUTED_VALUE"""),8320.0)</f>
        <v>8320</v>
      </c>
    </row>
    <row r="486">
      <c r="A486" s="2">
        <f>IFERROR(__xludf.DUMMYFUNCTION("""COMPUTED_VALUE"""),41621.645833333336)</f>
        <v>41621.64583</v>
      </c>
      <c r="B486" s="1">
        <f>IFERROR(__xludf.DUMMYFUNCTION("""COMPUTED_VALUE"""),3520.0)</f>
        <v>3520</v>
      </c>
      <c r="C486" s="1">
        <f>IFERROR(__xludf.DUMMYFUNCTION("""COMPUTED_VALUE"""),3520.0)</f>
        <v>3520</v>
      </c>
      <c r="D486" s="1">
        <f>IFERROR(__xludf.DUMMYFUNCTION("""COMPUTED_VALUE"""),3400.0)</f>
        <v>3400</v>
      </c>
      <c r="E486" s="1">
        <f>IFERROR(__xludf.DUMMYFUNCTION("""COMPUTED_VALUE"""),3495.0)</f>
        <v>3495</v>
      </c>
      <c r="F486" s="1">
        <f>IFERROR(__xludf.DUMMYFUNCTION("""COMPUTED_VALUE"""),10281.0)</f>
        <v>10281</v>
      </c>
    </row>
    <row r="487">
      <c r="A487" s="2">
        <f>IFERROR(__xludf.DUMMYFUNCTION("""COMPUTED_VALUE"""),41624.645833333336)</f>
        <v>41624.64583</v>
      </c>
      <c r="B487" s="1">
        <f>IFERROR(__xludf.DUMMYFUNCTION("""COMPUTED_VALUE"""),3485.0)</f>
        <v>3485</v>
      </c>
      <c r="C487" s="1">
        <f>IFERROR(__xludf.DUMMYFUNCTION("""COMPUTED_VALUE"""),3500.0)</f>
        <v>3500</v>
      </c>
      <c r="D487" s="1">
        <f>IFERROR(__xludf.DUMMYFUNCTION("""COMPUTED_VALUE"""),3435.0)</f>
        <v>3435</v>
      </c>
      <c r="E487" s="1">
        <f>IFERROR(__xludf.DUMMYFUNCTION("""COMPUTED_VALUE"""),3450.0)</f>
        <v>3450</v>
      </c>
      <c r="F487" s="1">
        <f>IFERROR(__xludf.DUMMYFUNCTION("""COMPUTED_VALUE"""),5360.0)</f>
        <v>5360</v>
      </c>
    </row>
    <row r="488">
      <c r="A488" s="2">
        <f>IFERROR(__xludf.DUMMYFUNCTION("""COMPUTED_VALUE"""),41625.645833333336)</f>
        <v>41625.64583</v>
      </c>
      <c r="B488" s="1">
        <f>IFERROR(__xludf.DUMMYFUNCTION("""COMPUTED_VALUE"""),3490.0)</f>
        <v>3490</v>
      </c>
      <c r="C488" s="1">
        <f>IFERROR(__xludf.DUMMYFUNCTION("""COMPUTED_VALUE"""),3490.0)</f>
        <v>3490</v>
      </c>
      <c r="D488" s="1">
        <f>IFERROR(__xludf.DUMMYFUNCTION("""COMPUTED_VALUE"""),3415.0)</f>
        <v>3415</v>
      </c>
      <c r="E488" s="1">
        <f>IFERROR(__xludf.DUMMYFUNCTION("""COMPUTED_VALUE"""),3445.0)</f>
        <v>3445</v>
      </c>
      <c r="F488" s="1">
        <f>IFERROR(__xludf.DUMMYFUNCTION("""COMPUTED_VALUE"""),17388.0)</f>
        <v>17388</v>
      </c>
    </row>
    <row r="489">
      <c r="A489" s="2">
        <f>IFERROR(__xludf.DUMMYFUNCTION("""COMPUTED_VALUE"""),41626.645833333336)</f>
        <v>41626.64583</v>
      </c>
      <c r="B489" s="1">
        <f>IFERROR(__xludf.DUMMYFUNCTION("""COMPUTED_VALUE"""),3450.0)</f>
        <v>3450</v>
      </c>
      <c r="C489" s="1">
        <f>IFERROR(__xludf.DUMMYFUNCTION("""COMPUTED_VALUE"""),3590.0)</f>
        <v>3590</v>
      </c>
      <c r="D489" s="1">
        <f>IFERROR(__xludf.DUMMYFUNCTION("""COMPUTED_VALUE"""),3450.0)</f>
        <v>3450</v>
      </c>
      <c r="E489" s="1">
        <f>IFERROR(__xludf.DUMMYFUNCTION("""COMPUTED_VALUE"""),3490.0)</f>
        <v>3490</v>
      </c>
      <c r="F489" s="1">
        <f>IFERROR(__xludf.DUMMYFUNCTION("""COMPUTED_VALUE"""),8382.0)</f>
        <v>8382</v>
      </c>
    </row>
    <row r="490">
      <c r="A490" s="2">
        <f>IFERROR(__xludf.DUMMYFUNCTION("""COMPUTED_VALUE"""),41627.645833333336)</f>
        <v>41627.64583</v>
      </c>
      <c r="B490" s="1">
        <f>IFERROR(__xludf.DUMMYFUNCTION("""COMPUTED_VALUE"""),3490.0)</f>
        <v>3490</v>
      </c>
      <c r="C490" s="1">
        <f>IFERROR(__xludf.DUMMYFUNCTION("""COMPUTED_VALUE"""),3560.0)</f>
        <v>3560</v>
      </c>
      <c r="D490" s="1">
        <f>IFERROR(__xludf.DUMMYFUNCTION("""COMPUTED_VALUE"""),3470.0)</f>
        <v>3470</v>
      </c>
      <c r="E490" s="1">
        <f>IFERROR(__xludf.DUMMYFUNCTION("""COMPUTED_VALUE"""),3525.0)</f>
        <v>3525</v>
      </c>
      <c r="F490" s="1">
        <f>IFERROR(__xludf.DUMMYFUNCTION("""COMPUTED_VALUE"""),4470.0)</f>
        <v>4470</v>
      </c>
    </row>
    <row r="491">
      <c r="A491" s="2">
        <f>IFERROR(__xludf.DUMMYFUNCTION("""COMPUTED_VALUE"""),41628.645833333336)</f>
        <v>41628.64583</v>
      </c>
      <c r="B491" s="1">
        <f>IFERROR(__xludf.DUMMYFUNCTION("""COMPUTED_VALUE"""),3485.0)</f>
        <v>3485</v>
      </c>
      <c r="C491" s="1">
        <f>IFERROR(__xludf.DUMMYFUNCTION("""COMPUTED_VALUE"""),3550.0)</f>
        <v>3550</v>
      </c>
      <c r="D491" s="1">
        <f>IFERROR(__xludf.DUMMYFUNCTION("""COMPUTED_VALUE"""),3480.0)</f>
        <v>3480</v>
      </c>
      <c r="E491" s="1">
        <f>IFERROR(__xludf.DUMMYFUNCTION("""COMPUTED_VALUE"""),3520.0)</f>
        <v>3520</v>
      </c>
      <c r="F491" s="1">
        <f>IFERROR(__xludf.DUMMYFUNCTION("""COMPUTED_VALUE"""),4973.0)</f>
        <v>4973</v>
      </c>
    </row>
    <row r="492">
      <c r="A492" s="2">
        <f>IFERROR(__xludf.DUMMYFUNCTION("""COMPUTED_VALUE"""),41631.645833333336)</f>
        <v>41631.64583</v>
      </c>
      <c r="B492" s="1">
        <f>IFERROR(__xludf.DUMMYFUNCTION("""COMPUTED_VALUE"""),3515.0)</f>
        <v>3515</v>
      </c>
      <c r="C492" s="1">
        <f>IFERROR(__xludf.DUMMYFUNCTION("""COMPUTED_VALUE"""),3525.0)</f>
        <v>3525</v>
      </c>
      <c r="D492" s="1">
        <f>IFERROR(__xludf.DUMMYFUNCTION("""COMPUTED_VALUE"""),3415.0)</f>
        <v>3415</v>
      </c>
      <c r="E492" s="1">
        <f>IFERROR(__xludf.DUMMYFUNCTION("""COMPUTED_VALUE"""),3485.0)</f>
        <v>3485</v>
      </c>
      <c r="F492" s="1">
        <f>IFERROR(__xludf.DUMMYFUNCTION("""COMPUTED_VALUE"""),10080.0)</f>
        <v>10080</v>
      </c>
    </row>
    <row r="493">
      <c r="A493" s="2">
        <f>IFERROR(__xludf.DUMMYFUNCTION("""COMPUTED_VALUE"""),41632.645833333336)</f>
        <v>41632.64583</v>
      </c>
      <c r="B493" s="1">
        <f>IFERROR(__xludf.DUMMYFUNCTION("""COMPUTED_VALUE"""),3485.0)</f>
        <v>3485</v>
      </c>
      <c r="C493" s="1">
        <f>IFERROR(__xludf.DUMMYFUNCTION("""COMPUTED_VALUE"""),3590.0)</f>
        <v>3590</v>
      </c>
      <c r="D493" s="1">
        <f>IFERROR(__xludf.DUMMYFUNCTION("""COMPUTED_VALUE"""),3485.0)</f>
        <v>3485</v>
      </c>
      <c r="E493" s="1">
        <f>IFERROR(__xludf.DUMMYFUNCTION("""COMPUTED_VALUE"""),3535.0)</f>
        <v>3535</v>
      </c>
      <c r="F493" s="1">
        <f>IFERROR(__xludf.DUMMYFUNCTION("""COMPUTED_VALUE"""),8530.0)</f>
        <v>8530</v>
      </c>
    </row>
    <row r="494">
      <c r="A494" s="2">
        <f>IFERROR(__xludf.DUMMYFUNCTION("""COMPUTED_VALUE"""),41634.645833333336)</f>
        <v>41634.64583</v>
      </c>
      <c r="B494" s="1">
        <f>IFERROR(__xludf.DUMMYFUNCTION("""COMPUTED_VALUE"""),3530.0)</f>
        <v>3530</v>
      </c>
      <c r="C494" s="1">
        <f>IFERROR(__xludf.DUMMYFUNCTION("""COMPUTED_VALUE"""),3555.0)</f>
        <v>3555</v>
      </c>
      <c r="D494" s="1">
        <f>IFERROR(__xludf.DUMMYFUNCTION("""COMPUTED_VALUE"""),3500.0)</f>
        <v>3500</v>
      </c>
      <c r="E494" s="1">
        <f>IFERROR(__xludf.DUMMYFUNCTION("""COMPUTED_VALUE"""),3525.0)</f>
        <v>3525</v>
      </c>
      <c r="F494" s="1">
        <f>IFERROR(__xludf.DUMMYFUNCTION("""COMPUTED_VALUE"""),17881.0)</f>
        <v>17881</v>
      </c>
    </row>
    <row r="495">
      <c r="A495" s="2">
        <f>IFERROR(__xludf.DUMMYFUNCTION("""COMPUTED_VALUE"""),41635.645833333336)</f>
        <v>41635.64583</v>
      </c>
      <c r="B495" s="1">
        <f>IFERROR(__xludf.DUMMYFUNCTION("""COMPUTED_VALUE"""),3520.0)</f>
        <v>3520</v>
      </c>
      <c r="C495" s="1">
        <f>IFERROR(__xludf.DUMMYFUNCTION("""COMPUTED_VALUE"""),3550.0)</f>
        <v>3550</v>
      </c>
      <c r="D495" s="1">
        <f>IFERROR(__xludf.DUMMYFUNCTION("""COMPUTED_VALUE"""),3500.0)</f>
        <v>3500</v>
      </c>
      <c r="E495" s="1">
        <f>IFERROR(__xludf.DUMMYFUNCTION("""COMPUTED_VALUE"""),3545.0)</f>
        <v>3545</v>
      </c>
      <c r="F495" s="1">
        <f>IFERROR(__xludf.DUMMYFUNCTION("""COMPUTED_VALUE"""),9914.0)</f>
        <v>9914</v>
      </c>
    </row>
    <row r="496">
      <c r="A496" s="2">
        <f>IFERROR(__xludf.DUMMYFUNCTION("""COMPUTED_VALUE"""),41638.645833333336)</f>
        <v>41638.64583</v>
      </c>
      <c r="B496" s="1">
        <f>IFERROR(__xludf.DUMMYFUNCTION("""COMPUTED_VALUE"""),3535.0)</f>
        <v>3535</v>
      </c>
      <c r="C496" s="1">
        <f>IFERROR(__xludf.DUMMYFUNCTION("""COMPUTED_VALUE"""),3575.0)</f>
        <v>3575</v>
      </c>
      <c r="D496" s="1">
        <f>IFERROR(__xludf.DUMMYFUNCTION("""COMPUTED_VALUE"""),3535.0)</f>
        <v>3535</v>
      </c>
      <c r="E496" s="1">
        <f>IFERROR(__xludf.DUMMYFUNCTION("""COMPUTED_VALUE"""),3545.0)</f>
        <v>3545</v>
      </c>
      <c r="F496" s="1">
        <f>IFERROR(__xludf.DUMMYFUNCTION("""COMPUTED_VALUE"""),7958.0)</f>
        <v>7958</v>
      </c>
    </row>
    <row r="497">
      <c r="A497" s="2">
        <f>IFERROR(__xludf.DUMMYFUNCTION("""COMPUTED_VALUE"""),41641.645833333336)</f>
        <v>41641.64583</v>
      </c>
      <c r="B497" s="1">
        <f>IFERROR(__xludf.DUMMYFUNCTION("""COMPUTED_VALUE"""),3550.0)</f>
        <v>3550</v>
      </c>
      <c r="C497" s="1">
        <f>IFERROR(__xludf.DUMMYFUNCTION("""COMPUTED_VALUE"""),3580.0)</f>
        <v>3580</v>
      </c>
      <c r="D497" s="1">
        <f>IFERROR(__xludf.DUMMYFUNCTION("""COMPUTED_VALUE"""),3540.0)</f>
        <v>3540</v>
      </c>
      <c r="E497" s="1">
        <f>IFERROR(__xludf.DUMMYFUNCTION("""COMPUTED_VALUE"""),3580.0)</f>
        <v>3580</v>
      </c>
      <c r="F497" s="1">
        <f>IFERROR(__xludf.DUMMYFUNCTION("""COMPUTED_VALUE"""),3970.0)</f>
        <v>3970</v>
      </c>
    </row>
    <row r="498">
      <c r="A498" s="2">
        <f>IFERROR(__xludf.DUMMYFUNCTION("""COMPUTED_VALUE"""),41642.645833333336)</f>
        <v>41642.64583</v>
      </c>
      <c r="B498" s="1">
        <f>IFERROR(__xludf.DUMMYFUNCTION("""COMPUTED_VALUE"""),3575.0)</f>
        <v>3575</v>
      </c>
      <c r="C498" s="1">
        <f>IFERROR(__xludf.DUMMYFUNCTION("""COMPUTED_VALUE"""),3585.0)</f>
        <v>3585</v>
      </c>
      <c r="D498" s="1">
        <f>IFERROR(__xludf.DUMMYFUNCTION("""COMPUTED_VALUE"""),3535.0)</f>
        <v>3535</v>
      </c>
      <c r="E498" s="1">
        <f>IFERROR(__xludf.DUMMYFUNCTION("""COMPUTED_VALUE"""),3570.0)</f>
        <v>3570</v>
      </c>
      <c r="F498" s="1">
        <f>IFERROR(__xludf.DUMMYFUNCTION("""COMPUTED_VALUE"""),9420.0)</f>
        <v>9420</v>
      </c>
    </row>
    <row r="499">
      <c r="A499" s="2">
        <f>IFERROR(__xludf.DUMMYFUNCTION("""COMPUTED_VALUE"""),41645.645833333336)</f>
        <v>41645.64583</v>
      </c>
      <c r="B499" s="1">
        <f>IFERROR(__xludf.DUMMYFUNCTION("""COMPUTED_VALUE"""),3570.0)</f>
        <v>3570</v>
      </c>
      <c r="C499" s="1">
        <f>IFERROR(__xludf.DUMMYFUNCTION("""COMPUTED_VALUE"""),3585.0)</f>
        <v>3585</v>
      </c>
      <c r="D499" s="1">
        <f>IFERROR(__xludf.DUMMYFUNCTION("""COMPUTED_VALUE"""),3495.0)</f>
        <v>3495</v>
      </c>
      <c r="E499" s="1">
        <f>IFERROR(__xludf.DUMMYFUNCTION("""COMPUTED_VALUE"""),3565.0)</f>
        <v>3565</v>
      </c>
      <c r="F499" s="1">
        <f>IFERROR(__xludf.DUMMYFUNCTION("""COMPUTED_VALUE"""),10940.0)</f>
        <v>10940</v>
      </c>
    </row>
    <row r="500">
      <c r="A500" s="2">
        <f>IFERROR(__xludf.DUMMYFUNCTION("""COMPUTED_VALUE"""),41646.645833333336)</f>
        <v>41646.64583</v>
      </c>
      <c r="B500" s="1">
        <f>IFERROR(__xludf.DUMMYFUNCTION("""COMPUTED_VALUE"""),3545.0)</f>
        <v>3545</v>
      </c>
      <c r="C500" s="1">
        <f>IFERROR(__xludf.DUMMYFUNCTION("""COMPUTED_VALUE"""),3570.0)</f>
        <v>3570</v>
      </c>
      <c r="D500" s="1">
        <f>IFERROR(__xludf.DUMMYFUNCTION("""COMPUTED_VALUE"""),3520.0)</f>
        <v>3520</v>
      </c>
      <c r="E500" s="1">
        <f>IFERROR(__xludf.DUMMYFUNCTION("""COMPUTED_VALUE"""),3555.0)</f>
        <v>3555</v>
      </c>
      <c r="F500" s="1">
        <f>IFERROR(__xludf.DUMMYFUNCTION("""COMPUTED_VALUE"""),6240.0)</f>
        <v>6240</v>
      </c>
    </row>
    <row r="501">
      <c r="A501" s="2">
        <f>IFERROR(__xludf.DUMMYFUNCTION("""COMPUTED_VALUE"""),41647.645833333336)</f>
        <v>41647.64583</v>
      </c>
      <c r="B501" s="1">
        <f>IFERROR(__xludf.DUMMYFUNCTION("""COMPUTED_VALUE"""),3540.0)</f>
        <v>3540</v>
      </c>
      <c r="C501" s="1">
        <f>IFERROR(__xludf.DUMMYFUNCTION("""COMPUTED_VALUE"""),3610.0)</f>
        <v>3610</v>
      </c>
      <c r="D501" s="1">
        <f>IFERROR(__xludf.DUMMYFUNCTION("""COMPUTED_VALUE"""),3535.0)</f>
        <v>3535</v>
      </c>
      <c r="E501" s="1">
        <f>IFERROR(__xludf.DUMMYFUNCTION("""COMPUTED_VALUE"""),3595.0)</f>
        <v>3595</v>
      </c>
      <c r="F501" s="1">
        <f>IFERROR(__xludf.DUMMYFUNCTION("""COMPUTED_VALUE"""),4791.0)</f>
        <v>4791</v>
      </c>
    </row>
    <row r="502">
      <c r="A502" s="2">
        <f>IFERROR(__xludf.DUMMYFUNCTION("""COMPUTED_VALUE"""),41648.645833333336)</f>
        <v>41648.64583</v>
      </c>
      <c r="B502" s="1">
        <f>IFERROR(__xludf.DUMMYFUNCTION("""COMPUTED_VALUE"""),3540.0)</f>
        <v>3540</v>
      </c>
      <c r="C502" s="1">
        <f>IFERROR(__xludf.DUMMYFUNCTION("""COMPUTED_VALUE"""),3640.0)</f>
        <v>3640</v>
      </c>
      <c r="D502" s="1">
        <f>IFERROR(__xludf.DUMMYFUNCTION("""COMPUTED_VALUE"""),3540.0)</f>
        <v>3540</v>
      </c>
      <c r="E502" s="1">
        <f>IFERROR(__xludf.DUMMYFUNCTION("""COMPUTED_VALUE"""),3640.0)</f>
        <v>3640</v>
      </c>
      <c r="F502" s="1">
        <f>IFERROR(__xludf.DUMMYFUNCTION("""COMPUTED_VALUE"""),16352.0)</f>
        <v>16352</v>
      </c>
    </row>
    <row r="503">
      <c r="A503" s="2">
        <f>IFERROR(__xludf.DUMMYFUNCTION("""COMPUTED_VALUE"""),41649.645833333336)</f>
        <v>41649.64583</v>
      </c>
      <c r="B503" s="1">
        <f>IFERROR(__xludf.DUMMYFUNCTION("""COMPUTED_VALUE"""),3625.0)</f>
        <v>3625</v>
      </c>
      <c r="C503" s="1">
        <f>IFERROR(__xludf.DUMMYFUNCTION("""COMPUTED_VALUE"""),3650.0)</f>
        <v>3650</v>
      </c>
      <c r="D503" s="1">
        <f>IFERROR(__xludf.DUMMYFUNCTION("""COMPUTED_VALUE"""),3615.0)</f>
        <v>3615</v>
      </c>
      <c r="E503" s="1">
        <f>IFERROR(__xludf.DUMMYFUNCTION("""COMPUTED_VALUE"""),3645.0)</f>
        <v>3645</v>
      </c>
      <c r="F503" s="1">
        <f>IFERROR(__xludf.DUMMYFUNCTION("""COMPUTED_VALUE"""),6381.0)</f>
        <v>6381</v>
      </c>
    </row>
    <row r="504">
      <c r="A504" s="2">
        <f>IFERROR(__xludf.DUMMYFUNCTION("""COMPUTED_VALUE"""),41652.645833333336)</f>
        <v>41652.64583</v>
      </c>
      <c r="B504" s="1">
        <f>IFERROR(__xludf.DUMMYFUNCTION("""COMPUTED_VALUE"""),3630.0)</f>
        <v>3630</v>
      </c>
      <c r="C504" s="1">
        <f>IFERROR(__xludf.DUMMYFUNCTION("""COMPUTED_VALUE"""),3715.0)</f>
        <v>3715</v>
      </c>
      <c r="D504" s="1">
        <f>IFERROR(__xludf.DUMMYFUNCTION("""COMPUTED_VALUE"""),3610.0)</f>
        <v>3610</v>
      </c>
      <c r="E504" s="1">
        <f>IFERROR(__xludf.DUMMYFUNCTION("""COMPUTED_VALUE"""),3715.0)</f>
        <v>3715</v>
      </c>
      <c r="F504" s="1">
        <f>IFERROR(__xludf.DUMMYFUNCTION("""COMPUTED_VALUE"""),22010.0)</f>
        <v>22010</v>
      </c>
    </row>
    <row r="505">
      <c r="A505" s="2">
        <f>IFERROR(__xludf.DUMMYFUNCTION("""COMPUTED_VALUE"""),41653.645833333336)</f>
        <v>41653.64583</v>
      </c>
      <c r="B505" s="1">
        <f>IFERROR(__xludf.DUMMYFUNCTION("""COMPUTED_VALUE"""),3715.0)</f>
        <v>3715</v>
      </c>
      <c r="C505" s="1">
        <f>IFERROR(__xludf.DUMMYFUNCTION("""COMPUTED_VALUE"""),3790.0)</f>
        <v>3790</v>
      </c>
      <c r="D505" s="1">
        <f>IFERROR(__xludf.DUMMYFUNCTION("""COMPUTED_VALUE"""),3675.0)</f>
        <v>3675</v>
      </c>
      <c r="E505" s="1">
        <f>IFERROR(__xludf.DUMMYFUNCTION("""COMPUTED_VALUE"""),3790.0)</f>
        <v>3790</v>
      </c>
      <c r="F505" s="1">
        <f>IFERROR(__xludf.DUMMYFUNCTION("""COMPUTED_VALUE"""),40373.0)</f>
        <v>40373</v>
      </c>
    </row>
    <row r="506">
      <c r="A506" s="2">
        <f>IFERROR(__xludf.DUMMYFUNCTION("""COMPUTED_VALUE"""),41654.645833333336)</f>
        <v>41654.64583</v>
      </c>
      <c r="B506" s="1">
        <f>IFERROR(__xludf.DUMMYFUNCTION("""COMPUTED_VALUE"""),3790.0)</f>
        <v>3790</v>
      </c>
      <c r="C506" s="1">
        <f>IFERROR(__xludf.DUMMYFUNCTION("""COMPUTED_VALUE"""),3880.0)</f>
        <v>3880</v>
      </c>
      <c r="D506" s="1">
        <f>IFERROR(__xludf.DUMMYFUNCTION("""COMPUTED_VALUE"""),3760.0)</f>
        <v>3760</v>
      </c>
      <c r="E506" s="1">
        <f>IFERROR(__xludf.DUMMYFUNCTION("""COMPUTED_VALUE"""),3805.0)</f>
        <v>3805</v>
      </c>
      <c r="F506" s="1">
        <f>IFERROR(__xludf.DUMMYFUNCTION("""COMPUTED_VALUE"""),17283.0)</f>
        <v>17283</v>
      </c>
    </row>
    <row r="507">
      <c r="A507" s="2">
        <f>IFERROR(__xludf.DUMMYFUNCTION("""COMPUTED_VALUE"""),41655.645833333336)</f>
        <v>41655.64583</v>
      </c>
      <c r="B507" s="1">
        <f>IFERROR(__xludf.DUMMYFUNCTION("""COMPUTED_VALUE"""),3795.0)</f>
        <v>3795</v>
      </c>
      <c r="C507" s="1">
        <f>IFERROR(__xludf.DUMMYFUNCTION("""COMPUTED_VALUE"""),3810.0)</f>
        <v>3810</v>
      </c>
      <c r="D507" s="1">
        <f>IFERROR(__xludf.DUMMYFUNCTION("""COMPUTED_VALUE"""),3765.0)</f>
        <v>3765</v>
      </c>
      <c r="E507" s="1">
        <f>IFERROR(__xludf.DUMMYFUNCTION("""COMPUTED_VALUE"""),3775.0)</f>
        <v>3775</v>
      </c>
      <c r="F507" s="1">
        <f>IFERROR(__xludf.DUMMYFUNCTION("""COMPUTED_VALUE"""),5755.0)</f>
        <v>5755</v>
      </c>
    </row>
    <row r="508">
      <c r="A508" s="2">
        <f>IFERROR(__xludf.DUMMYFUNCTION("""COMPUTED_VALUE"""),41656.645833333336)</f>
        <v>41656.64583</v>
      </c>
      <c r="B508" s="1">
        <f>IFERROR(__xludf.DUMMYFUNCTION("""COMPUTED_VALUE"""),3765.0)</f>
        <v>3765</v>
      </c>
      <c r="C508" s="1">
        <f>IFERROR(__xludf.DUMMYFUNCTION("""COMPUTED_VALUE"""),3870.0)</f>
        <v>3870</v>
      </c>
      <c r="D508" s="1">
        <f>IFERROR(__xludf.DUMMYFUNCTION("""COMPUTED_VALUE"""),3765.0)</f>
        <v>3765</v>
      </c>
      <c r="E508" s="1">
        <f>IFERROR(__xludf.DUMMYFUNCTION("""COMPUTED_VALUE"""),3770.0)</f>
        <v>3770</v>
      </c>
      <c r="F508" s="1">
        <f>IFERROR(__xludf.DUMMYFUNCTION("""COMPUTED_VALUE"""),5464.0)</f>
        <v>5464</v>
      </c>
    </row>
    <row r="509">
      <c r="A509" s="2">
        <f>IFERROR(__xludf.DUMMYFUNCTION("""COMPUTED_VALUE"""),41659.645833333336)</f>
        <v>41659.64583</v>
      </c>
      <c r="B509" s="1">
        <f>IFERROR(__xludf.DUMMYFUNCTION("""COMPUTED_VALUE"""),3760.0)</f>
        <v>3760</v>
      </c>
      <c r="C509" s="1">
        <f>IFERROR(__xludf.DUMMYFUNCTION("""COMPUTED_VALUE"""),3800.0)</f>
        <v>3800</v>
      </c>
      <c r="D509" s="1">
        <f>IFERROR(__xludf.DUMMYFUNCTION("""COMPUTED_VALUE"""),3660.0)</f>
        <v>3660</v>
      </c>
      <c r="E509" s="1">
        <f>IFERROR(__xludf.DUMMYFUNCTION("""COMPUTED_VALUE"""),3785.0)</f>
        <v>3785</v>
      </c>
      <c r="F509" s="1">
        <f>IFERROR(__xludf.DUMMYFUNCTION("""COMPUTED_VALUE"""),25122.0)</f>
        <v>25122</v>
      </c>
    </row>
    <row r="510">
      <c r="A510" s="2">
        <f>IFERROR(__xludf.DUMMYFUNCTION("""COMPUTED_VALUE"""),41660.645833333336)</f>
        <v>41660.64583</v>
      </c>
      <c r="B510" s="1">
        <f>IFERROR(__xludf.DUMMYFUNCTION("""COMPUTED_VALUE"""),3765.0)</f>
        <v>3765</v>
      </c>
      <c r="C510" s="1">
        <f>IFERROR(__xludf.DUMMYFUNCTION("""COMPUTED_VALUE"""),3810.0)</f>
        <v>3810</v>
      </c>
      <c r="D510" s="1">
        <f>IFERROR(__xludf.DUMMYFUNCTION("""COMPUTED_VALUE"""),3670.0)</f>
        <v>3670</v>
      </c>
      <c r="E510" s="1">
        <f>IFERROR(__xludf.DUMMYFUNCTION("""COMPUTED_VALUE"""),3750.0)</f>
        <v>3750</v>
      </c>
      <c r="F510" s="1">
        <f>IFERROR(__xludf.DUMMYFUNCTION("""COMPUTED_VALUE"""),7640.0)</f>
        <v>7640</v>
      </c>
    </row>
    <row r="511">
      <c r="A511" s="2">
        <f>IFERROR(__xludf.DUMMYFUNCTION("""COMPUTED_VALUE"""),41661.645833333336)</f>
        <v>41661.64583</v>
      </c>
      <c r="B511" s="1">
        <f>IFERROR(__xludf.DUMMYFUNCTION("""COMPUTED_VALUE"""),3730.0)</f>
        <v>3730</v>
      </c>
      <c r="C511" s="1">
        <f>IFERROR(__xludf.DUMMYFUNCTION("""COMPUTED_VALUE"""),3785.0)</f>
        <v>3785</v>
      </c>
      <c r="D511" s="1">
        <f>IFERROR(__xludf.DUMMYFUNCTION("""COMPUTED_VALUE"""),3710.0)</f>
        <v>3710</v>
      </c>
      <c r="E511" s="1">
        <f>IFERROR(__xludf.DUMMYFUNCTION("""COMPUTED_VALUE"""),3775.0)</f>
        <v>3775</v>
      </c>
      <c r="F511" s="1">
        <f>IFERROR(__xludf.DUMMYFUNCTION("""COMPUTED_VALUE"""),16829.0)</f>
        <v>16829</v>
      </c>
    </row>
    <row r="512">
      <c r="A512" s="2">
        <f>IFERROR(__xludf.DUMMYFUNCTION("""COMPUTED_VALUE"""),41662.645833333336)</f>
        <v>41662.64583</v>
      </c>
      <c r="B512" s="1">
        <f>IFERROR(__xludf.DUMMYFUNCTION("""COMPUTED_VALUE"""),3775.0)</f>
        <v>3775</v>
      </c>
      <c r="C512" s="1">
        <f>IFERROR(__xludf.DUMMYFUNCTION("""COMPUTED_VALUE"""),3800.0)</f>
        <v>3800</v>
      </c>
      <c r="D512" s="1">
        <f>IFERROR(__xludf.DUMMYFUNCTION("""COMPUTED_VALUE"""),3745.0)</f>
        <v>3745</v>
      </c>
      <c r="E512" s="1">
        <f>IFERROR(__xludf.DUMMYFUNCTION("""COMPUTED_VALUE"""),3790.0)</f>
        <v>3790</v>
      </c>
      <c r="F512" s="1">
        <f>IFERROR(__xludf.DUMMYFUNCTION("""COMPUTED_VALUE"""),2640.0)</f>
        <v>2640</v>
      </c>
    </row>
    <row r="513">
      <c r="A513" s="2">
        <f>IFERROR(__xludf.DUMMYFUNCTION("""COMPUTED_VALUE"""),41663.645833333336)</f>
        <v>41663.64583</v>
      </c>
      <c r="B513" s="1">
        <f>IFERROR(__xludf.DUMMYFUNCTION("""COMPUTED_VALUE"""),3760.0)</f>
        <v>3760</v>
      </c>
      <c r="C513" s="1">
        <f>IFERROR(__xludf.DUMMYFUNCTION("""COMPUTED_VALUE"""),3795.0)</f>
        <v>3795</v>
      </c>
      <c r="D513" s="1">
        <f>IFERROR(__xludf.DUMMYFUNCTION("""COMPUTED_VALUE"""),3700.0)</f>
        <v>3700</v>
      </c>
      <c r="E513" s="1">
        <f>IFERROR(__xludf.DUMMYFUNCTION("""COMPUTED_VALUE"""),3785.0)</f>
        <v>3785</v>
      </c>
      <c r="F513" s="1">
        <f>IFERROR(__xludf.DUMMYFUNCTION("""COMPUTED_VALUE"""),9001.0)</f>
        <v>9001</v>
      </c>
    </row>
    <row r="514">
      <c r="A514" s="2">
        <f>IFERROR(__xludf.DUMMYFUNCTION("""COMPUTED_VALUE"""),41666.645833333336)</f>
        <v>41666.64583</v>
      </c>
      <c r="B514" s="1">
        <f>IFERROR(__xludf.DUMMYFUNCTION("""COMPUTED_VALUE"""),3745.0)</f>
        <v>3745</v>
      </c>
      <c r="C514" s="1">
        <f>IFERROR(__xludf.DUMMYFUNCTION("""COMPUTED_VALUE"""),3765.0)</f>
        <v>3765</v>
      </c>
      <c r="D514" s="1">
        <f>IFERROR(__xludf.DUMMYFUNCTION("""COMPUTED_VALUE"""),3680.0)</f>
        <v>3680</v>
      </c>
      <c r="E514" s="1">
        <f>IFERROR(__xludf.DUMMYFUNCTION("""COMPUTED_VALUE"""),3730.0)</f>
        <v>3730</v>
      </c>
      <c r="F514" s="1">
        <f>IFERROR(__xludf.DUMMYFUNCTION("""COMPUTED_VALUE"""),9671.0)</f>
        <v>9671</v>
      </c>
    </row>
    <row r="515">
      <c r="A515" s="2">
        <f>IFERROR(__xludf.DUMMYFUNCTION("""COMPUTED_VALUE"""),41667.645833333336)</f>
        <v>41667.64583</v>
      </c>
      <c r="B515" s="1">
        <f>IFERROR(__xludf.DUMMYFUNCTION("""COMPUTED_VALUE"""),3720.0)</f>
        <v>3720</v>
      </c>
      <c r="C515" s="1">
        <f>IFERROR(__xludf.DUMMYFUNCTION("""COMPUTED_VALUE"""),4285.0)</f>
        <v>4285</v>
      </c>
      <c r="D515" s="1">
        <f>IFERROR(__xludf.DUMMYFUNCTION("""COMPUTED_VALUE"""),3710.0)</f>
        <v>3710</v>
      </c>
      <c r="E515" s="1">
        <f>IFERROR(__xludf.DUMMYFUNCTION("""COMPUTED_VALUE"""),3770.0)</f>
        <v>3770</v>
      </c>
      <c r="F515" s="1">
        <f>IFERROR(__xludf.DUMMYFUNCTION("""COMPUTED_VALUE"""),65938.0)</f>
        <v>65938</v>
      </c>
    </row>
    <row r="516">
      <c r="A516" s="2">
        <f>IFERROR(__xludf.DUMMYFUNCTION("""COMPUTED_VALUE"""),41668.645833333336)</f>
        <v>41668.64583</v>
      </c>
      <c r="B516" s="1">
        <f>IFERROR(__xludf.DUMMYFUNCTION("""COMPUTED_VALUE"""),3785.0)</f>
        <v>3785</v>
      </c>
      <c r="C516" s="1">
        <f>IFERROR(__xludf.DUMMYFUNCTION("""COMPUTED_VALUE"""),3825.0)</f>
        <v>3825</v>
      </c>
      <c r="D516" s="1">
        <f>IFERROR(__xludf.DUMMYFUNCTION("""COMPUTED_VALUE"""),3780.0)</f>
        <v>3780</v>
      </c>
      <c r="E516" s="1">
        <f>IFERROR(__xludf.DUMMYFUNCTION("""COMPUTED_VALUE"""),3825.0)</f>
        <v>3825</v>
      </c>
      <c r="F516" s="1">
        <f>IFERROR(__xludf.DUMMYFUNCTION("""COMPUTED_VALUE"""),16352.0)</f>
        <v>16352</v>
      </c>
    </row>
    <row r="517">
      <c r="A517" s="2">
        <f>IFERROR(__xludf.DUMMYFUNCTION("""COMPUTED_VALUE"""),41673.645833333336)</f>
        <v>41673.64583</v>
      </c>
      <c r="B517" s="1">
        <f>IFERROR(__xludf.DUMMYFUNCTION("""COMPUTED_VALUE"""),3830.0)</f>
        <v>3830</v>
      </c>
      <c r="C517" s="1">
        <f>IFERROR(__xludf.DUMMYFUNCTION("""COMPUTED_VALUE"""),3910.0)</f>
        <v>3910</v>
      </c>
      <c r="D517" s="1">
        <f>IFERROR(__xludf.DUMMYFUNCTION("""COMPUTED_VALUE"""),3825.0)</f>
        <v>3825</v>
      </c>
      <c r="E517" s="1">
        <f>IFERROR(__xludf.DUMMYFUNCTION("""COMPUTED_VALUE"""),3875.0)</f>
        <v>3875</v>
      </c>
      <c r="F517" s="1">
        <f>IFERROR(__xludf.DUMMYFUNCTION("""COMPUTED_VALUE"""),29500.0)</f>
        <v>29500</v>
      </c>
    </row>
    <row r="518">
      <c r="A518" s="2">
        <f>IFERROR(__xludf.DUMMYFUNCTION("""COMPUTED_VALUE"""),41674.645833333336)</f>
        <v>41674.64583</v>
      </c>
      <c r="B518" s="1">
        <f>IFERROR(__xludf.DUMMYFUNCTION("""COMPUTED_VALUE"""),3825.0)</f>
        <v>3825</v>
      </c>
      <c r="C518" s="1">
        <f>IFERROR(__xludf.DUMMYFUNCTION("""COMPUTED_VALUE"""),3875.0)</f>
        <v>3875</v>
      </c>
      <c r="D518" s="1">
        <f>IFERROR(__xludf.DUMMYFUNCTION("""COMPUTED_VALUE"""),3770.0)</f>
        <v>3770</v>
      </c>
      <c r="E518" s="1">
        <f>IFERROR(__xludf.DUMMYFUNCTION("""COMPUTED_VALUE"""),3840.0)</f>
        <v>3840</v>
      </c>
      <c r="F518" s="1">
        <f>IFERROR(__xludf.DUMMYFUNCTION("""COMPUTED_VALUE"""),11011.0)</f>
        <v>11011</v>
      </c>
    </row>
    <row r="519">
      <c r="A519" s="2">
        <f>IFERROR(__xludf.DUMMYFUNCTION("""COMPUTED_VALUE"""),41675.645833333336)</f>
        <v>41675.64583</v>
      </c>
      <c r="B519" s="1">
        <f>IFERROR(__xludf.DUMMYFUNCTION("""COMPUTED_VALUE"""),3815.0)</f>
        <v>3815</v>
      </c>
      <c r="C519" s="1">
        <f>IFERROR(__xludf.DUMMYFUNCTION("""COMPUTED_VALUE"""),3980.0)</f>
        <v>3980</v>
      </c>
      <c r="D519" s="1">
        <f>IFERROR(__xludf.DUMMYFUNCTION("""COMPUTED_VALUE"""),3810.0)</f>
        <v>3810</v>
      </c>
      <c r="E519" s="1">
        <f>IFERROR(__xludf.DUMMYFUNCTION("""COMPUTED_VALUE"""),3980.0)</f>
        <v>3980</v>
      </c>
      <c r="F519" s="1">
        <f>IFERROR(__xludf.DUMMYFUNCTION("""COMPUTED_VALUE"""),23971.0)</f>
        <v>23971</v>
      </c>
    </row>
    <row r="520">
      <c r="A520" s="2">
        <f>IFERROR(__xludf.DUMMYFUNCTION("""COMPUTED_VALUE"""),41676.645833333336)</f>
        <v>41676.64583</v>
      </c>
      <c r="B520" s="1">
        <f>IFERROR(__xludf.DUMMYFUNCTION("""COMPUTED_VALUE"""),3940.0)</f>
        <v>3940</v>
      </c>
      <c r="C520" s="1">
        <f>IFERROR(__xludf.DUMMYFUNCTION("""COMPUTED_VALUE"""),4150.0)</f>
        <v>4150</v>
      </c>
      <c r="D520" s="1">
        <f>IFERROR(__xludf.DUMMYFUNCTION("""COMPUTED_VALUE"""),3890.0)</f>
        <v>3890</v>
      </c>
      <c r="E520" s="1">
        <f>IFERROR(__xludf.DUMMYFUNCTION("""COMPUTED_VALUE"""),3900.0)</f>
        <v>3900</v>
      </c>
      <c r="F520" s="1">
        <f>IFERROR(__xludf.DUMMYFUNCTION("""COMPUTED_VALUE"""),62338.0)</f>
        <v>62338</v>
      </c>
    </row>
    <row r="521">
      <c r="A521" s="2">
        <f>IFERROR(__xludf.DUMMYFUNCTION("""COMPUTED_VALUE"""),41677.645833333336)</f>
        <v>41677.64583</v>
      </c>
      <c r="B521" s="1">
        <f>IFERROR(__xludf.DUMMYFUNCTION("""COMPUTED_VALUE"""),3910.0)</f>
        <v>3910</v>
      </c>
      <c r="C521" s="1">
        <f>IFERROR(__xludf.DUMMYFUNCTION("""COMPUTED_VALUE"""),4005.0)</f>
        <v>4005</v>
      </c>
      <c r="D521" s="1">
        <f>IFERROR(__xludf.DUMMYFUNCTION("""COMPUTED_VALUE"""),3890.0)</f>
        <v>3890</v>
      </c>
      <c r="E521" s="1">
        <f>IFERROR(__xludf.DUMMYFUNCTION("""COMPUTED_VALUE"""),3990.0)</f>
        <v>3990</v>
      </c>
      <c r="F521" s="1">
        <f>IFERROR(__xludf.DUMMYFUNCTION("""COMPUTED_VALUE"""),11965.0)</f>
        <v>11965</v>
      </c>
    </row>
    <row r="522">
      <c r="A522" s="2">
        <f>IFERROR(__xludf.DUMMYFUNCTION("""COMPUTED_VALUE"""),41680.645833333336)</f>
        <v>41680.64583</v>
      </c>
      <c r="B522" s="1">
        <f>IFERROR(__xludf.DUMMYFUNCTION("""COMPUTED_VALUE"""),3980.0)</f>
        <v>3980</v>
      </c>
      <c r="C522" s="1">
        <f>IFERROR(__xludf.DUMMYFUNCTION("""COMPUTED_VALUE"""),4020.0)</f>
        <v>4020</v>
      </c>
      <c r="D522" s="1">
        <f>IFERROR(__xludf.DUMMYFUNCTION("""COMPUTED_VALUE"""),3925.0)</f>
        <v>3925</v>
      </c>
      <c r="E522" s="1">
        <f>IFERROR(__xludf.DUMMYFUNCTION("""COMPUTED_VALUE"""),3995.0)</f>
        <v>3995</v>
      </c>
      <c r="F522" s="1">
        <f>IFERROR(__xludf.DUMMYFUNCTION("""COMPUTED_VALUE"""),17964.0)</f>
        <v>17964</v>
      </c>
    </row>
    <row r="523">
      <c r="A523" s="2">
        <f>IFERROR(__xludf.DUMMYFUNCTION("""COMPUTED_VALUE"""),41681.645833333336)</f>
        <v>41681.64583</v>
      </c>
      <c r="B523" s="1">
        <f>IFERROR(__xludf.DUMMYFUNCTION("""COMPUTED_VALUE"""),3970.0)</f>
        <v>3970</v>
      </c>
      <c r="C523" s="1">
        <f>IFERROR(__xludf.DUMMYFUNCTION("""COMPUTED_VALUE"""),4010.0)</f>
        <v>4010</v>
      </c>
      <c r="D523" s="1">
        <f>IFERROR(__xludf.DUMMYFUNCTION("""COMPUTED_VALUE"""),3960.0)</f>
        <v>3960</v>
      </c>
      <c r="E523" s="1">
        <f>IFERROR(__xludf.DUMMYFUNCTION("""COMPUTED_VALUE"""),4000.0)</f>
        <v>4000</v>
      </c>
      <c r="F523" s="1">
        <f>IFERROR(__xludf.DUMMYFUNCTION("""COMPUTED_VALUE"""),20825.0)</f>
        <v>20825</v>
      </c>
    </row>
    <row r="524">
      <c r="A524" s="2">
        <f>IFERROR(__xludf.DUMMYFUNCTION("""COMPUTED_VALUE"""),41682.645833333336)</f>
        <v>41682.64583</v>
      </c>
      <c r="B524" s="1">
        <f>IFERROR(__xludf.DUMMYFUNCTION("""COMPUTED_VALUE"""),4025.0)</f>
        <v>4025</v>
      </c>
      <c r="C524" s="1">
        <f>IFERROR(__xludf.DUMMYFUNCTION("""COMPUTED_VALUE"""),4080.0)</f>
        <v>4080</v>
      </c>
      <c r="D524" s="1">
        <f>IFERROR(__xludf.DUMMYFUNCTION("""COMPUTED_VALUE"""),4000.0)</f>
        <v>4000</v>
      </c>
      <c r="E524" s="1">
        <f>IFERROR(__xludf.DUMMYFUNCTION("""COMPUTED_VALUE"""),4025.0)</f>
        <v>4025</v>
      </c>
      <c r="F524" s="1">
        <f>IFERROR(__xludf.DUMMYFUNCTION("""COMPUTED_VALUE"""),28037.0)</f>
        <v>28037</v>
      </c>
    </row>
    <row r="525">
      <c r="A525" s="2">
        <f>IFERROR(__xludf.DUMMYFUNCTION("""COMPUTED_VALUE"""),41683.645833333336)</f>
        <v>41683.64583</v>
      </c>
      <c r="B525" s="1">
        <f>IFERROR(__xludf.DUMMYFUNCTION("""COMPUTED_VALUE"""),3995.0)</f>
        <v>3995</v>
      </c>
      <c r="C525" s="1">
        <f>IFERROR(__xludf.DUMMYFUNCTION("""COMPUTED_VALUE"""),4030.0)</f>
        <v>4030</v>
      </c>
      <c r="D525" s="1">
        <f>IFERROR(__xludf.DUMMYFUNCTION("""COMPUTED_VALUE"""),3915.0)</f>
        <v>3915</v>
      </c>
      <c r="E525" s="1">
        <f>IFERROR(__xludf.DUMMYFUNCTION("""COMPUTED_VALUE"""),4000.0)</f>
        <v>4000</v>
      </c>
      <c r="F525" s="1">
        <f>IFERROR(__xludf.DUMMYFUNCTION("""COMPUTED_VALUE"""),12808.0)</f>
        <v>12808</v>
      </c>
    </row>
    <row r="526">
      <c r="A526" s="2">
        <f>IFERROR(__xludf.DUMMYFUNCTION("""COMPUTED_VALUE"""),41684.645833333336)</f>
        <v>41684.64583</v>
      </c>
      <c r="B526" s="1">
        <f>IFERROR(__xludf.DUMMYFUNCTION("""COMPUTED_VALUE"""),4000.0)</f>
        <v>4000</v>
      </c>
      <c r="C526" s="1">
        <f>IFERROR(__xludf.DUMMYFUNCTION("""COMPUTED_VALUE"""),4020.0)</f>
        <v>4020</v>
      </c>
      <c r="D526" s="1">
        <f>IFERROR(__xludf.DUMMYFUNCTION("""COMPUTED_VALUE"""),3680.0)</f>
        <v>3680</v>
      </c>
      <c r="E526" s="1">
        <f>IFERROR(__xludf.DUMMYFUNCTION("""COMPUTED_VALUE"""),3855.0)</f>
        <v>3855</v>
      </c>
      <c r="F526" s="1">
        <f>IFERROR(__xludf.DUMMYFUNCTION("""COMPUTED_VALUE"""),21507.0)</f>
        <v>21507</v>
      </c>
    </row>
    <row r="527">
      <c r="A527" s="2">
        <f>IFERROR(__xludf.DUMMYFUNCTION("""COMPUTED_VALUE"""),41687.645833333336)</f>
        <v>41687.64583</v>
      </c>
      <c r="B527" s="1">
        <f>IFERROR(__xludf.DUMMYFUNCTION("""COMPUTED_VALUE"""),3835.0)</f>
        <v>3835</v>
      </c>
      <c r="C527" s="1">
        <f>IFERROR(__xludf.DUMMYFUNCTION("""COMPUTED_VALUE"""),3900.0)</f>
        <v>3900</v>
      </c>
      <c r="D527" s="1">
        <f>IFERROR(__xludf.DUMMYFUNCTION("""COMPUTED_VALUE"""),3795.0)</f>
        <v>3795</v>
      </c>
      <c r="E527" s="1">
        <f>IFERROR(__xludf.DUMMYFUNCTION("""COMPUTED_VALUE"""),3875.0)</f>
        <v>3875</v>
      </c>
      <c r="F527" s="1">
        <f>IFERROR(__xludf.DUMMYFUNCTION("""COMPUTED_VALUE"""),64491.0)</f>
        <v>64491</v>
      </c>
    </row>
    <row r="528">
      <c r="A528" s="2">
        <f>IFERROR(__xludf.DUMMYFUNCTION("""COMPUTED_VALUE"""),41688.645833333336)</f>
        <v>41688.64583</v>
      </c>
      <c r="B528" s="1">
        <f>IFERROR(__xludf.DUMMYFUNCTION("""COMPUTED_VALUE"""),3860.0)</f>
        <v>3860</v>
      </c>
      <c r="C528" s="1">
        <f>IFERROR(__xludf.DUMMYFUNCTION("""COMPUTED_VALUE"""),3890.0)</f>
        <v>3890</v>
      </c>
      <c r="D528" s="1">
        <f>IFERROR(__xludf.DUMMYFUNCTION("""COMPUTED_VALUE"""),3770.0)</f>
        <v>3770</v>
      </c>
      <c r="E528" s="1">
        <f>IFERROR(__xludf.DUMMYFUNCTION("""COMPUTED_VALUE"""),3880.0)</f>
        <v>3880</v>
      </c>
      <c r="F528" s="1">
        <f>IFERROR(__xludf.DUMMYFUNCTION("""COMPUTED_VALUE"""),9070.0)</f>
        <v>9070</v>
      </c>
    </row>
    <row r="529">
      <c r="A529" s="2">
        <f>IFERROR(__xludf.DUMMYFUNCTION("""COMPUTED_VALUE"""),41690.645833333336)</f>
        <v>41690.64583</v>
      </c>
      <c r="B529" s="1">
        <f>IFERROR(__xludf.DUMMYFUNCTION("""COMPUTED_VALUE"""),3865.0)</f>
        <v>3865</v>
      </c>
      <c r="C529" s="1">
        <f>IFERROR(__xludf.DUMMYFUNCTION("""COMPUTED_VALUE"""),4020.0)</f>
        <v>4020</v>
      </c>
      <c r="D529" s="1">
        <f>IFERROR(__xludf.DUMMYFUNCTION("""COMPUTED_VALUE"""),3860.0)</f>
        <v>3860</v>
      </c>
      <c r="E529" s="1">
        <f>IFERROR(__xludf.DUMMYFUNCTION("""COMPUTED_VALUE"""),3975.0)</f>
        <v>3975</v>
      </c>
      <c r="F529" s="1">
        <f>IFERROR(__xludf.DUMMYFUNCTION("""COMPUTED_VALUE"""),42526.0)</f>
        <v>42526</v>
      </c>
    </row>
    <row r="530">
      <c r="A530" s="2">
        <f>IFERROR(__xludf.DUMMYFUNCTION("""COMPUTED_VALUE"""),41691.645833333336)</f>
        <v>41691.64583</v>
      </c>
      <c r="B530" s="1">
        <f>IFERROR(__xludf.DUMMYFUNCTION("""COMPUTED_VALUE"""),3980.0)</f>
        <v>3980</v>
      </c>
      <c r="C530" s="1">
        <f>IFERROR(__xludf.DUMMYFUNCTION("""COMPUTED_VALUE"""),4350.0)</f>
        <v>4350</v>
      </c>
      <c r="D530" s="1">
        <f>IFERROR(__xludf.DUMMYFUNCTION("""COMPUTED_VALUE"""),3880.0)</f>
        <v>3880</v>
      </c>
      <c r="E530" s="1">
        <f>IFERROR(__xludf.DUMMYFUNCTION("""COMPUTED_VALUE"""),4335.0)</f>
        <v>4335</v>
      </c>
      <c r="F530" s="1">
        <f>IFERROR(__xludf.DUMMYFUNCTION("""COMPUTED_VALUE"""),216410.0)</f>
        <v>216410</v>
      </c>
    </row>
    <row r="531">
      <c r="A531" s="2">
        <f>IFERROR(__xludf.DUMMYFUNCTION("""COMPUTED_VALUE"""),41694.645833333336)</f>
        <v>41694.64583</v>
      </c>
      <c r="B531" s="1">
        <f>IFERROR(__xludf.DUMMYFUNCTION("""COMPUTED_VALUE"""),4350.0)</f>
        <v>4350</v>
      </c>
      <c r="C531" s="1">
        <f>IFERROR(__xludf.DUMMYFUNCTION("""COMPUTED_VALUE"""),4670.0)</f>
        <v>4670</v>
      </c>
      <c r="D531" s="1">
        <f>IFERROR(__xludf.DUMMYFUNCTION("""COMPUTED_VALUE"""),4305.0)</f>
        <v>4305</v>
      </c>
      <c r="E531" s="1">
        <f>IFERROR(__xludf.DUMMYFUNCTION("""COMPUTED_VALUE"""),4330.0)</f>
        <v>4330</v>
      </c>
      <c r="F531" s="1">
        <f>IFERROR(__xludf.DUMMYFUNCTION("""COMPUTED_VALUE"""),266639.0)</f>
        <v>266639</v>
      </c>
    </row>
    <row r="532">
      <c r="A532" s="2">
        <f>IFERROR(__xludf.DUMMYFUNCTION("""COMPUTED_VALUE"""),41695.645833333336)</f>
        <v>41695.64583</v>
      </c>
      <c r="B532" s="1">
        <f>IFERROR(__xludf.DUMMYFUNCTION("""COMPUTED_VALUE"""),4270.0)</f>
        <v>4270</v>
      </c>
      <c r="C532" s="1">
        <f>IFERROR(__xludf.DUMMYFUNCTION("""COMPUTED_VALUE"""),4365.0)</f>
        <v>4365</v>
      </c>
      <c r="D532" s="1">
        <f>IFERROR(__xludf.DUMMYFUNCTION("""COMPUTED_VALUE"""),4235.0)</f>
        <v>4235</v>
      </c>
      <c r="E532" s="1">
        <f>IFERROR(__xludf.DUMMYFUNCTION("""COMPUTED_VALUE"""),4290.0)</f>
        <v>4290</v>
      </c>
      <c r="F532" s="1">
        <f>IFERROR(__xludf.DUMMYFUNCTION("""COMPUTED_VALUE"""),74071.0)</f>
        <v>74071</v>
      </c>
    </row>
    <row r="533">
      <c r="A533" s="2">
        <f>IFERROR(__xludf.DUMMYFUNCTION("""COMPUTED_VALUE"""),41696.645833333336)</f>
        <v>41696.64583</v>
      </c>
      <c r="B533" s="1">
        <f>IFERROR(__xludf.DUMMYFUNCTION("""COMPUTED_VALUE"""),4300.0)</f>
        <v>4300</v>
      </c>
      <c r="C533" s="1">
        <f>IFERROR(__xludf.DUMMYFUNCTION("""COMPUTED_VALUE"""),4470.0)</f>
        <v>4470</v>
      </c>
      <c r="D533" s="1">
        <f>IFERROR(__xludf.DUMMYFUNCTION("""COMPUTED_VALUE"""),4260.0)</f>
        <v>4260</v>
      </c>
      <c r="E533" s="1">
        <f>IFERROR(__xludf.DUMMYFUNCTION("""COMPUTED_VALUE"""),4430.0)</f>
        <v>4430</v>
      </c>
      <c r="F533" s="1">
        <f>IFERROR(__xludf.DUMMYFUNCTION("""COMPUTED_VALUE"""),78699.0)</f>
        <v>78699</v>
      </c>
    </row>
    <row r="534">
      <c r="A534" s="2">
        <f>IFERROR(__xludf.DUMMYFUNCTION("""COMPUTED_VALUE"""),41697.645833333336)</f>
        <v>41697.64583</v>
      </c>
      <c r="B534" s="1">
        <f>IFERROR(__xludf.DUMMYFUNCTION("""COMPUTED_VALUE"""),4490.0)</f>
        <v>4490</v>
      </c>
      <c r="C534" s="1">
        <f>IFERROR(__xludf.DUMMYFUNCTION("""COMPUTED_VALUE"""),4490.0)</f>
        <v>4490</v>
      </c>
      <c r="D534" s="1">
        <f>IFERROR(__xludf.DUMMYFUNCTION("""COMPUTED_VALUE"""),4390.0)</f>
        <v>4390</v>
      </c>
      <c r="E534" s="1">
        <f>IFERROR(__xludf.DUMMYFUNCTION("""COMPUTED_VALUE"""),4450.0)</f>
        <v>4450</v>
      </c>
      <c r="F534" s="1">
        <f>IFERROR(__xludf.DUMMYFUNCTION("""COMPUTED_VALUE"""),39390.0)</f>
        <v>39390</v>
      </c>
    </row>
    <row r="535">
      <c r="A535" s="2">
        <f>IFERROR(__xludf.DUMMYFUNCTION("""COMPUTED_VALUE"""),41698.645833333336)</f>
        <v>41698.64583</v>
      </c>
      <c r="B535" s="1">
        <f>IFERROR(__xludf.DUMMYFUNCTION("""COMPUTED_VALUE"""),4435.0)</f>
        <v>4435</v>
      </c>
      <c r="C535" s="1">
        <f>IFERROR(__xludf.DUMMYFUNCTION("""COMPUTED_VALUE"""),4500.0)</f>
        <v>4500</v>
      </c>
      <c r="D535" s="1">
        <f>IFERROR(__xludf.DUMMYFUNCTION("""COMPUTED_VALUE"""),4260.0)</f>
        <v>4260</v>
      </c>
      <c r="E535" s="1">
        <f>IFERROR(__xludf.DUMMYFUNCTION("""COMPUTED_VALUE"""),4325.0)</f>
        <v>4325</v>
      </c>
      <c r="F535" s="1">
        <f>IFERROR(__xludf.DUMMYFUNCTION("""COMPUTED_VALUE"""),41202.0)</f>
        <v>41202</v>
      </c>
    </row>
    <row r="536">
      <c r="A536" s="2">
        <f>IFERROR(__xludf.DUMMYFUNCTION("""COMPUTED_VALUE"""),41701.645833333336)</f>
        <v>41701.64583</v>
      </c>
      <c r="B536" s="1">
        <f>IFERROR(__xludf.DUMMYFUNCTION("""COMPUTED_VALUE"""),4325.0)</f>
        <v>4325</v>
      </c>
      <c r="C536" s="1">
        <f>IFERROR(__xludf.DUMMYFUNCTION("""COMPUTED_VALUE"""),4325.0)</f>
        <v>4325</v>
      </c>
      <c r="D536" s="1">
        <f>IFERROR(__xludf.DUMMYFUNCTION("""COMPUTED_VALUE"""),4200.0)</f>
        <v>4200</v>
      </c>
      <c r="E536" s="1">
        <f>IFERROR(__xludf.DUMMYFUNCTION("""COMPUTED_VALUE"""),4235.0)</f>
        <v>4235</v>
      </c>
      <c r="F536" s="1">
        <f>IFERROR(__xludf.DUMMYFUNCTION("""COMPUTED_VALUE"""),34130.0)</f>
        <v>34130</v>
      </c>
    </row>
    <row r="537">
      <c r="A537" s="2">
        <f>IFERROR(__xludf.DUMMYFUNCTION("""COMPUTED_VALUE"""),41702.645833333336)</f>
        <v>41702.64583</v>
      </c>
      <c r="B537" s="1">
        <f>IFERROR(__xludf.DUMMYFUNCTION("""COMPUTED_VALUE"""),4215.0)</f>
        <v>4215</v>
      </c>
      <c r="C537" s="1">
        <f>IFERROR(__xludf.DUMMYFUNCTION("""COMPUTED_VALUE"""),4410.0)</f>
        <v>4410</v>
      </c>
      <c r="D537" s="1">
        <f>IFERROR(__xludf.DUMMYFUNCTION("""COMPUTED_VALUE"""),4180.0)</f>
        <v>4180</v>
      </c>
      <c r="E537" s="1">
        <f>IFERROR(__xludf.DUMMYFUNCTION("""COMPUTED_VALUE"""),4410.0)</f>
        <v>4410</v>
      </c>
      <c r="F537" s="1">
        <f>IFERROR(__xludf.DUMMYFUNCTION("""COMPUTED_VALUE"""),49173.0)</f>
        <v>49173</v>
      </c>
    </row>
    <row r="538">
      <c r="A538" s="2">
        <f>IFERROR(__xludf.DUMMYFUNCTION("""COMPUTED_VALUE"""),41703.645833333336)</f>
        <v>41703.64583</v>
      </c>
      <c r="B538" s="1">
        <f>IFERROR(__xludf.DUMMYFUNCTION("""COMPUTED_VALUE"""),4480.0)</f>
        <v>4480</v>
      </c>
      <c r="C538" s="1">
        <f>IFERROR(__xludf.DUMMYFUNCTION("""COMPUTED_VALUE"""),4560.0)</f>
        <v>4560</v>
      </c>
      <c r="D538" s="1">
        <f>IFERROR(__xludf.DUMMYFUNCTION("""COMPUTED_VALUE"""),4445.0)</f>
        <v>4445</v>
      </c>
      <c r="E538" s="1">
        <f>IFERROR(__xludf.DUMMYFUNCTION("""COMPUTED_VALUE"""),4535.0)</f>
        <v>4535</v>
      </c>
      <c r="F538" s="1">
        <f>IFERROR(__xludf.DUMMYFUNCTION("""COMPUTED_VALUE"""),129350.0)</f>
        <v>129350</v>
      </c>
    </row>
    <row r="539">
      <c r="A539" s="2">
        <f>IFERROR(__xludf.DUMMYFUNCTION("""COMPUTED_VALUE"""),41704.645833333336)</f>
        <v>41704.64583</v>
      </c>
      <c r="B539" s="1">
        <f>IFERROR(__xludf.DUMMYFUNCTION("""COMPUTED_VALUE"""),4535.0)</f>
        <v>4535</v>
      </c>
      <c r="C539" s="1">
        <f>IFERROR(__xludf.DUMMYFUNCTION("""COMPUTED_VALUE"""),4535.0)</f>
        <v>4535</v>
      </c>
      <c r="D539" s="1">
        <f>IFERROR(__xludf.DUMMYFUNCTION("""COMPUTED_VALUE"""),4415.0)</f>
        <v>4415</v>
      </c>
      <c r="E539" s="1">
        <f>IFERROR(__xludf.DUMMYFUNCTION("""COMPUTED_VALUE"""),4530.0)</f>
        <v>4530</v>
      </c>
      <c r="F539" s="1">
        <f>IFERROR(__xludf.DUMMYFUNCTION("""COMPUTED_VALUE"""),50440.0)</f>
        <v>50440</v>
      </c>
    </row>
    <row r="540">
      <c r="A540" s="2">
        <f>IFERROR(__xludf.DUMMYFUNCTION("""COMPUTED_VALUE"""),41705.645833333336)</f>
        <v>41705.64583</v>
      </c>
      <c r="B540" s="1">
        <f>IFERROR(__xludf.DUMMYFUNCTION("""COMPUTED_VALUE"""),4550.0)</f>
        <v>4550</v>
      </c>
      <c r="C540" s="1">
        <f>IFERROR(__xludf.DUMMYFUNCTION("""COMPUTED_VALUE"""),4580.0)</f>
        <v>4580</v>
      </c>
      <c r="D540" s="1">
        <f>IFERROR(__xludf.DUMMYFUNCTION("""COMPUTED_VALUE"""),4485.0)</f>
        <v>4485</v>
      </c>
      <c r="E540" s="1">
        <f>IFERROR(__xludf.DUMMYFUNCTION("""COMPUTED_VALUE"""),4535.0)</f>
        <v>4535</v>
      </c>
      <c r="F540" s="1">
        <f>IFERROR(__xludf.DUMMYFUNCTION("""COMPUTED_VALUE"""),19640.0)</f>
        <v>19640</v>
      </c>
    </row>
    <row r="541">
      <c r="A541" s="2">
        <f>IFERROR(__xludf.DUMMYFUNCTION("""COMPUTED_VALUE"""),41708.645833333336)</f>
        <v>41708.64583</v>
      </c>
      <c r="B541" s="1">
        <f>IFERROR(__xludf.DUMMYFUNCTION("""COMPUTED_VALUE"""),4550.0)</f>
        <v>4550</v>
      </c>
      <c r="C541" s="1">
        <f>IFERROR(__xludf.DUMMYFUNCTION("""COMPUTED_VALUE"""),4870.0)</f>
        <v>4870</v>
      </c>
      <c r="D541" s="1">
        <f>IFERROR(__xludf.DUMMYFUNCTION("""COMPUTED_VALUE"""),4540.0)</f>
        <v>4540</v>
      </c>
      <c r="E541" s="1">
        <f>IFERROR(__xludf.DUMMYFUNCTION("""COMPUTED_VALUE"""),4680.0)</f>
        <v>4680</v>
      </c>
      <c r="F541" s="1">
        <f>IFERROR(__xludf.DUMMYFUNCTION("""COMPUTED_VALUE"""),162600.0)</f>
        <v>162600</v>
      </c>
    </row>
    <row r="542">
      <c r="A542" s="2">
        <f>IFERROR(__xludf.DUMMYFUNCTION("""COMPUTED_VALUE"""),41709.645833333336)</f>
        <v>41709.64583</v>
      </c>
      <c r="B542" s="1">
        <f>IFERROR(__xludf.DUMMYFUNCTION("""COMPUTED_VALUE"""),4760.0)</f>
        <v>4760</v>
      </c>
      <c r="C542" s="1">
        <f>IFERROR(__xludf.DUMMYFUNCTION("""COMPUTED_VALUE"""),4760.0)</f>
        <v>4760</v>
      </c>
      <c r="D542" s="1">
        <f>IFERROR(__xludf.DUMMYFUNCTION("""COMPUTED_VALUE"""),4600.0)</f>
        <v>4600</v>
      </c>
      <c r="E542" s="1">
        <f>IFERROR(__xludf.DUMMYFUNCTION("""COMPUTED_VALUE"""),4665.0)</f>
        <v>4665</v>
      </c>
      <c r="F542" s="1">
        <f>IFERROR(__xludf.DUMMYFUNCTION("""COMPUTED_VALUE"""),39490.0)</f>
        <v>39490</v>
      </c>
    </row>
    <row r="543">
      <c r="A543" s="2">
        <f>IFERROR(__xludf.DUMMYFUNCTION("""COMPUTED_VALUE"""),41710.645833333336)</f>
        <v>41710.64583</v>
      </c>
      <c r="B543" s="1">
        <f>IFERROR(__xludf.DUMMYFUNCTION("""COMPUTED_VALUE"""),4620.0)</f>
        <v>4620</v>
      </c>
      <c r="C543" s="1">
        <f>IFERROR(__xludf.DUMMYFUNCTION("""COMPUTED_VALUE"""),4655.0)</f>
        <v>4655</v>
      </c>
      <c r="D543" s="1">
        <f>IFERROR(__xludf.DUMMYFUNCTION("""COMPUTED_VALUE"""),4350.0)</f>
        <v>4350</v>
      </c>
      <c r="E543" s="1">
        <f>IFERROR(__xludf.DUMMYFUNCTION("""COMPUTED_VALUE"""),4410.0)</f>
        <v>4410</v>
      </c>
      <c r="F543" s="1">
        <f>IFERROR(__xludf.DUMMYFUNCTION("""COMPUTED_VALUE"""),100110.0)</f>
        <v>100110</v>
      </c>
    </row>
    <row r="544">
      <c r="A544" s="2">
        <f>IFERROR(__xludf.DUMMYFUNCTION("""COMPUTED_VALUE"""),41711.645833333336)</f>
        <v>41711.64583</v>
      </c>
      <c r="B544" s="1">
        <f>IFERROR(__xludf.DUMMYFUNCTION("""COMPUTED_VALUE"""),4420.0)</f>
        <v>4420</v>
      </c>
      <c r="C544" s="1">
        <f>IFERROR(__xludf.DUMMYFUNCTION("""COMPUTED_VALUE"""),4465.0)</f>
        <v>4465</v>
      </c>
      <c r="D544" s="1">
        <f>IFERROR(__xludf.DUMMYFUNCTION("""COMPUTED_VALUE"""),4390.0)</f>
        <v>4390</v>
      </c>
      <c r="E544" s="1">
        <f>IFERROR(__xludf.DUMMYFUNCTION("""COMPUTED_VALUE"""),4450.0)</f>
        <v>4450</v>
      </c>
      <c r="F544" s="1">
        <f>IFERROR(__xludf.DUMMYFUNCTION("""COMPUTED_VALUE"""),44570.0)</f>
        <v>44570</v>
      </c>
    </row>
    <row r="545">
      <c r="A545" s="2">
        <f>IFERROR(__xludf.DUMMYFUNCTION("""COMPUTED_VALUE"""),41712.645833333336)</f>
        <v>41712.64583</v>
      </c>
      <c r="B545" s="1">
        <f>IFERROR(__xludf.DUMMYFUNCTION("""COMPUTED_VALUE"""),4405.0)</f>
        <v>4405</v>
      </c>
      <c r="C545" s="1">
        <f>IFERROR(__xludf.DUMMYFUNCTION("""COMPUTED_VALUE"""),4460.0)</f>
        <v>4460</v>
      </c>
      <c r="D545" s="1">
        <f>IFERROR(__xludf.DUMMYFUNCTION("""COMPUTED_VALUE"""),4365.0)</f>
        <v>4365</v>
      </c>
      <c r="E545" s="1">
        <f>IFERROR(__xludf.DUMMYFUNCTION("""COMPUTED_VALUE"""),4400.0)</f>
        <v>4400</v>
      </c>
      <c r="F545" s="1">
        <f>IFERROR(__xludf.DUMMYFUNCTION("""COMPUTED_VALUE"""),66990.0)</f>
        <v>66990</v>
      </c>
    </row>
    <row r="546">
      <c r="A546" s="2">
        <f>IFERROR(__xludf.DUMMYFUNCTION("""COMPUTED_VALUE"""),41715.645833333336)</f>
        <v>41715.64583</v>
      </c>
      <c r="B546" s="1">
        <f>IFERROR(__xludf.DUMMYFUNCTION("""COMPUTED_VALUE"""),4405.0)</f>
        <v>4405</v>
      </c>
      <c r="C546" s="1">
        <f>IFERROR(__xludf.DUMMYFUNCTION("""COMPUTED_VALUE"""),4460.0)</f>
        <v>4460</v>
      </c>
      <c r="D546" s="1">
        <f>IFERROR(__xludf.DUMMYFUNCTION("""COMPUTED_VALUE"""),4300.0)</f>
        <v>4300</v>
      </c>
      <c r="E546" s="1">
        <f>IFERROR(__xludf.DUMMYFUNCTION("""COMPUTED_VALUE"""),4380.0)</f>
        <v>4380</v>
      </c>
      <c r="F546" s="1">
        <f>IFERROR(__xludf.DUMMYFUNCTION("""COMPUTED_VALUE"""),43991.0)</f>
        <v>43991</v>
      </c>
    </row>
    <row r="547">
      <c r="A547" s="2">
        <f>IFERROR(__xludf.DUMMYFUNCTION("""COMPUTED_VALUE"""),41716.645833333336)</f>
        <v>41716.64583</v>
      </c>
      <c r="B547" s="1">
        <f>IFERROR(__xludf.DUMMYFUNCTION("""COMPUTED_VALUE"""),4400.0)</f>
        <v>4400</v>
      </c>
      <c r="C547" s="1">
        <f>IFERROR(__xludf.DUMMYFUNCTION("""COMPUTED_VALUE"""),4550.0)</f>
        <v>4550</v>
      </c>
      <c r="D547" s="1">
        <f>IFERROR(__xludf.DUMMYFUNCTION("""COMPUTED_VALUE"""),4365.0)</f>
        <v>4365</v>
      </c>
      <c r="E547" s="1">
        <f>IFERROR(__xludf.DUMMYFUNCTION("""COMPUTED_VALUE"""),4545.0)</f>
        <v>4545</v>
      </c>
      <c r="F547" s="1">
        <f>IFERROR(__xludf.DUMMYFUNCTION("""COMPUTED_VALUE"""),41736.0)</f>
        <v>41736</v>
      </c>
    </row>
    <row r="548">
      <c r="A548" s="2">
        <f>IFERROR(__xludf.DUMMYFUNCTION("""COMPUTED_VALUE"""),41717.645833333336)</f>
        <v>41717.64583</v>
      </c>
      <c r="B548" s="1">
        <f>IFERROR(__xludf.DUMMYFUNCTION("""COMPUTED_VALUE"""),4560.0)</f>
        <v>4560</v>
      </c>
      <c r="C548" s="1">
        <f>IFERROR(__xludf.DUMMYFUNCTION("""COMPUTED_VALUE"""),4690.0)</f>
        <v>4690</v>
      </c>
      <c r="D548" s="1">
        <f>IFERROR(__xludf.DUMMYFUNCTION("""COMPUTED_VALUE"""),4520.0)</f>
        <v>4520</v>
      </c>
      <c r="E548" s="1">
        <f>IFERROR(__xludf.DUMMYFUNCTION("""COMPUTED_VALUE"""),4560.0)</f>
        <v>4560</v>
      </c>
      <c r="F548" s="1">
        <f>IFERROR(__xludf.DUMMYFUNCTION("""COMPUTED_VALUE"""),60490.0)</f>
        <v>60490</v>
      </c>
    </row>
    <row r="549">
      <c r="A549" s="2">
        <f>IFERROR(__xludf.DUMMYFUNCTION("""COMPUTED_VALUE"""),41718.645833333336)</f>
        <v>41718.64583</v>
      </c>
      <c r="B549" s="1">
        <f>IFERROR(__xludf.DUMMYFUNCTION("""COMPUTED_VALUE"""),4600.0)</f>
        <v>4600</v>
      </c>
      <c r="C549" s="1">
        <f>IFERROR(__xludf.DUMMYFUNCTION("""COMPUTED_VALUE"""),4625.0)</f>
        <v>4625</v>
      </c>
      <c r="D549" s="1">
        <f>IFERROR(__xludf.DUMMYFUNCTION("""COMPUTED_VALUE"""),4535.0)</f>
        <v>4535</v>
      </c>
      <c r="E549" s="1">
        <f>IFERROR(__xludf.DUMMYFUNCTION("""COMPUTED_VALUE"""),4575.0)</f>
        <v>4575</v>
      </c>
      <c r="F549" s="1">
        <f>IFERROR(__xludf.DUMMYFUNCTION("""COMPUTED_VALUE"""),14600.0)</f>
        <v>14600</v>
      </c>
    </row>
    <row r="550">
      <c r="A550" s="2">
        <f>IFERROR(__xludf.DUMMYFUNCTION("""COMPUTED_VALUE"""),41719.645833333336)</f>
        <v>41719.64583</v>
      </c>
      <c r="B550" s="1">
        <f>IFERROR(__xludf.DUMMYFUNCTION("""COMPUTED_VALUE"""),4625.0)</f>
        <v>4625</v>
      </c>
      <c r="C550" s="1">
        <f>IFERROR(__xludf.DUMMYFUNCTION("""COMPUTED_VALUE"""),4625.0)</f>
        <v>4625</v>
      </c>
      <c r="D550" s="1">
        <f>IFERROR(__xludf.DUMMYFUNCTION("""COMPUTED_VALUE"""),4480.0)</f>
        <v>4480</v>
      </c>
      <c r="E550" s="1">
        <f>IFERROR(__xludf.DUMMYFUNCTION("""COMPUTED_VALUE"""),4520.0)</f>
        <v>4520</v>
      </c>
      <c r="F550" s="1">
        <f>IFERROR(__xludf.DUMMYFUNCTION("""COMPUTED_VALUE"""),26830.0)</f>
        <v>26830</v>
      </c>
    </row>
    <row r="551">
      <c r="A551" s="2">
        <f>IFERROR(__xludf.DUMMYFUNCTION("""COMPUTED_VALUE"""),41722.645833333336)</f>
        <v>41722.64583</v>
      </c>
      <c r="B551" s="1">
        <f>IFERROR(__xludf.DUMMYFUNCTION("""COMPUTED_VALUE"""),4550.0)</f>
        <v>4550</v>
      </c>
      <c r="C551" s="1">
        <f>IFERROR(__xludf.DUMMYFUNCTION("""COMPUTED_VALUE"""),4630.0)</f>
        <v>4630</v>
      </c>
      <c r="D551" s="1">
        <f>IFERROR(__xludf.DUMMYFUNCTION("""COMPUTED_VALUE"""),4410.0)</f>
        <v>4410</v>
      </c>
      <c r="E551" s="1">
        <f>IFERROR(__xludf.DUMMYFUNCTION("""COMPUTED_VALUE"""),4630.0)</f>
        <v>4630</v>
      </c>
      <c r="F551" s="1">
        <f>IFERROR(__xludf.DUMMYFUNCTION("""COMPUTED_VALUE"""),46890.0)</f>
        <v>46890</v>
      </c>
    </row>
    <row r="552">
      <c r="A552" s="2">
        <f>IFERROR(__xludf.DUMMYFUNCTION("""COMPUTED_VALUE"""),41723.645833333336)</f>
        <v>41723.64583</v>
      </c>
      <c r="B552" s="1">
        <f>IFERROR(__xludf.DUMMYFUNCTION("""COMPUTED_VALUE"""),4620.0)</f>
        <v>4620</v>
      </c>
      <c r="C552" s="1">
        <f>IFERROR(__xludf.DUMMYFUNCTION("""COMPUTED_VALUE"""),4620.0)</f>
        <v>4620</v>
      </c>
      <c r="D552" s="1">
        <f>IFERROR(__xludf.DUMMYFUNCTION("""COMPUTED_VALUE"""),4545.0)</f>
        <v>4545</v>
      </c>
      <c r="E552" s="1">
        <f>IFERROR(__xludf.DUMMYFUNCTION("""COMPUTED_VALUE"""),4565.0)</f>
        <v>4565</v>
      </c>
      <c r="F552" s="1">
        <f>IFERROR(__xludf.DUMMYFUNCTION("""COMPUTED_VALUE"""),12070.0)</f>
        <v>12070</v>
      </c>
    </row>
    <row r="553">
      <c r="A553" s="2">
        <f>IFERROR(__xludf.DUMMYFUNCTION("""COMPUTED_VALUE"""),41724.645833333336)</f>
        <v>41724.64583</v>
      </c>
      <c r="B553" s="1">
        <f>IFERROR(__xludf.DUMMYFUNCTION("""COMPUTED_VALUE"""),4570.0)</f>
        <v>4570</v>
      </c>
      <c r="C553" s="1">
        <f>IFERROR(__xludf.DUMMYFUNCTION("""COMPUTED_VALUE"""),4670.0)</f>
        <v>4670</v>
      </c>
      <c r="D553" s="1">
        <f>IFERROR(__xludf.DUMMYFUNCTION("""COMPUTED_VALUE"""),4485.0)</f>
        <v>4485</v>
      </c>
      <c r="E553" s="1">
        <f>IFERROR(__xludf.DUMMYFUNCTION("""COMPUTED_VALUE"""),4485.0)</f>
        <v>4485</v>
      </c>
      <c r="F553" s="1">
        <f>IFERROR(__xludf.DUMMYFUNCTION("""COMPUTED_VALUE"""),35272.0)</f>
        <v>35272</v>
      </c>
    </row>
    <row r="554">
      <c r="A554" s="2">
        <f>IFERROR(__xludf.DUMMYFUNCTION("""COMPUTED_VALUE"""),41725.645833333336)</f>
        <v>41725.64583</v>
      </c>
      <c r="B554" s="1">
        <f>IFERROR(__xludf.DUMMYFUNCTION("""COMPUTED_VALUE"""),4450.0)</f>
        <v>4450</v>
      </c>
      <c r="C554" s="1">
        <f>IFERROR(__xludf.DUMMYFUNCTION("""COMPUTED_VALUE"""),4605.0)</f>
        <v>4605</v>
      </c>
      <c r="D554" s="1">
        <f>IFERROR(__xludf.DUMMYFUNCTION("""COMPUTED_VALUE"""),4445.0)</f>
        <v>4445</v>
      </c>
      <c r="E554" s="1">
        <f>IFERROR(__xludf.DUMMYFUNCTION("""COMPUTED_VALUE"""),4565.0)</f>
        <v>4565</v>
      </c>
      <c r="F554" s="1">
        <f>IFERROR(__xludf.DUMMYFUNCTION("""COMPUTED_VALUE"""),22360.0)</f>
        <v>22360</v>
      </c>
    </row>
    <row r="555">
      <c r="A555" s="2">
        <f>IFERROR(__xludf.DUMMYFUNCTION("""COMPUTED_VALUE"""),41726.645833333336)</f>
        <v>41726.64583</v>
      </c>
      <c r="B555" s="1">
        <f>IFERROR(__xludf.DUMMYFUNCTION("""COMPUTED_VALUE"""),4610.0)</f>
        <v>4610</v>
      </c>
      <c r="C555" s="1">
        <f>IFERROR(__xludf.DUMMYFUNCTION("""COMPUTED_VALUE"""),4610.0)</f>
        <v>4610</v>
      </c>
      <c r="D555" s="1">
        <f>IFERROR(__xludf.DUMMYFUNCTION("""COMPUTED_VALUE"""),4560.0)</f>
        <v>4560</v>
      </c>
      <c r="E555" s="1">
        <f>IFERROR(__xludf.DUMMYFUNCTION("""COMPUTED_VALUE"""),4565.0)</f>
        <v>4565</v>
      </c>
      <c r="F555" s="1">
        <f>IFERROR(__xludf.DUMMYFUNCTION("""COMPUTED_VALUE"""),11800.0)</f>
        <v>11800</v>
      </c>
    </row>
    <row r="556">
      <c r="A556" s="2">
        <f>IFERROR(__xludf.DUMMYFUNCTION("""COMPUTED_VALUE"""),41729.645833333336)</f>
        <v>41729.64583</v>
      </c>
      <c r="B556" s="1">
        <f>IFERROR(__xludf.DUMMYFUNCTION("""COMPUTED_VALUE"""),4495.0)</f>
        <v>4495</v>
      </c>
      <c r="C556" s="1">
        <f>IFERROR(__xludf.DUMMYFUNCTION("""COMPUTED_VALUE"""),4630.0)</f>
        <v>4630</v>
      </c>
      <c r="D556" s="1">
        <f>IFERROR(__xludf.DUMMYFUNCTION("""COMPUTED_VALUE"""),4405.0)</f>
        <v>4405</v>
      </c>
      <c r="E556" s="1">
        <f>IFERROR(__xludf.DUMMYFUNCTION("""COMPUTED_VALUE"""),4600.0)</f>
        <v>4600</v>
      </c>
      <c r="F556" s="1">
        <f>IFERROR(__xludf.DUMMYFUNCTION("""COMPUTED_VALUE"""),22125.0)</f>
        <v>22125</v>
      </c>
    </row>
    <row r="557">
      <c r="A557" s="2">
        <f>IFERROR(__xludf.DUMMYFUNCTION("""COMPUTED_VALUE"""),41730.645833333336)</f>
        <v>41730.64583</v>
      </c>
      <c r="B557" s="1">
        <f>IFERROR(__xludf.DUMMYFUNCTION("""COMPUTED_VALUE"""),4600.0)</f>
        <v>4600</v>
      </c>
      <c r="C557" s="1">
        <f>IFERROR(__xludf.DUMMYFUNCTION("""COMPUTED_VALUE"""),4635.0)</f>
        <v>4635</v>
      </c>
      <c r="D557" s="1">
        <f>IFERROR(__xludf.DUMMYFUNCTION("""COMPUTED_VALUE"""),4500.0)</f>
        <v>4500</v>
      </c>
      <c r="E557" s="1">
        <f>IFERROR(__xludf.DUMMYFUNCTION("""COMPUTED_VALUE"""),4630.0)</f>
        <v>4630</v>
      </c>
      <c r="F557" s="1">
        <f>IFERROR(__xludf.DUMMYFUNCTION("""COMPUTED_VALUE"""),31610.0)</f>
        <v>31610</v>
      </c>
    </row>
    <row r="558">
      <c r="A558" s="2">
        <f>IFERROR(__xludf.DUMMYFUNCTION("""COMPUTED_VALUE"""),41731.645833333336)</f>
        <v>41731.64583</v>
      </c>
      <c r="B558" s="1">
        <f>IFERROR(__xludf.DUMMYFUNCTION("""COMPUTED_VALUE"""),4630.0)</f>
        <v>4630</v>
      </c>
      <c r="C558" s="1">
        <f>IFERROR(__xludf.DUMMYFUNCTION("""COMPUTED_VALUE"""),4705.0)</f>
        <v>4705</v>
      </c>
      <c r="D558" s="1">
        <f>IFERROR(__xludf.DUMMYFUNCTION("""COMPUTED_VALUE"""),4535.0)</f>
        <v>4535</v>
      </c>
      <c r="E558" s="1">
        <f>IFERROR(__xludf.DUMMYFUNCTION("""COMPUTED_VALUE"""),4705.0)</f>
        <v>4705</v>
      </c>
      <c r="F558" s="1">
        <f>IFERROR(__xludf.DUMMYFUNCTION("""COMPUTED_VALUE"""),50378.0)</f>
        <v>50378</v>
      </c>
    </row>
    <row r="559">
      <c r="A559" s="2">
        <f>IFERROR(__xludf.DUMMYFUNCTION("""COMPUTED_VALUE"""),41732.645833333336)</f>
        <v>41732.64583</v>
      </c>
      <c r="B559" s="1">
        <f>IFERROR(__xludf.DUMMYFUNCTION("""COMPUTED_VALUE"""),4740.0)</f>
        <v>4740</v>
      </c>
      <c r="C559" s="1">
        <f>IFERROR(__xludf.DUMMYFUNCTION("""COMPUTED_VALUE"""),5090.0)</f>
        <v>5090</v>
      </c>
      <c r="D559" s="1">
        <f>IFERROR(__xludf.DUMMYFUNCTION("""COMPUTED_VALUE"""),4700.0)</f>
        <v>4700</v>
      </c>
      <c r="E559" s="1">
        <f>IFERROR(__xludf.DUMMYFUNCTION("""COMPUTED_VALUE"""),5000.0)</f>
        <v>5000</v>
      </c>
      <c r="F559" s="1">
        <f>IFERROR(__xludf.DUMMYFUNCTION("""COMPUTED_VALUE"""),144493.0)</f>
        <v>144493</v>
      </c>
    </row>
    <row r="560">
      <c r="A560" s="2">
        <f>IFERROR(__xludf.DUMMYFUNCTION("""COMPUTED_VALUE"""),41733.645833333336)</f>
        <v>41733.64583</v>
      </c>
      <c r="B560" s="1">
        <f>IFERROR(__xludf.DUMMYFUNCTION("""COMPUTED_VALUE"""),5000.0)</f>
        <v>5000</v>
      </c>
      <c r="C560" s="1">
        <f>IFERROR(__xludf.DUMMYFUNCTION("""COMPUTED_VALUE"""),5090.0)</f>
        <v>5090</v>
      </c>
      <c r="D560" s="1">
        <f>IFERROR(__xludf.DUMMYFUNCTION("""COMPUTED_VALUE"""),4905.0)</f>
        <v>4905</v>
      </c>
      <c r="E560" s="1">
        <f>IFERROR(__xludf.DUMMYFUNCTION("""COMPUTED_VALUE"""),4945.0)</f>
        <v>4945</v>
      </c>
      <c r="F560" s="1">
        <f>IFERROR(__xludf.DUMMYFUNCTION("""COMPUTED_VALUE"""),34382.0)</f>
        <v>34382</v>
      </c>
    </row>
    <row r="561">
      <c r="A561" s="2">
        <f>IFERROR(__xludf.DUMMYFUNCTION("""COMPUTED_VALUE"""),41736.645833333336)</f>
        <v>41736.64583</v>
      </c>
      <c r="B561" s="1">
        <f>IFERROR(__xludf.DUMMYFUNCTION("""COMPUTED_VALUE"""),4860.0)</f>
        <v>4860</v>
      </c>
      <c r="C561" s="1">
        <f>IFERROR(__xludf.DUMMYFUNCTION("""COMPUTED_VALUE"""),5040.0)</f>
        <v>5040</v>
      </c>
      <c r="D561" s="1">
        <f>IFERROR(__xludf.DUMMYFUNCTION("""COMPUTED_VALUE"""),4850.0)</f>
        <v>4850</v>
      </c>
      <c r="E561" s="1">
        <f>IFERROR(__xludf.DUMMYFUNCTION("""COMPUTED_VALUE"""),5040.0)</f>
        <v>5040</v>
      </c>
      <c r="F561" s="1">
        <f>IFERROR(__xludf.DUMMYFUNCTION("""COMPUTED_VALUE"""),44382.0)</f>
        <v>44382</v>
      </c>
    </row>
    <row r="562">
      <c r="A562" s="2">
        <f>IFERROR(__xludf.DUMMYFUNCTION("""COMPUTED_VALUE"""),41737.645833333336)</f>
        <v>41737.64583</v>
      </c>
      <c r="B562" s="1">
        <f>IFERROR(__xludf.DUMMYFUNCTION("""COMPUTED_VALUE"""),5000.0)</f>
        <v>5000</v>
      </c>
      <c r="C562" s="1">
        <f>IFERROR(__xludf.DUMMYFUNCTION("""COMPUTED_VALUE"""),5230.0)</f>
        <v>5230</v>
      </c>
      <c r="D562" s="1">
        <f>IFERROR(__xludf.DUMMYFUNCTION("""COMPUTED_VALUE"""),5000.0)</f>
        <v>5000</v>
      </c>
      <c r="E562" s="1">
        <f>IFERROR(__xludf.DUMMYFUNCTION("""COMPUTED_VALUE"""),5040.0)</f>
        <v>5040</v>
      </c>
      <c r="F562" s="1">
        <f>IFERROR(__xludf.DUMMYFUNCTION("""COMPUTED_VALUE"""),59605.0)</f>
        <v>59605</v>
      </c>
    </row>
    <row r="563">
      <c r="A563" s="2">
        <f>IFERROR(__xludf.DUMMYFUNCTION("""COMPUTED_VALUE"""),41738.645833333336)</f>
        <v>41738.64583</v>
      </c>
      <c r="B563" s="1">
        <f>IFERROR(__xludf.DUMMYFUNCTION("""COMPUTED_VALUE"""),5040.0)</f>
        <v>5040</v>
      </c>
      <c r="C563" s="1">
        <f>IFERROR(__xludf.DUMMYFUNCTION("""COMPUTED_VALUE"""),5120.0)</f>
        <v>5120</v>
      </c>
      <c r="D563" s="1">
        <f>IFERROR(__xludf.DUMMYFUNCTION("""COMPUTED_VALUE"""),5040.0)</f>
        <v>5040</v>
      </c>
      <c r="E563" s="1">
        <f>IFERROR(__xludf.DUMMYFUNCTION("""COMPUTED_VALUE"""),5050.0)</f>
        <v>5050</v>
      </c>
      <c r="F563" s="1">
        <f>IFERROR(__xludf.DUMMYFUNCTION("""COMPUTED_VALUE"""),18543.0)</f>
        <v>18543</v>
      </c>
    </row>
    <row r="564">
      <c r="A564" s="2">
        <f>IFERROR(__xludf.DUMMYFUNCTION("""COMPUTED_VALUE"""),41739.645833333336)</f>
        <v>41739.64583</v>
      </c>
      <c r="B564" s="1">
        <f>IFERROR(__xludf.DUMMYFUNCTION("""COMPUTED_VALUE"""),5030.0)</f>
        <v>5030</v>
      </c>
      <c r="C564" s="1">
        <f>IFERROR(__xludf.DUMMYFUNCTION("""COMPUTED_VALUE"""),5070.0)</f>
        <v>5070</v>
      </c>
      <c r="D564" s="1">
        <f>IFERROR(__xludf.DUMMYFUNCTION("""COMPUTED_VALUE"""),4900.0)</f>
        <v>4900</v>
      </c>
      <c r="E564" s="1">
        <f>IFERROR(__xludf.DUMMYFUNCTION("""COMPUTED_VALUE"""),5010.0)</f>
        <v>5010</v>
      </c>
      <c r="F564" s="1">
        <f>IFERROR(__xludf.DUMMYFUNCTION("""COMPUTED_VALUE"""),15046.0)</f>
        <v>15046</v>
      </c>
    </row>
    <row r="565">
      <c r="A565" s="2">
        <f>IFERROR(__xludf.DUMMYFUNCTION("""COMPUTED_VALUE"""),41740.645833333336)</f>
        <v>41740.64583</v>
      </c>
      <c r="B565" s="1">
        <f>IFERROR(__xludf.DUMMYFUNCTION("""COMPUTED_VALUE"""),5010.0)</f>
        <v>5010</v>
      </c>
      <c r="C565" s="1">
        <f>IFERROR(__xludf.DUMMYFUNCTION("""COMPUTED_VALUE"""),5030.0)</f>
        <v>5030</v>
      </c>
      <c r="D565" s="1">
        <f>IFERROR(__xludf.DUMMYFUNCTION("""COMPUTED_VALUE"""),4950.0)</f>
        <v>4950</v>
      </c>
      <c r="E565" s="1">
        <f>IFERROR(__xludf.DUMMYFUNCTION("""COMPUTED_VALUE"""),4950.0)</f>
        <v>4950</v>
      </c>
      <c r="F565" s="1">
        <f>IFERROR(__xludf.DUMMYFUNCTION("""COMPUTED_VALUE"""),10322.0)</f>
        <v>10322</v>
      </c>
    </row>
    <row r="566">
      <c r="A566" s="2">
        <f>IFERROR(__xludf.DUMMYFUNCTION("""COMPUTED_VALUE"""),41743.645833333336)</f>
        <v>41743.64583</v>
      </c>
      <c r="B566" s="1">
        <f>IFERROR(__xludf.DUMMYFUNCTION("""COMPUTED_VALUE"""),4890.0)</f>
        <v>4890</v>
      </c>
      <c r="C566" s="1">
        <f>IFERROR(__xludf.DUMMYFUNCTION("""COMPUTED_VALUE"""),4945.0)</f>
        <v>4945</v>
      </c>
      <c r="D566" s="1">
        <f>IFERROR(__xludf.DUMMYFUNCTION("""COMPUTED_VALUE"""),4820.0)</f>
        <v>4820</v>
      </c>
      <c r="E566" s="1">
        <f>IFERROR(__xludf.DUMMYFUNCTION("""COMPUTED_VALUE"""),4870.0)</f>
        <v>4870</v>
      </c>
      <c r="F566" s="1">
        <f>IFERROR(__xludf.DUMMYFUNCTION("""COMPUTED_VALUE"""),32342.0)</f>
        <v>32342</v>
      </c>
    </row>
    <row r="567">
      <c r="A567" s="2">
        <f>IFERROR(__xludf.DUMMYFUNCTION("""COMPUTED_VALUE"""),41744.645833333336)</f>
        <v>41744.64583</v>
      </c>
      <c r="B567" s="1">
        <f>IFERROR(__xludf.DUMMYFUNCTION("""COMPUTED_VALUE"""),4900.0)</f>
        <v>4900</v>
      </c>
      <c r="C567" s="1">
        <f>IFERROR(__xludf.DUMMYFUNCTION("""COMPUTED_VALUE"""),4950.0)</f>
        <v>4950</v>
      </c>
      <c r="D567" s="1">
        <f>IFERROR(__xludf.DUMMYFUNCTION("""COMPUTED_VALUE"""),4850.0)</f>
        <v>4850</v>
      </c>
      <c r="E567" s="1">
        <f>IFERROR(__xludf.DUMMYFUNCTION("""COMPUTED_VALUE"""),4900.0)</f>
        <v>4900</v>
      </c>
      <c r="F567" s="1">
        <f>IFERROR(__xludf.DUMMYFUNCTION("""COMPUTED_VALUE"""),44955.0)</f>
        <v>44955</v>
      </c>
    </row>
    <row r="568">
      <c r="A568" s="2">
        <f>IFERROR(__xludf.DUMMYFUNCTION("""COMPUTED_VALUE"""),41745.645833333336)</f>
        <v>41745.64583</v>
      </c>
      <c r="B568" s="1">
        <f>IFERROR(__xludf.DUMMYFUNCTION("""COMPUTED_VALUE"""),4870.0)</f>
        <v>4870</v>
      </c>
      <c r="C568" s="1">
        <f>IFERROR(__xludf.DUMMYFUNCTION("""COMPUTED_VALUE"""),5090.0)</f>
        <v>5090</v>
      </c>
      <c r="D568" s="1">
        <f>IFERROR(__xludf.DUMMYFUNCTION("""COMPUTED_VALUE"""),4870.0)</f>
        <v>4870</v>
      </c>
      <c r="E568" s="1">
        <f>IFERROR(__xludf.DUMMYFUNCTION("""COMPUTED_VALUE"""),5000.0)</f>
        <v>5000</v>
      </c>
      <c r="F568" s="1">
        <f>IFERROR(__xludf.DUMMYFUNCTION("""COMPUTED_VALUE"""),14371.0)</f>
        <v>14371</v>
      </c>
    </row>
    <row r="569">
      <c r="A569" s="2">
        <f>IFERROR(__xludf.DUMMYFUNCTION("""COMPUTED_VALUE"""),41746.645833333336)</f>
        <v>41746.64583</v>
      </c>
      <c r="B569" s="1">
        <f>IFERROR(__xludf.DUMMYFUNCTION("""COMPUTED_VALUE"""),5050.0)</f>
        <v>5050</v>
      </c>
      <c r="C569" s="1">
        <f>IFERROR(__xludf.DUMMYFUNCTION("""COMPUTED_VALUE"""),5140.0)</f>
        <v>5140</v>
      </c>
      <c r="D569" s="1">
        <f>IFERROR(__xludf.DUMMYFUNCTION("""COMPUTED_VALUE"""),4990.0)</f>
        <v>4990</v>
      </c>
      <c r="E569" s="1">
        <f>IFERROR(__xludf.DUMMYFUNCTION("""COMPUTED_VALUE"""),5090.0)</f>
        <v>5090</v>
      </c>
      <c r="F569" s="1">
        <f>IFERROR(__xludf.DUMMYFUNCTION("""COMPUTED_VALUE"""),57911.0)</f>
        <v>57911</v>
      </c>
    </row>
    <row r="570">
      <c r="A570" s="2">
        <f>IFERROR(__xludf.DUMMYFUNCTION("""COMPUTED_VALUE"""),41747.645833333336)</f>
        <v>41747.64583</v>
      </c>
      <c r="B570" s="1">
        <f>IFERROR(__xludf.DUMMYFUNCTION("""COMPUTED_VALUE"""),5090.0)</f>
        <v>5090</v>
      </c>
      <c r="C570" s="1">
        <f>IFERROR(__xludf.DUMMYFUNCTION("""COMPUTED_VALUE"""),5200.0)</f>
        <v>5200</v>
      </c>
      <c r="D570" s="1">
        <f>IFERROR(__xludf.DUMMYFUNCTION("""COMPUTED_VALUE"""),5090.0)</f>
        <v>5090</v>
      </c>
      <c r="E570" s="1">
        <f>IFERROR(__xludf.DUMMYFUNCTION("""COMPUTED_VALUE"""),5110.0)</f>
        <v>5110</v>
      </c>
      <c r="F570" s="1">
        <f>IFERROR(__xludf.DUMMYFUNCTION("""COMPUTED_VALUE"""),21161.0)</f>
        <v>21161</v>
      </c>
    </row>
    <row r="571">
      <c r="A571" s="2">
        <f>IFERROR(__xludf.DUMMYFUNCTION("""COMPUTED_VALUE"""),41750.645833333336)</f>
        <v>41750.64583</v>
      </c>
      <c r="B571" s="1">
        <f>IFERROR(__xludf.DUMMYFUNCTION("""COMPUTED_VALUE"""),5200.0)</f>
        <v>5200</v>
      </c>
      <c r="C571" s="1">
        <f>IFERROR(__xludf.DUMMYFUNCTION("""COMPUTED_VALUE"""),5350.0)</f>
        <v>5350</v>
      </c>
      <c r="D571" s="1">
        <f>IFERROR(__xludf.DUMMYFUNCTION("""COMPUTED_VALUE"""),5150.0)</f>
        <v>5150</v>
      </c>
      <c r="E571" s="1">
        <f>IFERROR(__xludf.DUMMYFUNCTION("""COMPUTED_VALUE"""),5340.0)</f>
        <v>5340</v>
      </c>
      <c r="F571" s="1">
        <f>IFERROR(__xludf.DUMMYFUNCTION("""COMPUTED_VALUE"""),53061.0)</f>
        <v>53061</v>
      </c>
    </row>
    <row r="572">
      <c r="A572" s="2">
        <f>IFERROR(__xludf.DUMMYFUNCTION("""COMPUTED_VALUE"""),41751.645833333336)</f>
        <v>41751.64583</v>
      </c>
      <c r="B572" s="1">
        <f>IFERROR(__xludf.DUMMYFUNCTION("""COMPUTED_VALUE"""),5350.0)</f>
        <v>5350</v>
      </c>
      <c r="C572" s="1">
        <f>IFERROR(__xludf.DUMMYFUNCTION("""COMPUTED_VALUE"""),5360.0)</f>
        <v>5360</v>
      </c>
      <c r="D572" s="1">
        <f>IFERROR(__xludf.DUMMYFUNCTION("""COMPUTED_VALUE"""),5270.0)</f>
        <v>5270</v>
      </c>
      <c r="E572" s="1">
        <f>IFERROR(__xludf.DUMMYFUNCTION("""COMPUTED_VALUE"""),5320.0)</f>
        <v>5320</v>
      </c>
      <c r="F572" s="1">
        <f>IFERROR(__xludf.DUMMYFUNCTION("""COMPUTED_VALUE"""),15877.0)</f>
        <v>15877</v>
      </c>
    </row>
    <row r="573">
      <c r="A573" s="2">
        <f>IFERROR(__xludf.DUMMYFUNCTION("""COMPUTED_VALUE"""),41752.645833333336)</f>
        <v>41752.64583</v>
      </c>
      <c r="B573" s="1">
        <f>IFERROR(__xludf.DUMMYFUNCTION("""COMPUTED_VALUE"""),5320.0)</f>
        <v>5320</v>
      </c>
      <c r="C573" s="1">
        <f>IFERROR(__xludf.DUMMYFUNCTION("""COMPUTED_VALUE"""),5360.0)</f>
        <v>5360</v>
      </c>
      <c r="D573" s="1">
        <f>IFERROR(__xludf.DUMMYFUNCTION("""COMPUTED_VALUE"""),5240.0)</f>
        <v>5240</v>
      </c>
      <c r="E573" s="1">
        <f>IFERROR(__xludf.DUMMYFUNCTION("""COMPUTED_VALUE"""),5270.0)</f>
        <v>5270</v>
      </c>
      <c r="F573" s="1">
        <f>IFERROR(__xludf.DUMMYFUNCTION("""COMPUTED_VALUE"""),31341.0)</f>
        <v>31341</v>
      </c>
    </row>
    <row r="574">
      <c r="A574" s="2">
        <f>IFERROR(__xludf.DUMMYFUNCTION("""COMPUTED_VALUE"""),41753.645833333336)</f>
        <v>41753.64583</v>
      </c>
      <c r="B574" s="1">
        <f>IFERROR(__xludf.DUMMYFUNCTION("""COMPUTED_VALUE"""),5300.0)</f>
        <v>5300</v>
      </c>
      <c r="C574" s="1">
        <f>IFERROR(__xludf.DUMMYFUNCTION("""COMPUTED_VALUE"""),5330.0)</f>
        <v>5330</v>
      </c>
      <c r="D574" s="1">
        <f>IFERROR(__xludf.DUMMYFUNCTION("""COMPUTED_VALUE"""),5200.0)</f>
        <v>5200</v>
      </c>
      <c r="E574" s="1">
        <f>IFERROR(__xludf.DUMMYFUNCTION("""COMPUTED_VALUE"""),5300.0)</f>
        <v>5300</v>
      </c>
      <c r="F574" s="1">
        <f>IFERROR(__xludf.DUMMYFUNCTION("""COMPUTED_VALUE"""),20131.0)</f>
        <v>20131</v>
      </c>
    </row>
    <row r="575">
      <c r="A575" s="2">
        <f>IFERROR(__xludf.DUMMYFUNCTION("""COMPUTED_VALUE"""),41754.645833333336)</f>
        <v>41754.64583</v>
      </c>
      <c r="B575" s="1">
        <f>IFERROR(__xludf.DUMMYFUNCTION("""COMPUTED_VALUE"""),5300.0)</f>
        <v>5300</v>
      </c>
      <c r="C575" s="1">
        <f>IFERROR(__xludf.DUMMYFUNCTION("""COMPUTED_VALUE"""),5400.0)</f>
        <v>5400</v>
      </c>
      <c r="D575" s="1">
        <f>IFERROR(__xludf.DUMMYFUNCTION("""COMPUTED_VALUE"""),5210.0)</f>
        <v>5210</v>
      </c>
      <c r="E575" s="1">
        <f>IFERROR(__xludf.DUMMYFUNCTION("""COMPUTED_VALUE"""),5210.0)</f>
        <v>5210</v>
      </c>
      <c r="F575" s="1">
        <f>IFERROR(__xludf.DUMMYFUNCTION("""COMPUTED_VALUE"""),32840.0)</f>
        <v>32840</v>
      </c>
    </row>
    <row r="576">
      <c r="A576" s="2">
        <f>IFERROR(__xludf.DUMMYFUNCTION("""COMPUTED_VALUE"""),41757.645833333336)</f>
        <v>41757.64583</v>
      </c>
      <c r="B576" s="1">
        <f>IFERROR(__xludf.DUMMYFUNCTION("""COMPUTED_VALUE"""),5340.0)</f>
        <v>5340</v>
      </c>
      <c r="C576" s="1">
        <f>IFERROR(__xludf.DUMMYFUNCTION("""COMPUTED_VALUE"""),5340.0)</f>
        <v>5340</v>
      </c>
      <c r="D576" s="1">
        <f>IFERROR(__xludf.DUMMYFUNCTION("""COMPUTED_VALUE"""),5200.0)</f>
        <v>5200</v>
      </c>
      <c r="E576" s="1">
        <f>IFERROR(__xludf.DUMMYFUNCTION("""COMPUTED_VALUE"""),5290.0)</f>
        <v>5290</v>
      </c>
      <c r="F576" s="1">
        <f>IFERROR(__xludf.DUMMYFUNCTION("""COMPUTED_VALUE"""),13260.0)</f>
        <v>13260</v>
      </c>
    </row>
    <row r="577">
      <c r="A577" s="2">
        <f>IFERROR(__xludf.DUMMYFUNCTION("""COMPUTED_VALUE"""),41758.645833333336)</f>
        <v>41758.64583</v>
      </c>
      <c r="B577" s="1">
        <f>IFERROR(__xludf.DUMMYFUNCTION("""COMPUTED_VALUE"""),5270.0)</f>
        <v>5270</v>
      </c>
      <c r="C577" s="1">
        <f>IFERROR(__xludf.DUMMYFUNCTION("""COMPUTED_VALUE"""),5290.0)</f>
        <v>5290</v>
      </c>
      <c r="D577" s="1">
        <f>IFERROR(__xludf.DUMMYFUNCTION("""COMPUTED_VALUE"""),5200.0)</f>
        <v>5200</v>
      </c>
      <c r="E577" s="1">
        <f>IFERROR(__xludf.DUMMYFUNCTION("""COMPUTED_VALUE"""),5230.0)</f>
        <v>5230</v>
      </c>
      <c r="F577" s="1">
        <f>IFERROR(__xludf.DUMMYFUNCTION("""COMPUTED_VALUE"""),13244.0)</f>
        <v>13244</v>
      </c>
    </row>
    <row r="578">
      <c r="A578" s="2">
        <f>IFERROR(__xludf.DUMMYFUNCTION("""COMPUTED_VALUE"""),41759.645833333336)</f>
        <v>41759.64583</v>
      </c>
      <c r="B578" s="1">
        <f>IFERROR(__xludf.DUMMYFUNCTION("""COMPUTED_VALUE"""),5300.0)</f>
        <v>5300</v>
      </c>
      <c r="C578" s="1">
        <f>IFERROR(__xludf.DUMMYFUNCTION("""COMPUTED_VALUE"""),5310.0)</f>
        <v>5310</v>
      </c>
      <c r="D578" s="1">
        <f>IFERROR(__xludf.DUMMYFUNCTION("""COMPUTED_VALUE"""),5210.0)</f>
        <v>5210</v>
      </c>
      <c r="E578" s="1">
        <f>IFERROR(__xludf.DUMMYFUNCTION("""COMPUTED_VALUE"""),5250.0)</f>
        <v>5250</v>
      </c>
      <c r="F578" s="1">
        <f>IFERROR(__xludf.DUMMYFUNCTION("""COMPUTED_VALUE"""),14810.0)</f>
        <v>14810</v>
      </c>
    </row>
    <row r="579">
      <c r="A579" s="2">
        <f>IFERROR(__xludf.DUMMYFUNCTION("""COMPUTED_VALUE"""),41761.645833333336)</f>
        <v>41761.64583</v>
      </c>
      <c r="B579" s="1">
        <f>IFERROR(__xludf.DUMMYFUNCTION("""COMPUTED_VALUE"""),5290.0)</f>
        <v>5290</v>
      </c>
      <c r="C579" s="1">
        <f>IFERROR(__xludf.DUMMYFUNCTION("""COMPUTED_VALUE"""),5290.0)</f>
        <v>5290</v>
      </c>
      <c r="D579" s="1">
        <f>IFERROR(__xludf.DUMMYFUNCTION("""COMPUTED_VALUE"""),5140.0)</f>
        <v>5140</v>
      </c>
      <c r="E579" s="1">
        <f>IFERROR(__xludf.DUMMYFUNCTION("""COMPUTED_VALUE"""),5210.0)</f>
        <v>5210</v>
      </c>
      <c r="F579" s="1">
        <f>IFERROR(__xludf.DUMMYFUNCTION("""COMPUTED_VALUE"""),26433.0)</f>
        <v>26433</v>
      </c>
    </row>
    <row r="580">
      <c r="A580" s="2">
        <f>IFERROR(__xludf.DUMMYFUNCTION("""COMPUTED_VALUE"""),41766.645833333336)</f>
        <v>41766.64583</v>
      </c>
      <c r="B580" s="1">
        <f>IFERROR(__xludf.DUMMYFUNCTION("""COMPUTED_VALUE"""),5160.0)</f>
        <v>5160</v>
      </c>
      <c r="C580" s="1">
        <f>IFERROR(__xludf.DUMMYFUNCTION("""COMPUTED_VALUE"""),5320.0)</f>
        <v>5320</v>
      </c>
      <c r="D580" s="1">
        <f>IFERROR(__xludf.DUMMYFUNCTION("""COMPUTED_VALUE"""),5020.0)</f>
        <v>5020</v>
      </c>
      <c r="E580" s="1">
        <f>IFERROR(__xludf.DUMMYFUNCTION("""COMPUTED_VALUE"""),5300.0)</f>
        <v>5300</v>
      </c>
      <c r="F580" s="1">
        <f>IFERROR(__xludf.DUMMYFUNCTION("""COMPUTED_VALUE"""),25321.0)</f>
        <v>25321</v>
      </c>
    </row>
    <row r="581">
      <c r="A581" s="2">
        <f>IFERROR(__xludf.DUMMYFUNCTION("""COMPUTED_VALUE"""),41767.645833333336)</f>
        <v>41767.64583</v>
      </c>
      <c r="B581" s="1">
        <f>IFERROR(__xludf.DUMMYFUNCTION("""COMPUTED_VALUE"""),5300.0)</f>
        <v>5300</v>
      </c>
      <c r="C581" s="1">
        <f>IFERROR(__xludf.DUMMYFUNCTION("""COMPUTED_VALUE"""),5590.0)</f>
        <v>5590</v>
      </c>
      <c r="D581" s="1">
        <f>IFERROR(__xludf.DUMMYFUNCTION("""COMPUTED_VALUE"""),5290.0)</f>
        <v>5290</v>
      </c>
      <c r="E581" s="1">
        <f>IFERROR(__xludf.DUMMYFUNCTION("""COMPUTED_VALUE"""),5550.0)</f>
        <v>5550</v>
      </c>
      <c r="F581" s="1">
        <f>IFERROR(__xludf.DUMMYFUNCTION("""COMPUTED_VALUE"""),44742.0)</f>
        <v>44742</v>
      </c>
    </row>
    <row r="582">
      <c r="A582" s="2">
        <f>IFERROR(__xludf.DUMMYFUNCTION("""COMPUTED_VALUE"""),41768.645833333336)</f>
        <v>41768.64583</v>
      </c>
      <c r="B582" s="1">
        <f>IFERROR(__xludf.DUMMYFUNCTION("""COMPUTED_VALUE"""),5580.0)</f>
        <v>5580</v>
      </c>
      <c r="C582" s="1">
        <f>IFERROR(__xludf.DUMMYFUNCTION("""COMPUTED_VALUE"""),5750.0)</f>
        <v>5750</v>
      </c>
      <c r="D582" s="1">
        <f>IFERROR(__xludf.DUMMYFUNCTION("""COMPUTED_VALUE"""),5500.0)</f>
        <v>5500</v>
      </c>
      <c r="E582" s="1">
        <f>IFERROR(__xludf.DUMMYFUNCTION("""COMPUTED_VALUE"""),5710.0)</f>
        <v>5710</v>
      </c>
      <c r="F582" s="1">
        <f>IFERROR(__xludf.DUMMYFUNCTION("""COMPUTED_VALUE"""),85740.0)</f>
        <v>85740</v>
      </c>
    </row>
    <row r="583">
      <c r="A583" s="2">
        <f>IFERROR(__xludf.DUMMYFUNCTION("""COMPUTED_VALUE"""),41771.645833333336)</f>
        <v>41771.64583</v>
      </c>
      <c r="B583" s="1">
        <f>IFERROR(__xludf.DUMMYFUNCTION("""COMPUTED_VALUE"""),5710.0)</f>
        <v>5710</v>
      </c>
      <c r="C583" s="1">
        <f>IFERROR(__xludf.DUMMYFUNCTION("""COMPUTED_VALUE"""),5810.0)</f>
        <v>5810</v>
      </c>
      <c r="D583" s="1">
        <f>IFERROR(__xludf.DUMMYFUNCTION("""COMPUTED_VALUE"""),5550.0)</f>
        <v>5550</v>
      </c>
      <c r="E583" s="1">
        <f>IFERROR(__xludf.DUMMYFUNCTION("""COMPUTED_VALUE"""),5650.0)</f>
        <v>5650</v>
      </c>
      <c r="F583" s="1">
        <f>IFERROR(__xludf.DUMMYFUNCTION("""COMPUTED_VALUE"""),44886.0)</f>
        <v>44886</v>
      </c>
    </row>
    <row r="584">
      <c r="A584" s="2">
        <f>IFERROR(__xludf.DUMMYFUNCTION("""COMPUTED_VALUE"""),41772.645833333336)</f>
        <v>41772.64583</v>
      </c>
      <c r="B584" s="1">
        <f>IFERROR(__xludf.DUMMYFUNCTION("""COMPUTED_VALUE"""),5650.0)</f>
        <v>5650</v>
      </c>
      <c r="C584" s="1">
        <f>IFERROR(__xludf.DUMMYFUNCTION("""COMPUTED_VALUE"""),5690.0)</f>
        <v>5690</v>
      </c>
      <c r="D584" s="1">
        <f>IFERROR(__xludf.DUMMYFUNCTION("""COMPUTED_VALUE"""),5540.0)</f>
        <v>5540</v>
      </c>
      <c r="E584" s="1">
        <f>IFERROR(__xludf.DUMMYFUNCTION("""COMPUTED_VALUE"""),5600.0)</f>
        <v>5600</v>
      </c>
      <c r="F584" s="1">
        <f>IFERROR(__xludf.DUMMYFUNCTION("""COMPUTED_VALUE"""),24313.0)</f>
        <v>24313</v>
      </c>
    </row>
    <row r="585">
      <c r="A585" s="2">
        <f>IFERROR(__xludf.DUMMYFUNCTION("""COMPUTED_VALUE"""),41773.645833333336)</f>
        <v>41773.64583</v>
      </c>
      <c r="B585" s="1">
        <f>IFERROR(__xludf.DUMMYFUNCTION("""COMPUTED_VALUE"""),5610.0)</f>
        <v>5610</v>
      </c>
      <c r="C585" s="1">
        <f>IFERROR(__xludf.DUMMYFUNCTION("""COMPUTED_VALUE"""),5980.0)</f>
        <v>5980</v>
      </c>
      <c r="D585" s="1">
        <f>IFERROR(__xludf.DUMMYFUNCTION("""COMPUTED_VALUE"""),5590.0)</f>
        <v>5590</v>
      </c>
      <c r="E585" s="1">
        <f>IFERROR(__xludf.DUMMYFUNCTION("""COMPUTED_VALUE"""),5700.0)</f>
        <v>5700</v>
      </c>
      <c r="F585" s="1">
        <f>IFERROR(__xludf.DUMMYFUNCTION("""COMPUTED_VALUE"""),102502.0)</f>
        <v>102502</v>
      </c>
    </row>
    <row r="586">
      <c r="A586" s="2">
        <f>IFERROR(__xludf.DUMMYFUNCTION("""COMPUTED_VALUE"""),41774.645833333336)</f>
        <v>41774.64583</v>
      </c>
      <c r="B586" s="1">
        <f>IFERROR(__xludf.DUMMYFUNCTION("""COMPUTED_VALUE"""),5700.0)</f>
        <v>5700</v>
      </c>
      <c r="C586" s="1">
        <f>IFERROR(__xludf.DUMMYFUNCTION("""COMPUTED_VALUE"""),5850.0)</f>
        <v>5850</v>
      </c>
      <c r="D586" s="1">
        <f>IFERROR(__xludf.DUMMYFUNCTION("""COMPUTED_VALUE"""),5660.0)</f>
        <v>5660</v>
      </c>
      <c r="E586" s="1">
        <f>IFERROR(__xludf.DUMMYFUNCTION("""COMPUTED_VALUE"""),5800.0)</f>
        <v>5800</v>
      </c>
      <c r="F586" s="1">
        <f>IFERROR(__xludf.DUMMYFUNCTION("""COMPUTED_VALUE"""),43470.0)</f>
        <v>43470</v>
      </c>
    </row>
    <row r="587">
      <c r="A587" s="2">
        <f>IFERROR(__xludf.DUMMYFUNCTION("""COMPUTED_VALUE"""),41775.645833333336)</f>
        <v>41775.64583</v>
      </c>
      <c r="B587" s="1">
        <f>IFERROR(__xludf.DUMMYFUNCTION("""COMPUTED_VALUE"""),5800.0)</f>
        <v>5800</v>
      </c>
      <c r="C587" s="1">
        <f>IFERROR(__xludf.DUMMYFUNCTION("""COMPUTED_VALUE"""),6020.0)</f>
        <v>6020</v>
      </c>
      <c r="D587" s="1">
        <f>IFERROR(__xludf.DUMMYFUNCTION("""COMPUTED_VALUE"""),5720.0)</f>
        <v>5720</v>
      </c>
      <c r="E587" s="1">
        <f>IFERROR(__xludf.DUMMYFUNCTION("""COMPUTED_VALUE"""),5930.0)</f>
        <v>5930</v>
      </c>
      <c r="F587" s="1">
        <f>IFERROR(__xludf.DUMMYFUNCTION("""COMPUTED_VALUE"""),84503.0)</f>
        <v>84503</v>
      </c>
    </row>
    <row r="588">
      <c r="A588" s="2">
        <f>IFERROR(__xludf.DUMMYFUNCTION("""COMPUTED_VALUE"""),41778.645833333336)</f>
        <v>41778.64583</v>
      </c>
      <c r="B588" s="1">
        <f>IFERROR(__xludf.DUMMYFUNCTION("""COMPUTED_VALUE"""),5970.0)</f>
        <v>5970</v>
      </c>
      <c r="C588" s="1">
        <f>IFERROR(__xludf.DUMMYFUNCTION("""COMPUTED_VALUE"""),6350.0)</f>
        <v>6350</v>
      </c>
      <c r="D588" s="1">
        <f>IFERROR(__xludf.DUMMYFUNCTION("""COMPUTED_VALUE"""),5970.0)</f>
        <v>5970</v>
      </c>
      <c r="E588" s="1">
        <f>IFERROR(__xludf.DUMMYFUNCTION("""COMPUTED_VALUE"""),6200.0)</f>
        <v>6200</v>
      </c>
      <c r="F588" s="1">
        <f>IFERROR(__xludf.DUMMYFUNCTION("""COMPUTED_VALUE"""),222681.0)</f>
        <v>222681</v>
      </c>
    </row>
    <row r="589">
      <c r="A589" s="2">
        <f>IFERROR(__xludf.DUMMYFUNCTION("""COMPUTED_VALUE"""),41779.645833333336)</f>
        <v>41779.64583</v>
      </c>
      <c r="B589" s="1">
        <f>IFERROR(__xludf.DUMMYFUNCTION("""COMPUTED_VALUE"""),6140.0)</f>
        <v>6140</v>
      </c>
      <c r="C589" s="1">
        <f>IFERROR(__xludf.DUMMYFUNCTION("""COMPUTED_VALUE"""),6200.0)</f>
        <v>6200</v>
      </c>
      <c r="D589" s="1">
        <f>IFERROR(__xludf.DUMMYFUNCTION("""COMPUTED_VALUE"""),6000.0)</f>
        <v>6000</v>
      </c>
      <c r="E589" s="1">
        <f>IFERROR(__xludf.DUMMYFUNCTION("""COMPUTED_VALUE"""),6150.0)</f>
        <v>6150</v>
      </c>
      <c r="F589" s="1">
        <f>IFERROR(__xludf.DUMMYFUNCTION("""COMPUTED_VALUE"""),57620.0)</f>
        <v>57620</v>
      </c>
    </row>
    <row r="590">
      <c r="A590" s="2">
        <f>IFERROR(__xludf.DUMMYFUNCTION("""COMPUTED_VALUE"""),41780.645833333336)</f>
        <v>41780.64583</v>
      </c>
      <c r="B590" s="1">
        <f>IFERROR(__xludf.DUMMYFUNCTION("""COMPUTED_VALUE"""),6150.0)</f>
        <v>6150</v>
      </c>
      <c r="C590" s="1">
        <f>IFERROR(__xludf.DUMMYFUNCTION("""COMPUTED_VALUE"""),6250.0)</f>
        <v>6250</v>
      </c>
      <c r="D590" s="1">
        <f>IFERROR(__xludf.DUMMYFUNCTION("""COMPUTED_VALUE"""),6150.0)</f>
        <v>6150</v>
      </c>
      <c r="E590" s="1">
        <f>IFERROR(__xludf.DUMMYFUNCTION("""COMPUTED_VALUE"""),6150.0)</f>
        <v>6150</v>
      </c>
      <c r="F590" s="1">
        <f>IFERROR(__xludf.DUMMYFUNCTION("""COMPUTED_VALUE"""),19524.0)</f>
        <v>19524</v>
      </c>
    </row>
    <row r="591">
      <c r="A591" s="2">
        <f>IFERROR(__xludf.DUMMYFUNCTION("""COMPUTED_VALUE"""),41781.645833333336)</f>
        <v>41781.64583</v>
      </c>
      <c r="B591" s="1">
        <f>IFERROR(__xludf.DUMMYFUNCTION("""COMPUTED_VALUE"""),6150.0)</f>
        <v>6150</v>
      </c>
      <c r="C591" s="1">
        <f>IFERROR(__xludf.DUMMYFUNCTION("""COMPUTED_VALUE"""),6220.0)</f>
        <v>6220</v>
      </c>
      <c r="D591" s="1">
        <f>IFERROR(__xludf.DUMMYFUNCTION("""COMPUTED_VALUE"""),5780.0)</f>
        <v>5780</v>
      </c>
      <c r="E591" s="1">
        <f>IFERROR(__xludf.DUMMYFUNCTION("""COMPUTED_VALUE"""),5930.0)</f>
        <v>5930</v>
      </c>
      <c r="F591" s="1">
        <f>IFERROR(__xludf.DUMMYFUNCTION("""COMPUTED_VALUE"""),104633.0)</f>
        <v>104633</v>
      </c>
    </row>
    <row r="592">
      <c r="A592" s="2">
        <f>IFERROR(__xludf.DUMMYFUNCTION("""COMPUTED_VALUE"""),41782.645833333336)</f>
        <v>41782.64583</v>
      </c>
      <c r="B592" s="1">
        <f>IFERROR(__xludf.DUMMYFUNCTION("""COMPUTED_VALUE"""),5770.0)</f>
        <v>5770</v>
      </c>
      <c r="C592" s="1">
        <f>IFERROR(__xludf.DUMMYFUNCTION("""COMPUTED_VALUE"""),5810.0)</f>
        <v>5810</v>
      </c>
      <c r="D592" s="1">
        <f>IFERROR(__xludf.DUMMYFUNCTION("""COMPUTED_VALUE"""),5600.0)</f>
        <v>5600</v>
      </c>
      <c r="E592" s="1">
        <f>IFERROR(__xludf.DUMMYFUNCTION("""COMPUTED_VALUE"""),5730.0)</f>
        <v>5730</v>
      </c>
      <c r="F592" s="1">
        <f>IFERROR(__xludf.DUMMYFUNCTION("""COMPUTED_VALUE"""),195617.0)</f>
        <v>195617</v>
      </c>
    </row>
    <row r="593">
      <c r="A593" s="2">
        <f>IFERROR(__xludf.DUMMYFUNCTION("""COMPUTED_VALUE"""),41785.645833333336)</f>
        <v>41785.64583</v>
      </c>
      <c r="B593" s="1">
        <f>IFERROR(__xludf.DUMMYFUNCTION("""COMPUTED_VALUE"""),5740.0)</f>
        <v>5740</v>
      </c>
      <c r="C593" s="1">
        <f>IFERROR(__xludf.DUMMYFUNCTION("""COMPUTED_VALUE"""),5840.0)</f>
        <v>5840</v>
      </c>
      <c r="D593" s="1">
        <f>IFERROR(__xludf.DUMMYFUNCTION("""COMPUTED_VALUE"""),5690.0)</f>
        <v>5690</v>
      </c>
      <c r="E593" s="1">
        <f>IFERROR(__xludf.DUMMYFUNCTION("""COMPUTED_VALUE"""),5730.0)</f>
        <v>5730</v>
      </c>
      <c r="F593" s="1">
        <f>IFERROR(__xludf.DUMMYFUNCTION("""COMPUTED_VALUE"""),54879.0)</f>
        <v>54879</v>
      </c>
    </row>
    <row r="594">
      <c r="A594" s="2">
        <f>IFERROR(__xludf.DUMMYFUNCTION("""COMPUTED_VALUE"""),41786.645833333336)</f>
        <v>41786.64583</v>
      </c>
      <c r="B594" s="1">
        <f>IFERROR(__xludf.DUMMYFUNCTION("""COMPUTED_VALUE"""),5730.0)</f>
        <v>5730</v>
      </c>
      <c r="C594" s="1">
        <f>IFERROR(__xludf.DUMMYFUNCTION("""COMPUTED_VALUE"""),6100.0)</f>
        <v>6100</v>
      </c>
      <c r="D594" s="1">
        <f>IFERROR(__xludf.DUMMYFUNCTION("""COMPUTED_VALUE"""),5680.0)</f>
        <v>5680</v>
      </c>
      <c r="E594" s="1">
        <f>IFERROR(__xludf.DUMMYFUNCTION("""COMPUTED_VALUE"""),6000.0)</f>
        <v>6000</v>
      </c>
      <c r="F594" s="1">
        <f>IFERROR(__xludf.DUMMYFUNCTION("""COMPUTED_VALUE"""),112799.0)</f>
        <v>112799</v>
      </c>
    </row>
    <row r="595">
      <c r="A595" s="2">
        <f>IFERROR(__xludf.DUMMYFUNCTION("""COMPUTED_VALUE"""),41787.645833333336)</f>
        <v>41787.64583</v>
      </c>
      <c r="B595" s="1">
        <f>IFERROR(__xludf.DUMMYFUNCTION("""COMPUTED_VALUE"""),5980.0)</f>
        <v>5980</v>
      </c>
      <c r="C595" s="1">
        <f>IFERROR(__xludf.DUMMYFUNCTION("""COMPUTED_VALUE"""),6200.0)</f>
        <v>6200</v>
      </c>
      <c r="D595" s="1">
        <f>IFERROR(__xludf.DUMMYFUNCTION("""COMPUTED_VALUE"""),5960.0)</f>
        <v>5960</v>
      </c>
      <c r="E595" s="1">
        <f>IFERROR(__xludf.DUMMYFUNCTION("""COMPUTED_VALUE"""),6100.0)</f>
        <v>6100</v>
      </c>
      <c r="F595" s="1">
        <f>IFERROR(__xludf.DUMMYFUNCTION("""COMPUTED_VALUE"""),78845.0)</f>
        <v>78845</v>
      </c>
    </row>
    <row r="596">
      <c r="A596" s="2">
        <f>IFERROR(__xludf.DUMMYFUNCTION("""COMPUTED_VALUE"""),41788.645833333336)</f>
        <v>41788.64583</v>
      </c>
      <c r="B596" s="1">
        <f>IFERROR(__xludf.DUMMYFUNCTION("""COMPUTED_VALUE"""),6100.0)</f>
        <v>6100</v>
      </c>
      <c r="C596" s="1">
        <f>IFERROR(__xludf.DUMMYFUNCTION("""COMPUTED_VALUE"""),6170.0)</f>
        <v>6170</v>
      </c>
      <c r="D596" s="1">
        <f>IFERROR(__xludf.DUMMYFUNCTION("""COMPUTED_VALUE"""),5890.0)</f>
        <v>5890</v>
      </c>
      <c r="E596" s="1">
        <f>IFERROR(__xludf.DUMMYFUNCTION("""COMPUTED_VALUE"""),5960.0)</f>
        <v>5960</v>
      </c>
      <c r="F596" s="1">
        <f>IFERROR(__xludf.DUMMYFUNCTION("""COMPUTED_VALUE"""),38821.0)</f>
        <v>38821</v>
      </c>
    </row>
    <row r="597">
      <c r="A597" s="2">
        <f>IFERROR(__xludf.DUMMYFUNCTION("""COMPUTED_VALUE"""),41789.645833333336)</f>
        <v>41789.64583</v>
      </c>
      <c r="B597" s="1">
        <f>IFERROR(__xludf.DUMMYFUNCTION("""COMPUTED_VALUE"""),6050.0)</f>
        <v>6050</v>
      </c>
      <c r="C597" s="1">
        <f>IFERROR(__xludf.DUMMYFUNCTION("""COMPUTED_VALUE"""),6050.0)</f>
        <v>6050</v>
      </c>
      <c r="D597" s="1">
        <f>IFERROR(__xludf.DUMMYFUNCTION("""COMPUTED_VALUE"""),5820.0)</f>
        <v>5820</v>
      </c>
      <c r="E597" s="1">
        <f>IFERROR(__xludf.DUMMYFUNCTION("""COMPUTED_VALUE"""),5820.0)</f>
        <v>5820</v>
      </c>
      <c r="F597" s="1">
        <f>IFERROR(__xludf.DUMMYFUNCTION("""COMPUTED_VALUE"""),29175.0)</f>
        <v>29175</v>
      </c>
    </row>
    <row r="598">
      <c r="A598" s="2">
        <f>IFERROR(__xludf.DUMMYFUNCTION("""COMPUTED_VALUE"""),41792.645833333336)</f>
        <v>41792.64583</v>
      </c>
      <c r="B598" s="1">
        <f>IFERROR(__xludf.DUMMYFUNCTION("""COMPUTED_VALUE"""),5820.0)</f>
        <v>5820</v>
      </c>
      <c r="C598" s="1">
        <f>IFERROR(__xludf.DUMMYFUNCTION("""COMPUTED_VALUE"""),5860.0)</f>
        <v>5860</v>
      </c>
      <c r="D598" s="1">
        <f>IFERROR(__xludf.DUMMYFUNCTION("""COMPUTED_VALUE"""),5600.0)</f>
        <v>5600</v>
      </c>
      <c r="E598" s="1">
        <f>IFERROR(__xludf.DUMMYFUNCTION("""COMPUTED_VALUE"""),5600.0)</f>
        <v>5600</v>
      </c>
      <c r="F598" s="1">
        <f>IFERROR(__xludf.DUMMYFUNCTION("""COMPUTED_VALUE"""),51703.0)</f>
        <v>51703</v>
      </c>
    </row>
    <row r="599">
      <c r="A599" s="2">
        <f>IFERROR(__xludf.DUMMYFUNCTION("""COMPUTED_VALUE"""),41793.645833333336)</f>
        <v>41793.64583</v>
      </c>
      <c r="B599" s="1">
        <f>IFERROR(__xludf.DUMMYFUNCTION("""COMPUTED_VALUE"""),5600.0)</f>
        <v>5600</v>
      </c>
      <c r="C599" s="1">
        <f>IFERROR(__xludf.DUMMYFUNCTION("""COMPUTED_VALUE"""),5690.0)</f>
        <v>5690</v>
      </c>
      <c r="D599" s="1">
        <f>IFERROR(__xludf.DUMMYFUNCTION("""COMPUTED_VALUE"""),5450.0)</f>
        <v>5450</v>
      </c>
      <c r="E599" s="1">
        <f>IFERROR(__xludf.DUMMYFUNCTION("""COMPUTED_VALUE"""),5690.0)</f>
        <v>5690</v>
      </c>
      <c r="F599" s="1">
        <f>IFERROR(__xludf.DUMMYFUNCTION("""COMPUTED_VALUE"""),66349.0)</f>
        <v>66349</v>
      </c>
    </row>
    <row r="600">
      <c r="A600" s="2">
        <f>IFERROR(__xludf.DUMMYFUNCTION("""COMPUTED_VALUE"""),41795.645833333336)</f>
        <v>41795.64583</v>
      </c>
      <c r="B600" s="1">
        <f>IFERROR(__xludf.DUMMYFUNCTION("""COMPUTED_VALUE"""),5780.0)</f>
        <v>5780</v>
      </c>
      <c r="C600" s="1">
        <f>IFERROR(__xludf.DUMMYFUNCTION("""COMPUTED_VALUE"""),5800.0)</f>
        <v>5800</v>
      </c>
      <c r="D600" s="1">
        <f>IFERROR(__xludf.DUMMYFUNCTION("""COMPUTED_VALUE"""),5560.0)</f>
        <v>5560</v>
      </c>
      <c r="E600" s="1">
        <f>IFERROR(__xludf.DUMMYFUNCTION("""COMPUTED_VALUE"""),5600.0)</f>
        <v>5600</v>
      </c>
      <c r="F600" s="1">
        <f>IFERROR(__xludf.DUMMYFUNCTION("""COMPUTED_VALUE"""),28968.0)</f>
        <v>28968</v>
      </c>
    </row>
    <row r="601">
      <c r="A601" s="2">
        <f>IFERROR(__xludf.DUMMYFUNCTION("""COMPUTED_VALUE"""),41799.645833333336)</f>
        <v>41799.64583</v>
      </c>
      <c r="B601" s="1">
        <f>IFERROR(__xludf.DUMMYFUNCTION("""COMPUTED_VALUE"""),5720.0)</f>
        <v>5720</v>
      </c>
      <c r="C601" s="1">
        <f>IFERROR(__xludf.DUMMYFUNCTION("""COMPUTED_VALUE"""),5730.0)</f>
        <v>5730</v>
      </c>
      <c r="D601" s="1">
        <f>IFERROR(__xludf.DUMMYFUNCTION("""COMPUTED_VALUE"""),5540.0)</f>
        <v>5540</v>
      </c>
      <c r="E601" s="1">
        <f>IFERROR(__xludf.DUMMYFUNCTION("""COMPUTED_VALUE"""),5550.0)</f>
        <v>5550</v>
      </c>
      <c r="F601" s="1">
        <f>IFERROR(__xludf.DUMMYFUNCTION("""COMPUTED_VALUE"""),54508.0)</f>
        <v>54508</v>
      </c>
    </row>
    <row r="602">
      <c r="A602" s="2">
        <f>IFERROR(__xludf.DUMMYFUNCTION("""COMPUTED_VALUE"""),41800.645833333336)</f>
        <v>41800.64583</v>
      </c>
      <c r="B602" s="1">
        <f>IFERROR(__xludf.DUMMYFUNCTION("""COMPUTED_VALUE"""),5570.0)</f>
        <v>5570</v>
      </c>
      <c r="C602" s="1">
        <f>IFERROR(__xludf.DUMMYFUNCTION("""COMPUTED_VALUE"""),6100.0)</f>
        <v>6100</v>
      </c>
      <c r="D602" s="1">
        <f>IFERROR(__xludf.DUMMYFUNCTION("""COMPUTED_VALUE"""),5570.0)</f>
        <v>5570</v>
      </c>
      <c r="E602" s="1">
        <f>IFERROR(__xludf.DUMMYFUNCTION("""COMPUTED_VALUE"""),6030.0)</f>
        <v>6030</v>
      </c>
      <c r="F602" s="1">
        <f>IFERROR(__xludf.DUMMYFUNCTION("""COMPUTED_VALUE"""),64582.0)</f>
        <v>64582</v>
      </c>
    </row>
    <row r="603">
      <c r="A603" s="2">
        <f>IFERROR(__xludf.DUMMYFUNCTION("""COMPUTED_VALUE"""),41801.645833333336)</f>
        <v>41801.64583</v>
      </c>
      <c r="B603" s="1">
        <f>IFERROR(__xludf.DUMMYFUNCTION("""COMPUTED_VALUE"""),6100.0)</f>
        <v>6100</v>
      </c>
      <c r="C603" s="1">
        <f>IFERROR(__xludf.DUMMYFUNCTION("""COMPUTED_VALUE"""),6190.0)</f>
        <v>6190</v>
      </c>
      <c r="D603" s="1">
        <f>IFERROR(__xludf.DUMMYFUNCTION("""COMPUTED_VALUE"""),5920.0)</f>
        <v>5920</v>
      </c>
      <c r="E603" s="1">
        <f>IFERROR(__xludf.DUMMYFUNCTION("""COMPUTED_VALUE"""),6100.0)</f>
        <v>6100</v>
      </c>
      <c r="F603" s="1">
        <f>IFERROR(__xludf.DUMMYFUNCTION("""COMPUTED_VALUE"""),114938.0)</f>
        <v>114938</v>
      </c>
    </row>
    <row r="604">
      <c r="A604" s="2">
        <f>IFERROR(__xludf.DUMMYFUNCTION("""COMPUTED_VALUE"""),41802.645833333336)</f>
        <v>41802.64583</v>
      </c>
      <c r="B604" s="1">
        <f>IFERROR(__xludf.DUMMYFUNCTION("""COMPUTED_VALUE"""),6110.0)</f>
        <v>6110</v>
      </c>
      <c r="C604" s="1">
        <f>IFERROR(__xludf.DUMMYFUNCTION("""COMPUTED_VALUE"""),6170.0)</f>
        <v>6170</v>
      </c>
      <c r="D604" s="1">
        <f>IFERROR(__xludf.DUMMYFUNCTION("""COMPUTED_VALUE"""),5960.0)</f>
        <v>5960</v>
      </c>
      <c r="E604" s="1">
        <f>IFERROR(__xludf.DUMMYFUNCTION("""COMPUTED_VALUE"""),6050.0)</f>
        <v>6050</v>
      </c>
      <c r="F604" s="1">
        <f>IFERROR(__xludf.DUMMYFUNCTION("""COMPUTED_VALUE"""),62739.0)</f>
        <v>62739</v>
      </c>
    </row>
    <row r="605">
      <c r="A605" s="2">
        <f>IFERROR(__xludf.DUMMYFUNCTION("""COMPUTED_VALUE"""),41803.645833333336)</f>
        <v>41803.64583</v>
      </c>
      <c r="B605" s="1">
        <f>IFERROR(__xludf.DUMMYFUNCTION("""COMPUTED_VALUE"""),6040.0)</f>
        <v>6040</v>
      </c>
      <c r="C605" s="1">
        <f>IFERROR(__xludf.DUMMYFUNCTION("""COMPUTED_VALUE"""),6170.0)</f>
        <v>6170</v>
      </c>
      <c r="D605" s="1">
        <f>IFERROR(__xludf.DUMMYFUNCTION("""COMPUTED_VALUE"""),6000.0)</f>
        <v>6000</v>
      </c>
      <c r="E605" s="1">
        <f>IFERROR(__xludf.DUMMYFUNCTION("""COMPUTED_VALUE"""),6160.0)</f>
        <v>6160</v>
      </c>
      <c r="F605" s="1">
        <f>IFERROR(__xludf.DUMMYFUNCTION("""COMPUTED_VALUE"""),42682.0)</f>
        <v>42682</v>
      </c>
    </row>
    <row r="606">
      <c r="A606" s="2">
        <f>IFERROR(__xludf.DUMMYFUNCTION("""COMPUTED_VALUE"""),41806.645833333336)</f>
        <v>41806.64583</v>
      </c>
      <c r="B606" s="1">
        <f>IFERROR(__xludf.DUMMYFUNCTION("""COMPUTED_VALUE"""),6160.0)</f>
        <v>6160</v>
      </c>
      <c r="C606" s="1">
        <f>IFERROR(__xludf.DUMMYFUNCTION("""COMPUTED_VALUE"""),6250.0)</f>
        <v>6250</v>
      </c>
      <c r="D606" s="1">
        <f>IFERROR(__xludf.DUMMYFUNCTION("""COMPUTED_VALUE"""),6070.0)</f>
        <v>6070</v>
      </c>
      <c r="E606" s="1">
        <f>IFERROR(__xludf.DUMMYFUNCTION("""COMPUTED_VALUE"""),6210.0)</f>
        <v>6210</v>
      </c>
      <c r="F606" s="1">
        <f>IFERROR(__xludf.DUMMYFUNCTION("""COMPUTED_VALUE"""),33679.0)</f>
        <v>33679</v>
      </c>
    </row>
    <row r="607">
      <c r="A607" s="2">
        <f>IFERROR(__xludf.DUMMYFUNCTION("""COMPUTED_VALUE"""),41807.645833333336)</f>
        <v>41807.64583</v>
      </c>
      <c r="B607" s="1">
        <f>IFERROR(__xludf.DUMMYFUNCTION("""COMPUTED_VALUE"""),6250.0)</f>
        <v>6250</v>
      </c>
      <c r="C607" s="1">
        <f>IFERROR(__xludf.DUMMYFUNCTION("""COMPUTED_VALUE"""),6250.0)</f>
        <v>6250</v>
      </c>
      <c r="D607" s="1">
        <f>IFERROR(__xludf.DUMMYFUNCTION("""COMPUTED_VALUE"""),6100.0)</f>
        <v>6100</v>
      </c>
      <c r="E607" s="1">
        <f>IFERROR(__xludf.DUMMYFUNCTION("""COMPUTED_VALUE"""),6220.0)</f>
        <v>6220</v>
      </c>
      <c r="F607" s="1">
        <f>IFERROR(__xludf.DUMMYFUNCTION("""COMPUTED_VALUE"""),29586.0)</f>
        <v>29586</v>
      </c>
    </row>
    <row r="608">
      <c r="A608" s="2">
        <f>IFERROR(__xludf.DUMMYFUNCTION("""COMPUTED_VALUE"""),41808.645833333336)</f>
        <v>41808.64583</v>
      </c>
      <c r="B608" s="1">
        <f>IFERROR(__xludf.DUMMYFUNCTION("""COMPUTED_VALUE"""),6220.0)</f>
        <v>6220</v>
      </c>
      <c r="C608" s="1">
        <f>IFERROR(__xludf.DUMMYFUNCTION("""COMPUTED_VALUE"""),6350.0)</f>
        <v>6350</v>
      </c>
      <c r="D608" s="1">
        <f>IFERROR(__xludf.DUMMYFUNCTION("""COMPUTED_VALUE"""),6160.0)</f>
        <v>6160</v>
      </c>
      <c r="E608" s="1">
        <f>IFERROR(__xludf.DUMMYFUNCTION("""COMPUTED_VALUE"""),6340.0)</f>
        <v>6340</v>
      </c>
      <c r="F608" s="1">
        <f>IFERROR(__xludf.DUMMYFUNCTION("""COMPUTED_VALUE"""),47854.0)</f>
        <v>47854</v>
      </c>
    </row>
    <row r="609">
      <c r="A609" s="2">
        <f>IFERROR(__xludf.DUMMYFUNCTION("""COMPUTED_VALUE"""),41809.645833333336)</f>
        <v>41809.64583</v>
      </c>
      <c r="B609" s="1">
        <f>IFERROR(__xludf.DUMMYFUNCTION("""COMPUTED_VALUE"""),6340.0)</f>
        <v>6340</v>
      </c>
      <c r="C609" s="1">
        <f>IFERROR(__xludf.DUMMYFUNCTION("""COMPUTED_VALUE"""),6450.0)</f>
        <v>6450</v>
      </c>
      <c r="D609" s="1">
        <f>IFERROR(__xludf.DUMMYFUNCTION("""COMPUTED_VALUE"""),6300.0)</f>
        <v>6300</v>
      </c>
      <c r="E609" s="1">
        <f>IFERROR(__xludf.DUMMYFUNCTION("""COMPUTED_VALUE"""),6350.0)</f>
        <v>6350</v>
      </c>
      <c r="F609" s="1">
        <f>IFERROR(__xludf.DUMMYFUNCTION("""COMPUTED_VALUE"""),39558.0)</f>
        <v>39558</v>
      </c>
    </row>
    <row r="610">
      <c r="A610" s="2">
        <f>IFERROR(__xludf.DUMMYFUNCTION("""COMPUTED_VALUE"""),41810.645833333336)</f>
        <v>41810.64583</v>
      </c>
      <c r="B610" s="1">
        <f>IFERROR(__xludf.DUMMYFUNCTION("""COMPUTED_VALUE"""),6320.0)</f>
        <v>6320</v>
      </c>
      <c r="C610" s="1">
        <f>IFERROR(__xludf.DUMMYFUNCTION("""COMPUTED_VALUE"""),6340.0)</f>
        <v>6340</v>
      </c>
      <c r="D610" s="1">
        <f>IFERROR(__xludf.DUMMYFUNCTION("""COMPUTED_VALUE"""),6250.0)</f>
        <v>6250</v>
      </c>
      <c r="E610" s="1">
        <f>IFERROR(__xludf.DUMMYFUNCTION("""COMPUTED_VALUE"""),6330.0)</f>
        <v>6330</v>
      </c>
      <c r="F610" s="1">
        <f>IFERROR(__xludf.DUMMYFUNCTION("""COMPUTED_VALUE"""),22134.0)</f>
        <v>22134</v>
      </c>
    </row>
    <row r="611">
      <c r="A611" s="2">
        <f>IFERROR(__xludf.DUMMYFUNCTION("""COMPUTED_VALUE"""),41813.645833333336)</f>
        <v>41813.64583</v>
      </c>
      <c r="B611" s="1">
        <f>IFERROR(__xludf.DUMMYFUNCTION("""COMPUTED_VALUE"""),6320.0)</f>
        <v>6320</v>
      </c>
      <c r="C611" s="1">
        <f>IFERROR(__xludf.DUMMYFUNCTION("""COMPUTED_VALUE"""),6560.0)</f>
        <v>6560</v>
      </c>
      <c r="D611" s="1">
        <f>IFERROR(__xludf.DUMMYFUNCTION("""COMPUTED_VALUE"""),6230.0)</f>
        <v>6230</v>
      </c>
      <c r="E611" s="1">
        <f>IFERROR(__xludf.DUMMYFUNCTION("""COMPUTED_VALUE"""),6380.0)</f>
        <v>6380</v>
      </c>
      <c r="F611" s="1">
        <f>IFERROR(__xludf.DUMMYFUNCTION("""COMPUTED_VALUE"""),66157.0)</f>
        <v>66157</v>
      </c>
    </row>
    <row r="612">
      <c r="A612" s="2">
        <f>IFERROR(__xludf.DUMMYFUNCTION("""COMPUTED_VALUE"""),41814.645833333336)</f>
        <v>41814.64583</v>
      </c>
      <c r="B612" s="1">
        <f>IFERROR(__xludf.DUMMYFUNCTION("""COMPUTED_VALUE"""),6380.0)</f>
        <v>6380</v>
      </c>
      <c r="C612" s="1">
        <f>IFERROR(__xludf.DUMMYFUNCTION("""COMPUTED_VALUE"""),6440.0)</f>
        <v>6440</v>
      </c>
      <c r="D612" s="1">
        <f>IFERROR(__xludf.DUMMYFUNCTION("""COMPUTED_VALUE"""),6300.0)</f>
        <v>6300</v>
      </c>
      <c r="E612" s="1">
        <f>IFERROR(__xludf.DUMMYFUNCTION("""COMPUTED_VALUE"""),6300.0)</f>
        <v>6300</v>
      </c>
      <c r="F612" s="1">
        <f>IFERROR(__xludf.DUMMYFUNCTION("""COMPUTED_VALUE"""),18227.0)</f>
        <v>18227</v>
      </c>
    </row>
    <row r="613">
      <c r="A613" s="2">
        <f>IFERROR(__xludf.DUMMYFUNCTION("""COMPUTED_VALUE"""),41815.645833333336)</f>
        <v>41815.64583</v>
      </c>
      <c r="B613" s="1">
        <f>IFERROR(__xludf.DUMMYFUNCTION("""COMPUTED_VALUE"""),6250.0)</f>
        <v>6250</v>
      </c>
      <c r="C613" s="1">
        <f>IFERROR(__xludf.DUMMYFUNCTION("""COMPUTED_VALUE"""),6300.0)</f>
        <v>6300</v>
      </c>
      <c r="D613" s="1">
        <f>IFERROR(__xludf.DUMMYFUNCTION("""COMPUTED_VALUE"""),6200.0)</f>
        <v>6200</v>
      </c>
      <c r="E613" s="1">
        <f>IFERROR(__xludf.DUMMYFUNCTION("""COMPUTED_VALUE"""),6290.0)</f>
        <v>6290</v>
      </c>
      <c r="F613" s="1">
        <f>IFERROR(__xludf.DUMMYFUNCTION("""COMPUTED_VALUE"""),18391.0)</f>
        <v>18391</v>
      </c>
    </row>
    <row r="614">
      <c r="A614" s="2">
        <f>IFERROR(__xludf.DUMMYFUNCTION("""COMPUTED_VALUE"""),41816.645833333336)</f>
        <v>41816.64583</v>
      </c>
      <c r="B614" s="1">
        <f>IFERROR(__xludf.DUMMYFUNCTION("""COMPUTED_VALUE"""),6170.0)</f>
        <v>6170</v>
      </c>
      <c r="C614" s="1">
        <f>IFERROR(__xludf.DUMMYFUNCTION("""COMPUTED_VALUE"""),6280.0)</f>
        <v>6280</v>
      </c>
      <c r="D614" s="1">
        <f>IFERROR(__xludf.DUMMYFUNCTION("""COMPUTED_VALUE"""),6170.0)</f>
        <v>6170</v>
      </c>
      <c r="E614" s="1">
        <f>IFERROR(__xludf.DUMMYFUNCTION("""COMPUTED_VALUE"""),6220.0)</f>
        <v>6220</v>
      </c>
      <c r="F614" s="1">
        <f>IFERROR(__xludf.DUMMYFUNCTION("""COMPUTED_VALUE"""),53954.0)</f>
        <v>53954</v>
      </c>
    </row>
    <row r="615">
      <c r="A615" s="2">
        <f>IFERROR(__xludf.DUMMYFUNCTION("""COMPUTED_VALUE"""),41817.645833333336)</f>
        <v>41817.64583</v>
      </c>
      <c r="B615" s="1">
        <f>IFERROR(__xludf.DUMMYFUNCTION("""COMPUTED_VALUE"""),6180.0)</f>
        <v>6180</v>
      </c>
      <c r="C615" s="1">
        <f>IFERROR(__xludf.DUMMYFUNCTION("""COMPUTED_VALUE"""),6210.0)</f>
        <v>6210</v>
      </c>
      <c r="D615" s="1">
        <f>IFERROR(__xludf.DUMMYFUNCTION("""COMPUTED_VALUE"""),6070.0)</f>
        <v>6070</v>
      </c>
      <c r="E615" s="1">
        <f>IFERROR(__xludf.DUMMYFUNCTION("""COMPUTED_VALUE"""),6200.0)</f>
        <v>6200</v>
      </c>
      <c r="F615" s="1">
        <f>IFERROR(__xludf.DUMMYFUNCTION("""COMPUTED_VALUE"""),24868.0)</f>
        <v>24868</v>
      </c>
    </row>
    <row r="616">
      <c r="A616" s="2">
        <f>IFERROR(__xludf.DUMMYFUNCTION("""COMPUTED_VALUE"""),41820.645833333336)</f>
        <v>41820.64583</v>
      </c>
      <c r="B616" s="1">
        <f>IFERROR(__xludf.DUMMYFUNCTION("""COMPUTED_VALUE"""),6120.0)</f>
        <v>6120</v>
      </c>
      <c r="C616" s="1">
        <f>IFERROR(__xludf.DUMMYFUNCTION("""COMPUTED_VALUE"""),6200.0)</f>
        <v>6200</v>
      </c>
      <c r="D616" s="1">
        <f>IFERROR(__xludf.DUMMYFUNCTION("""COMPUTED_VALUE"""),6050.0)</f>
        <v>6050</v>
      </c>
      <c r="E616" s="1">
        <f>IFERROR(__xludf.DUMMYFUNCTION("""COMPUTED_VALUE"""),6070.0)</f>
        <v>6070</v>
      </c>
      <c r="F616" s="1">
        <f>IFERROR(__xludf.DUMMYFUNCTION("""COMPUTED_VALUE"""),27308.0)</f>
        <v>27308</v>
      </c>
    </row>
    <row r="617">
      <c r="A617" s="2">
        <f>IFERROR(__xludf.DUMMYFUNCTION("""COMPUTED_VALUE"""),41821.645833333336)</f>
        <v>41821.64583</v>
      </c>
      <c r="B617" s="1">
        <f>IFERROR(__xludf.DUMMYFUNCTION("""COMPUTED_VALUE"""),6010.0)</f>
        <v>6010</v>
      </c>
      <c r="C617" s="1">
        <f>IFERROR(__xludf.DUMMYFUNCTION("""COMPUTED_VALUE"""),6060.0)</f>
        <v>6060</v>
      </c>
      <c r="D617" s="1">
        <f>IFERROR(__xludf.DUMMYFUNCTION("""COMPUTED_VALUE"""),5740.0)</f>
        <v>5740</v>
      </c>
      <c r="E617" s="1">
        <f>IFERROR(__xludf.DUMMYFUNCTION("""COMPUTED_VALUE"""),5940.0)</f>
        <v>5940</v>
      </c>
      <c r="F617" s="1">
        <f>IFERROR(__xludf.DUMMYFUNCTION("""COMPUTED_VALUE"""),115317.0)</f>
        <v>115317</v>
      </c>
    </row>
    <row r="618">
      <c r="A618" s="2">
        <f>IFERROR(__xludf.DUMMYFUNCTION("""COMPUTED_VALUE"""),41822.645833333336)</f>
        <v>41822.64583</v>
      </c>
      <c r="B618" s="1">
        <f>IFERROR(__xludf.DUMMYFUNCTION("""COMPUTED_VALUE"""),5900.0)</f>
        <v>5900</v>
      </c>
      <c r="C618" s="1">
        <f>IFERROR(__xludf.DUMMYFUNCTION("""COMPUTED_VALUE"""),6040.0)</f>
        <v>6040</v>
      </c>
      <c r="D618" s="1">
        <f>IFERROR(__xludf.DUMMYFUNCTION("""COMPUTED_VALUE"""),5900.0)</f>
        <v>5900</v>
      </c>
      <c r="E618" s="1">
        <f>IFERROR(__xludf.DUMMYFUNCTION("""COMPUTED_VALUE"""),5930.0)</f>
        <v>5930</v>
      </c>
      <c r="F618" s="1">
        <f>IFERROR(__xludf.DUMMYFUNCTION("""COMPUTED_VALUE"""),36071.0)</f>
        <v>36071</v>
      </c>
    </row>
    <row r="619">
      <c r="A619" s="2">
        <f>IFERROR(__xludf.DUMMYFUNCTION("""COMPUTED_VALUE"""),41823.645833333336)</f>
        <v>41823.64583</v>
      </c>
      <c r="B619" s="1">
        <f>IFERROR(__xludf.DUMMYFUNCTION("""COMPUTED_VALUE"""),5950.0)</f>
        <v>5950</v>
      </c>
      <c r="C619" s="1">
        <f>IFERROR(__xludf.DUMMYFUNCTION("""COMPUTED_VALUE"""),6090.0)</f>
        <v>6090</v>
      </c>
      <c r="D619" s="1">
        <f>IFERROR(__xludf.DUMMYFUNCTION("""COMPUTED_VALUE"""),5930.0)</f>
        <v>5930</v>
      </c>
      <c r="E619" s="1">
        <f>IFERROR(__xludf.DUMMYFUNCTION("""COMPUTED_VALUE"""),6060.0)</f>
        <v>6060</v>
      </c>
      <c r="F619" s="1">
        <f>IFERROR(__xludf.DUMMYFUNCTION("""COMPUTED_VALUE"""),44919.0)</f>
        <v>44919</v>
      </c>
    </row>
    <row r="620">
      <c r="A620" s="2">
        <f>IFERROR(__xludf.DUMMYFUNCTION("""COMPUTED_VALUE"""),41824.645833333336)</f>
        <v>41824.64583</v>
      </c>
      <c r="B620" s="1">
        <f>IFERROR(__xludf.DUMMYFUNCTION("""COMPUTED_VALUE"""),6140.0)</f>
        <v>6140</v>
      </c>
      <c r="C620" s="1">
        <f>IFERROR(__xludf.DUMMYFUNCTION("""COMPUTED_VALUE"""),6140.0)</f>
        <v>6140</v>
      </c>
      <c r="D620" s="1">
        <f>IFERROR(__xludf.DUMMYFUNCTION("""COMPUTED_VALUE"""),6000.0)</f>
        <v>6000</v>
      </c>
      <c r="E620" s="1">
        <f>IFERROR(__xludf.DUMMYFUNCTION("""COMPUTED_VALUE"""),6020.0)</f>
        <v>6020</v>
      </c>
      <c r="F620" s="1">
        <f>IFERROR(__xludf.DUMMYFUNCTION("""COMPUTED_VALUE"""),24759.0)</f>
        <v>24759</v>
      </c>
    </row>
    <row r="621">
      <c r="A621" s="2">
        <f>IFERROR(__xludf.DUMMYFUNCTION("""COMPUTED_VALUE"""),41827.645833333336)</f>
        <v>41827.64583</v>
      </c>
      <c r="B621" s="1">
        <f>IFERROR(__xludf.DUMMYFUNCTION("""COMPUTED_VALUE"""),5980.0)</f>
        <v>5980</v>
      </c>
      <c r="C621" s="1">
        <f>IFERROR(__xludf.DUMMYFUNCTION("""COMPUTED_VALUE"""),6060.0)</f>
        <v>6060</v>
      </c>
      <c r="D621" s="1">
        <f>IFERROR(__xludf.DUMMYFUNCTION("""COMPUTED_VALUE"""),5970.0)</f>
        <v>5970</v>
      </c>
      <c r="E621" s="1">
        <f>IFERROR(__xludf.DUMMYFUNCTION("""COMPUTED_VALUE"""),6010.0)</f>
        <v>6010</v>
      </c>
      <c r="F621" s="1">
        <f>IFERROR(__xludf.DUMMYFUNCTION("""COMPUTED_VALUE"""),15354.0)</f>
        <v>15354</v>
      </c>
    </row>
    <row r="622">
      <c r="A622" s="2">
        <f>IFERROR(__xludf.DUMMYFUNCTION("""COMPUTED_VALUE"""),41828.645833333336)</f>
        <v>41828.64583</v>
      </c>
      <c r="B622" s="1">
        <f>IFERROR(__xludf.DUMMYFUNCTION("""COMPUTED_VALUE"""),6070.0)</f>
        <v>6070</v>
      </c>
      <c r="C622" s="1">
        <f>IFERROR(__xludf.DUMMYFUNCTION("""COMPUTED_VALUE"""),6100.0)</f>
        <v>6100</v>
      </c>
      <c r="D622" s="1">
        <f>IFERROR(__xludf.DUMMYFUNCTION("""COMPUTED_VALUE"""),6000.0)</f>
        <v>6000</v>
      </c>
      <c r="E622" s="1">
        <f>IFERROR(__xludf.DUMMYFUNCTION("""COMPUTED_VALUE"""),6010.0)</f>
        <v>6010</v>
      </c>
      <c r="F622" s="1">
        <f>IFERROR(__xludf.DUMMYFUNCTION("""COMPUTED_VALUE"""),15508.0)</f>
        <v>15508</v>
      </c>
    </row>
    <row r="623">
      <c r="A623" s="2">
        <f>IFERROR(__xludf.DUMMYFUNCTION("""COMPUTED_VALUE"""),41829.645833333336)</f>
        <v>41829.64583</v>
      </c>
      <c r="B623" s="1">
        <f>IFERROR(__xludf.DUMMYFUNCTION("""COMPUTED_VALUE"""),6010.0)</f>
        <v>6010</v>
      </c>
      <c r="C623" s="1">
        <f>IFERROR(__xludf.DUMMYFUNCTION("""COMPUTED_VALUE"""),6010.0)</f>
        <v>6010</v>
      </c>
      <c r="D623" s="1">
        <f>IFERROR(__xludf.DUMMYFUNCTION("""COMPUTED_VALUE"""),5850.0)</f>
        <v>5850</v>
      </c>
      <c r="E623" s="1">
        <f>IFERROR(__xludf.DUMMYFUNCTION("""COMPUTED_VALUE"""),5910.0)</f>
        <v>5910</v>
      </c>
      <c r="F623" s="1">
        <f>IFERROR(__xludf.DUMMYFUNCTION("""COMPUTED_VALUE"""),26145.0)</f>
        <v>26145</v>
      </c>
    </row>
    <row r="624">
      <c r="A624" s="2">
        <f>IFERROR(__xludf.DUMMYFUNCTION("""COMPUTED_VALUE"""),41830.645833333336)</f>
        <v>41830.64583</v>
      </c>
      <c r="B624" s="1">
        <f>IFERROR(__xludf.DUMMYFUNCTION("""COMPUTED_VALUE"""),6040.0)</f>
        <v>6040</v>
      </c>
      <c r="C624" s="1">
        <f>IFERROR(__xludf.DUMMYFUNCTION("""COMPUTED_VALUE"""),6050.0)</f>
        <v>6050</v>
      </c>
      <c r="D624" s="1">
        <f>IFERROR(__xludf.DUMMYFUNCTION("""COMPUTED_VALUE"""),5940.0)</f>
        <v>5940</v>
      </c>
      <c r="E624" s="1">
        <f>IFERROR(__xludf.DUMMYFUNCTION("""COMPUTED_VALUE"""),6040.0)</f>
        <v>6040</v>
      </c>
      <c r="F624" s="1">
        <f>IFERROR(__xludf.DUMMYFUNCTION("""COMPUTED_VALUE"""),31371.0)</f>
        <v>31371</v>
      </c>
    </row>
    <row r="625">
      <c r="A625" s="2">
        <f>IFERROR(__xludf.DUMMYFUNCTION("""COMPUTED_VALUE"""),41831.645833333336)</f>
        <v>41831.64583</v>
      </c>
      <c r="B625" s="1">
        <f>IFERROR(__xludf.DUMMYFUNCTION("""COMPUTED_VALUE"""),6050.0)</f>
        <v>6050</v>
      </c>
      <c r="C625" s="1">
        <f>IFERROR(__xludf.DUMMYFUNCTION("""COMPUTED_VALUE"""),6080.0)</f>
        <v>6080</v>
      </c>
      <c r="D625" s="1">
        <f>IFERROR(__xludf.DUMMYFUNCTION("""COMPUTED_VALUE"""),5790.0)</f>
        <v>5790</v>
      </c>
      <c r="E625" s="1">
        <f>IFERROR(__xludf.DUMMYFUNCTION("""COMPUTED_VALUE"""),5960.0)</f>
        <v>5960</v>
      </c>
      <c r="F625" s="1">
        <f>IFERROR(__xludf.DUMMYFUNCTION("""COMPUTED_VALUE"""),19904.0)</f>
        <v>19904</v>
      </c>
    </row>
    <row r="626">
      <c r="A626" s="2">
        <f>IFERROR(__xludf.DUMMYFUNCTION("""COMPUTED_VALUE"""),41834.645833333336)</f>
        <v>41834.64583</v>
      </c>
      <c r="B626" s="1">
        <f>IFERROR(__xludf.DUMMYFUNCTION("""COMPUTED_VALUE"""),6030.0)</f>
        <v>6030</v>
      </c>
      <c r="C626" s="1">
        <f>IFERROR(__xludf.DUMMYFUNCTION("""COMPUTED_VALUE"""),6030.0)</f>
        <v>6030</v>
      </c>
      <c r="D626" s="1">
        <f>IFERROR(__xludf.DUMMYFUNCTION("""COMPUTED_VALUE"""),5890.0)</f>
        <v>5890</v>
      </c>
      <c r="E626" s="1">
        <f>IFERROR(__xludf.DUMMYFUNCTION("""COMPUTED_VALUE"""),5900.0)</f>
        <v>5900</v>
      </c>
      <c r="F626" s="1">
        <f>IFERROR(__xludf.DUMMYFUNCTION("""COMPUTED_VALUE"""),13865.0)</f>
        <v>13865</v>
      </c>
    </row>
    <row r="627">
      <c r="A627" s="2">
        <f>IFERROR(__xludf.DUMMYFUNCTION("""COMPUTED_VALUE"""),41835.645833333336)</f>
        <v>41835.64583</v>
      </c>
      <c r="B627" s="1">
        <f>IFERROR(__xludf.DUMMYFUNCTION("""COMPUTED_VALUE"""),5990.0)</f>
        <v>5990</v>
      </c>
      <c r="C627" s="1">
        <f>IFERROR(__xludf.DUMMYFUNCTION("""COMPUTED_VALUE"""),6040.0)</f>
        <v>6040</v>
      </c>
      <c r="D627" s="1">
        <f>IFERROR(__xludf.DUMMYFUNCTION("""COMPUTED_VALUE"""),5900.0)</f>
        <v>5900</v>
      </c>
      <c r="E627" s="1">
        <f>IFERROR(__xludf.DUMMYFUNCTION("""COMPUTED_VALUE"""),5930.0)</f>
        <v>5930</v>
      </c>
      <c r="F627" s="1">
        <f>IFERROR(__xludf.DUMMYFUNCTION("""COMPUTED_VALUE"""),18209.0)</f>
        <v>18209</v>
      </c>
    </row>
    <row r="628">
      <c r="A628" s="2">
        <f>IFERROR(__xludf.DUMMYFUNCTION("""COMPUTED_VALUE"""),41836.645833333336)</f>
        <v>41836.64583</v>
      </c>
      <c r="B628" s="1">
        <f>IFERROR(__xludf.DUMMYFUNCTION("""COMPUTED_VALUE"""),5930.0)</f>
        <v>5930</v>
      </c>
      <c r="C628" s="1">
        <f>IFERROR(__xludf.DUMMYFUNCTION("""COMPUTED_VALUE"""),6180.0)</f>
        <v>6180</v>
      </c>
      <c r="D628" s="1">
        <f>IFERROR(__xludf.DUMMYFUNCTION("""COMPUTED_VALUE"""),5930.0)</f>
        <v>5930</v>
      </c>
      <c r="E628" s="1">
        <f>IFERROR(__xludf.DUMMYFUNCTION("""COMPUTED_VALUE"""),6100.0)</f>
        <v>6100</v>
      </c>
      <c r="F628" s="1">
        <f>IFERROR(__xludf.DUMMYFUNCTION("""COMPUTED_VALUE"""),44462.0)</f>
        <v>44462</v>
      </c>
    </row>
    <row r="629">
      <c r="A629" s="2">
        <f>IFERROR(__xludf.DUMMYFUNCTION("""COMPUTED_VALUE"""),41837.645833333336)</f>
        <v>41837.64583</v>
      </c>
      <c r="B629" s="1">
        <f>IFERROR(__xludf.DUMMYFUNCTION("""COMPUTED_VALUE"""),6150.0)</f>
        <v>6150</v>
      </c>
      <c r="C629" s="1">
        <f>IFERROR(__xludf.DUMMYFUNCTION("""COMPUTED_VALUE"""),6170.0)</f>
        <v>6170</v>
      </c>
      <c r="D629" s="1">
        <f>IFERROR(__xludf.DUMMYFUNCTION("""COMPUTED_VALUE"""),6060.0)</f>
        <v>6060</v>
      </c>
      <c r="E629" s="1">
        <f>IFERROR(__xludf.DUMMYFUNCTION("""COMPUTED_VALUE"""),6110.0)</f>
        <v>6110</v>
      </c>
      <c r="F629" s="1">
        <f>IFERROR(__xludf.DUMMYFUNCTION("""COMPUTED_VALUE"""),15436.0)</f>
        <v>15436</v>
      </c>
    </row>
    <row r="630">
      <c r="A630" s="2">
        <f>IFERROR(__xludf.DUMMYFUNCTION("""COMPUTED_VALUE"""),41838.645833333336)</f>
        <v>41838.64583</v>
      </c>
      <c r="B630" s="1">
        <f>IFERROR(__xludf.DUMMYFUNCTION("""COMPUTED_VALUE"""),6110.0)</f>
        <v>6110</v>
      </c>
      <c r="C630" s="1">
        <f>IFERROR(__xludf.DUMMYFUNCTION("""COMPUTED_VALUE"""),6110.0)</f>
        <v>6110</v>
      </c>
      <c r="D630" s="1">
        <f>IFERROR(__xludf.DUMMYFUNCTION("""COMPUTED_VALUE"""),6020.0)</f>
        <v>6020</v>
      </c>
      <c r="E630" s="1">
        <f>IFERROR(__xludf.DUMMYFUNCTION("""COMPUTED_VALUE"""),6060.0)</f>
        <v>6060</v>
      </c>
      <c r="F630" s="1">
        <f>IFERROR(__xludf.DUMMYFUNCTION("""COMPUTED_VALUE"""),10408.0)</f>
        <v>10408</v>
      </c>
    </row>
    <row r="631">
      <c r="A631" s="2">
        <f>IFERROR(__xludf.DUMMYFUNCTION("""COMPUTED_VALUE"""),41841.645833333336)</f>
        <v>41841.64583</v>
      </c>
      <c r="B631" s="1">
        <f>IFERROR(__xludf.DUMMYFUNCTION("""COMPUTED_VALUE"""),6060.0)</f>
        <v>6060</v>
      </c>
      <c r="C631" s="1">
        <f>IFERROR(__xludf.DUMMYFUNCTION("""COMPUTED_VALUE"""),6240.0)</f>
        <v>6240</v>
      </c>
      <c r="D631" s="1">
        <f>IFERROR(__xludf.DUMMYFUNCTION("""COMPUTED_VALUE"""),6000.0)</f>
        <v>6000</v>
      </c>
      <c r="E631" s="1">
        <f>IFERROR(__xludf.DUMMYFUNCTION("""COMPUTED_VALUE"""),6000.0)</f>
        <v>6000</v>
      </c>
      <c r="F631" s="1">
        <f>IFERROR(__xludf.DUMMYFUNCTION("""COMPUTED_VALUE"""),22739.0)</f>
        <v>22739</v>
      </c>
    </row>
    <row r="632">
      <c r="A632" s="2">
        <f>IFERROR(__xludf.DUMMYFUNCTION("""COMPUTED_VALUE"""),41842.645833333336)</f>
        <v>41842.64583</v>
      </c>
      <c r="B632" s="1">
        <f>IFERROR(__xludf.DUMMYFUNCTION("""COMPUTED_VALUE"""),6030.0)</f>
        <v>6030</v>
      </c>
      <c r="C632" s="1">
        <f>IFERROR(__xludf.DUMMYFUNCTION("""COMPUTED_VALUE"""),6070.0)</f>
        <v>6070</v>
      </c>
      <c r="D632" s="1">
        <f>IFERROR(__xludf.DUMMYFUNCTION("""COMPUTED_VALUE"""),5960.0)</f>
        <v>5960</v>
      </c>
      <c r="E632" s="1">
        <f>IFERROR(__xludf.DUMMYFUNCTION("""COMPUTED_VALUE"""),6010.0)</f>
        <v>6010</v>
      </c>
      <c r="F632" s="1">
        <f>IFERROR(__xludf.DUMMYFUNCTION("""COMPUTED_VALUE"""),8760.0)</f>
        <v>8760</v>
      </c>
    </row>
    <row r="633">
      <c r="A633" s="2">
        <f>IFERROR(__xludf.DUMMYFUNCTION("""COMPUTED_VALUE"""),41843.645833333336)</f>
        <v>41843.64583</v>
      </c>
      <c r="B633" s="1">
        <f>IFERROR(__xludf.DUMMYFUNCTION("""COMPUTED_VALUE"""),6060.0)</f>
        <v>6060</v>
      </c>
      <c r="C633" s="1">
        <f>IFERROR(__xludf.DUMMYFUNCTION("""COMPUTED_VALUE"""),6080.0)</f>
        <v>6080</v>
      </c>
      <c r="D633" s="1">
        <f>IFERROR(__xludf.DUMMYFUNCTION("""COMPUTED_VALUE"""),5930.0)</f>
        <v>5930</v>
      </c>
      <c r="E633" s="1">
        <f>IFERROR(__xludf.DUMMYFUNCTION("""COMPUTED_VALUE"""),5980.0)</f>
        <v>5980</v>
      </c>
      <c r="F633" s="1">
        <f>IFERROR(__xludf.DUMMYFUNCTION("""COMPUTED_VALUE"""),14549.0)</f>
        <v>14549</v>
      </c>
    </row>
    <row r="634">
      <c r="A634" s="2">
        <f>IFERROR(__xludf.DUMMYFUNCTION("""COMPUTED_VALUE"""),41844.645833333336)</f>
        <v>41844.64583</v>
      </c>
      <c r="B634" s="1">
        <f>IFERROR(__xludf.DUMMYFUNCTION("""COMPUTED_VALUE"""),6000.0)</f>
        <v>6000</v>
      </c>
      <c r="C634" s="1">
        <f>IFERROR(__xludf.DUMMYFUNCTION("""COMPUTED_VALUE"""),6000.0)</f>
        <v>6000</v>
      </c>
      <c r="D634" s="1">
        <f>IFERROR(__xludf.DUMMYFUNCTION("""COMPUTED_VALUE"""),5820.0)</f>
        <v>5820</v>
      </c>
      <c r="E634" s="1">
        <f>IFERROR(__xludf.DUMMYFUNCTION("""COMPUTED_VALUE"""),5890.0)</f>
        <v>5890</v>
      </c>
      <c r="F634" s="1">
        <f>IFERROR(__xludf.DUMMYFUNCTION("""COMPUTED_VALUE"""),12818.0)</f>
        <v>12818</v>
      </c>
    </row>
    <row r="635">
      <c r="A635" s="2">
        <f>IFERROR(__xludf.DUMMYFUNCTION("""COMPUTED_VALUE"""),41845.645833333336)</f>
        <v>41845.64583</v>
      </c>
      <c r="B635" s="1">
        <f>IFERROR(__xludf.DUMMYFUNCTION("""COMPUTED_VALUE"""),5980.0)</f>
        <v>5980</v>
      </c>
      <c r="C635" s="1">
        <f>IFERROR(__xludf.DUMMYFUNCTION("""COMPUTED_VALUE"""),5980.0)</f>
        <v>5980</v>
      </c>
      <c r="D635" s="1">
        <f>IFERROR(__xludf.DUMMYFUNCTION("""COMPUTED_VALUE"""),5870.0)</f>
        <v>5870</v>
      </c>
      <c r="E635" s="1">
        <f>IFERROR(__xludf.DUMMYFUNCTION("""COMPUTED_VALUE"""),5870.0)</f>
        <v>5870</v>
      </c>
      <c r="F635" s="1">
        <f>IFERROR(__xludf.DUMMYFUNCTION("""COMPUTED_VALUE"""),9850.0)</f>
        <v>9850</v>
      </c>
    </row>
    <row r="636">
      <c r="A636" s="2">
        <f>IFERROR(__xludf.DUMMYFUNCTION("""COMPUTED_VALUE"""),41848.645833333336)</f>
        <v>41848.64583</v>
      </c>
      <c r="B636" s="1">
        <f>IFERROR(__xludf.DUMMYFUNCTION("""COMPUTED_VALUE"""),5930.0)</f>
        <v>5930</v>
      </c>
      <c r="C636" s="1">
        <f>IFERROR(__xludf.DUMMYFUNCTION("""COMPUTED_VALUE"""),5930.0)</f>
        <v>5930</v>
      </c>
      <c r="D636" s="1">
        <f>IFERROR(__xludf.DUMMYFUNCTION("""COMPUTED_VALUE"""),5540.0)</f>
        <v>5540</v>
      </c>
      <c r="E636" s="1">
        <f>IFERROR(__xludf.DUMMYFUNCTION("""COMPUTED_VALUE"""),5540.0)</f>
        <v>5540</v>
      </c>
      <c r="F636" s="1">
        <f>IFERROR(__xludf.DUMMYFUNCTION("""COMPUTED_VALUE"""),66044.0)</f>
        <v>66044</v>
      </c>
    </row>
    <row r="637">
      <c r="A637" s="2">
        <f>IFERROR(__xludf.DUMMYFUNCTION("""COMPUTED_VALUE"""),41849.645833333336)</f>
        <v>41849.64583</v>
      </c>
      <c r="B637" s="1">
        <f>IFERROR(__xludf.DUMMYFUNCTION("""COMPUTED_VALUE"""),5410.0)</f>
        <v>5410</v>
      </c>
      <c r="C637" s="1">
        <f>IFERROR(__xludf.DUMMYFUNCTION("""COMPUTED_VALUE"""),5630.0)</f>
        <v>5630</v>
      </c>
      <c r="D637" s="1">
        <f>IFERROR(__xludf.DUMMYFUNCTION("""COMPUTED_VALUE"""),5410.0)</f>
        <v>5410</v>
      </c>
      <c r="E637" s="1">
        <f>IFERROR(__xludf.DUMMYFUNCTION("""COMPUTED_VALUE"""),5480.0)</f>
        <v>5480</v>
      </c>
      <c r="F637" s="1">
        <f>IFERROR(__xludf.DUMMYFUNCTION("""COMPUTED_VALUE"""),48824.0)</f>
        <v>48824</v>
      </c>
    </row>
    <row r="638">
      <c r="A638" s="2">
        <f>IFERROR(__xludf.DUMMYFUNCTION("""COMPUTED_VALUE"""),41850.645833333336)</f>
        <v>41850.64583</v>
      </c>
      <c r="B638" s="1">
        <f>IFERROR(__xludf.DUMMYFUNCTION("""COMPUTED_VALUE"""),5590.0)</f>
        <v>5590</v>
      </c>
      <c r="C638" s="1">
        <f>IFERROR(__xludf.DUMMYFUNCTION("""COMPUTED_VALUE"""),5760.0)</f>
        <v>5760</v>
      </c>
      <c r="D638" s="1">
        <f>IFERROR(__xludf.DUMMYFUNCTION("""COMPUTED_VALUE"""),5490.0)</f>
        <v>5490</v>
      </c>
      <c r="E638" s="1">
        <f>IFERROR(__xludf.DUMMYFUNCTION("""COMPUTED_VALUE"""),5750.0)</f>
        <v>5750</v>
      </c>
      <c r="F638" s="1">
        <f>IFERROR(__xludf.DUMMYFUNCTION("""COMPUTED_VALUE"""),22446.0)</f>
        <v>22446</v>
      </c>
    </row>
    <row r="639">
      <c r="A639" s="2">
        <f>IFERROR(__xludf.DUMMYFUNCTION("""COMPUTED_VALUE"""),41851.645833333336)</f>
        <v>41851.64583</v>
      </c>
      <c r="B639" s="1">
        <f>IFERROR(__xludf.DUMMYFUNCTION("""COMPUTED_VALUE"""),5850.0)</f>
        <v>5850</v>
      </c>
      <c r="C639" s="1">
        <f>IFERROR(__xludf.DUMMYFUNCTION("""COMPUTED_VALUE"""),5850.0)</f>
        <v>5850</v>
      </c>
      <c r="D639" s="1">
        <f>IFERROR(__xludf.DUMMYFUNCTION("""COMPUTED_VALUE"""),5560.0)</f>
        <v>5560</v>
      </c>
      <c r="E639" s="1">
        <f>IFERROR(__xludf.DUMMYFUNCTION("""COMPUTED_VALUE"""),5690.0)</f>
        <v>5690</v>
      </c>
      <c r="F639" s="1">
        <f>IFERROR(__xludf.DUMMYFUNCTION("""COMPUTED_VALUE"""),14884.0)</f>
        <v>14884</v>
      </c>
    </row>
    <row r="640">
      <c r="A640" s="2">
        <f>IFERROR(__xludf.DUMMYFUNCTION("""COMPUTED_VALUE"""),41852.645833333336)</f>
        <v>41852.64583</v>
      </c>
      <c r="B640" s="1">
        <f>IFERROR(__xludf.DUMMYFUNCTION("""COMPUTED_VALUE"""),5800.0)</f>
        <v>5800</v>
      </c>
      <c r="C640" s="1">
        <f>IFERROR(__xludf.DUMMYFUNCTION("""COMPUTED_VALUE"""),5800.0)</f>
        <v>5800</v>
      </c>
      <c r="D640" s="1">
        <f>IFERROR(__xludf.DUMMYFUNCTION("""COMPUTED_VALUE"""),5680.0)</f>
        <v>5680</v>
      </c>
      <c r="E640" s="1">
        <f>IFERROR(__xludf.DUMMYFUNCTION("""COMPUTED_VALUE"""),5780.0)</f>
        <v>5780</v>
      </c>
      <c r="F640" s="1">
        <f>IFERROR(__xludf.DUMMYFUNCTION("""COMPUTED_VALUE"""),8308.0)</f>
        <v>8308</v>
      </c>
    </row>
    <row r="641">
      <c r="A641" s="2">
        <f>IFERROR(__xludf.DUMMYFUNCTION("""COMPUTED_VALUE"""),41855.645833333336)</f>
        <v>41855.64583</v>
      </c>
      <c r="B641" s="1">
        <f>IFERROR(__xludf.DUMMYFUNCTION("""COMPUTED_VALUE"""),5880.0)</f>
        <v>5880</v>
      </c>
      <c r="C641" s="1">
        <f>IFERROR(__xludf.DUMMYFUNCTION("""COMPUTED_VALUE"""),5950.0)</f>
        <v>5950</v>
      </c>
      <c r="D641" s="1">
        <f>IFERROR(__xludf.DUMMYFUNCTION("""COMPUTED_VALUE"""),5840.0)</f>
        <v>5840</v>
      </c>
      <c r="E641" s="1">
        <f>IFERROR(__xludf.DUMMYFUNCTION("""COMPUTED_VALUE"""),5900.0)</f>
        <v>5900</v>
      </c>
      <c r="F641" s="1">
        <f>IFERROR(__xludf.DUMMYFUNCTION("""COMPUTED_VALUE"""),17167.0)</f>
        <v>17167</v>
      </c>
    </row>
    <row r="642">
      <c r="A642" s="2">
        <f>IFERROR(__xludf.DUMMYFUNCTION("""COMPUTED_VALUE"""),41856.645833333336)</f>
        <v>41856.64583</v>
      </c>
      <c r="B642" s="1">
        <f>IFERROR(__xludf.DUMMYFUNCTION("""COMPUTED_VALUE"""),5950.0)</f>
        <v>5950</v>
      </c>
      <c r="C642" s="1">
        <f>IFERROR(__xludf.DUMMYFUNCTION("""COMPUTED_VALUE"""),5950.0)</f>
        <v>5950</v>
      </c>
      <c r="D642" s="1">
        <f>IFERROR(__xludf.DUMMYFUNCTION("""COMPUTED_VALUE"""),5760.0)</f>
        <v>5760</v>
      </c>
      <c r="E642" s="1">
        <f>IFERROR(__xludf.DUMMYFUNCTION("""COMPUTED_VALUE"""),5840.0)</f>
        <v>5840</v>
      </c>
      <c r="F642" s="1">
        <f>IFERROR(__xludf.DUMMYFUNCTION("""COMPUTED_VALUE"""),9165.0)</f>
        <v>9165</v>
      </c>
    </row>
    <row r="643">
      <c r="A643" s="2">
        <f>IFERROR(__xludf.DUMMYFUNCTION("""COMPUTED_VALUE"""),41857.645833333336)</f>
        <v>41857.64583</v>
      </c>
      <c r="B643" s="1">
        <f>IFERROR(__xludf.DUMMYFUNCTION("""COMPUTED_VALUE"""),5750.0)</f>
        <v>5750</v>
      </c>
      <c r="C643" s="1">
        <f>IFERROR(__xludf.DUMMYFUNCTION("""COMPUTED_VALUE"""),5850.0)</f>
        <v>5850</v>
      </c>
      <c r="D643" s="1">
        <f>IFERROR(__xludf.DUMMYFUNCTION("""COMPUTED_VALUE"""),5620.0)</f>
        <v>5620</v>
      </c>
      <c r="E643" s="1">
        <f>IFERROR(__xludf.DUMMYFUNCTION("""COMPUTED_VALUE"""),5640.0)</f>
        <v>5640</v>
      </c>
      <c r="F643" s="1">
        <f>IFERROR(__xludf.DUMMYFUNCTION("""COMPUTED_VALUE"""),17980.0)</f>
        <v>17980</v>
      </c>
    </row>
    <row r="644">
      <c r="A644" s="2">
        <f>IFERROR(__xludf.DUMMYFUNCTION("""COMPUTED_VALUE"""),41858.645833333336)</f>
        <v>41858.64583</v>
      </c>
      <c r="B644" s="1">
        <f>IFERROR(__xludf.DUMMYFUNCTION("""COMPUTED_VALUE"""),5690.0)</f>
        <v>5690</v>
      </c>
      <c r="C644" s="1">
        <f>IFERROR(__xludf.DUMMYFUNCTION("""COMPUTED_VALUE"""),5690.0)</f>
        <v>5690</v>
      </c>
      <c r="D644" s="1">
        <f>IFERROR(__xludf.DUMMYFUNCTION("""COMPUTED_VALUE"""),5500.0)</f>
        <v>5500</v>
      </c>
      <c r="E644" s="1">
        <f>IFERROR(__xludf.DUMMYFUNCTION("""COMPUTED_VALUE"""),5550.0)</f>
        <v>5550</v>
      </c>
      <c r="F644" s="1">
        <f>IFERROR(__xludf.DUMMYFUNCTION("""COMPUTED_VALUE"""),13249.0)</f>
        <v>13249</v>
      </c>
    </row>
    <row r="645">
      <c r="A645" s="2">
        <f>IFERROR(__xludf.DUMMYFUNCTION("""COMPUTED_VALUE"""),41859.645833333336)</f>
        <v>41859.64583</v>
      </c>
      <c r="B645" s="1">
        <f>IFERROR(__xludf.DUMMYFUNCTION("""COMPUTED_VALUE"""),5600.0)</f>
        <v>5600</v>
      </c>
      <c r="C645" s="1">
        <f>IFERROR(__xludf.DUMMYFUNCTION("""COMPUTED_VALUE"""),5600.0)</f>
        <v>5600</v>
      </c>
      <c r="D645" s="1">
        <f>IFERROR(__xludf.DUMMYFUNCTION("""COMPUTED_VALUE"""),5500.0)</f>
        <v>5500</v>
      </c>
      <c r="E645" s="1">
        <f>IFERROR(__xludf.DUMMYFUNCTION("""COMPUTED_VALUE"""),5500.0)</f>
        <v>5500</v>
      </c>
      <c r="F645" s="1">
        <f>IFERROR(__xludf.DUMMYFUNCTION("""COMPUTED_VALUE"""),18920.0)</f>
        <v>18920</v>
      </c>
    </row>
    <row r="646">
      <c r="A646" s="2">
        <f>IFERROR(__xludf.DUMMYFUNCTION("""COMPUTED_VALUE"""),41862.645833333336)</f>
        <v>41862.64583</v>
      </c>
      <c r="B646" s="1">
        <f>IFERROR(__xludf.DUMMYFUNCTION("""COMPUTED_VALUE"""),5510.0)</f>
        <v>5510</v>
      </c>
      <c r="C646" s="1">
        <f>IFERROR(__xludf.DUMMYFUNCTION("""COMPUTED_VALUE"""),5570.0)</f>
        <v>5570</v>
      </c>
      <c r="D646" s="1">
        <f>IFERROR(__xludf.DUMMYFUNCTION("""COMPUTED_VALUE"""),5490.0)</f>
        <v>5490</v>
      </c>
      <c r="E646" s="1">
        <f>IFERROR(__xludf.DUMMYFUNCTION("""COMPUTED_VALUE"""),5500.0)</f>
        <v>5500</v>
      </c>
      <c r="F646" s="1">
        <f>IFERROR(__xludf.DUMMYFUNCTION("""COMPUTED_VALUE"""),18012.0)</f>
        <v>18012</v>
      </c>
    </row>
    <row r="647">
      <c r="A647" s="2">
        <f>IFERROR(__xludf.DUMMYFUNCTION("""COMPUTED_VALUE"""),41863.645833333336)</f>
        <v>41863.64583</v>
      </c>
      <c r="B647" s="1">
        <f>IFERROR(__xludf.DUMMYFUNCTION("""COMPUTED_VALUE"""),5500.0)</f>
        <v>5500</v>
      </c>
      <c r="C647" s="1">
        <f>IFERROR(__xludf.DUMMYFUNCTION("""COMPUTED_VALUE"""),5590.0)</f>
        <v>5590</v>
      </c>
      <c r="D647" s="1">
        <f>IFERROR(__xludf.DUMMYFUNCTION("""COMPUTED_VALUE"""),5460.0)</f>
        <v>5460</v>
      </c>
      <c r="E647" s="1">
        <f>IFERROR(__xludf.DUMMYFUNCTION("""COMPUTED_VALUE"""),5460.0)</f>
        <v>5460</v>
      </c>
      <c r="F647" s="1">
        <f>IFERROR(__xludf.DUMMYFUNCTION("""COMPUTED_VALUE"""),23025.0)</f>
        <v>23025</v>
      </c>
    </row>
    <row r="648">
      <c r="A648" s="2">
        <f>IFERROR(__xludf.DUMMYFUNCTION("""COMPUTED_VALUE"""),41864.645833333336)</f>
        <v>41864.64583</v>
      </c>
      <c r="B648" s="1">
        <f>IFERROR(__xludf.DUMMYFUNCTION("""COMPUTED_VALUE"""),5460.0)</f>
        <v>5460</v>
      </c>
      <c r="C648" s="1">
        <f>IFERROR(__xludf.DUMMYFUNCTION("""COMPUTED_VALUE"""),5620.0)</f>
        <v>5620</v>
      </c>
      <c r="D648" s="1">
        <f>IFERROR(__xludf.DUMMYFUNCTION("""COMPUTED_VALUE"""),5460.0)</f>
        <v>5460</v>
      </c>
      <c r="E648" s="1">
        <f>IFERROR(__xludf.DUMMYFUNCTION("""COMPUTED_VALUE"""),5470.0)</f>
        <v>5470</v>
      </c>
      <c r="F648" s="1">
        <f>IFERROR(__xludf.DUMMYFUNCTION("""COMPUTED_VALUE"""),10911.0)</f>
        <v>10911</v>
      </c>
    </row>
    <row r="649">
      <c r="A649" s="2">
        <f>IFERROR(__xludf.DUMMYFUNCTION("""COMPUTED_VALUE"""),41865.645833333336)</f>
        <v>41865.64583</v>
      </c>
      <c r="B649" s="1">
        <f>IFERROR(__xludf.DUMMYFUNCTION("""COMPUTED_VALUE"""),5520.0)</f>
        <v>5520</v>
      </c>
      <c r="C649" s="1">
        <f>IFERROR(__xludf.DUMMYFUNCTION("""COMPUTED_VALUE"""),5540.0)</f>
        <v>5540</v>
      </c>
      <c r="D649" s="1">
        <f>IFERROR(__xludf.DUMMYFUNCTION("""COMPUTED_VALUE"""),5480.0)</f>
        <v>5480</v>
      </c>
      <c r="E649" s="1">
        <f>IFERROR(__xludf.DUMMYFUNCTION("""COMPUTED_VALUE"""),5500.0)</f>
        <v>5500</v>
      </c>
      <c r="F649" s="1">
        <f>IFERROR(__xludf.DUMMYFUNCTION("""COMPUTED_VALUE"""),6056.0)</f>
        <v>6056</v>
      </c>
    </row>
    <row r="650">
      <c r="A650" s="2">
        <f>IFERROR(__xludf.DUMMYFUNCTION("""COMPUTED_VALUE"""),41869.645833333336)</f>
        <v>41869.64583</v>
      </c>
      <c r="B650" s="1">
        <f>IFERROR(__xludf.DUMMYFUNCTION("""COMPUTED_VALUE"""),5630.0)</f>
        <v>5630</v>
      </c>
      <c r="C650" s="1">
        <f>IFERROR(__xludf.DUMMYFUNCTION("""COMPUTED_VALUE"""),5630.0)</f>
        <v>5630</v>
      </c>
      <c r="D650" s="1">
        <f>IFERROR(__xludf.DUMMYFUNCTION("""COMPUTED_VALUE"""),5450.0)</f>
        <v>5450</v>
      </c>
      <c r="E650" s="1">
        <f>IFERROR(__xludf.DUMMYFUNCTION("""COMPUTED_VALUE"""),5480.0)</f>
        <v>5480</v>
      </c>
      <c r="F650" s="1">
        <f>IFERROR(__xludf.DUMMYFUNCTION("""COMPUTED_VALUE"""),23451.0)</f>
        <v>23451</v>
      </c>
    </row>
    <row r="651">
      <c r="A651" s="2">
        <f>IFERROR(__xludf.DUMMYFUNCTION("""COMPUTED_VALUE"""),41870.645833333336)</f>
        <v>41870.64583</v>
      </c>
      <c r="B651" s="1">
        <f>IFERROR(__xludf.DUMMYFUNCTION("""COMPUTED_VALUE"""),5480.0)</f>
        <v>5480</v>
      </c>
      <c r="C651" s="1">
        <f>IFERROR(__xludf.DUMMYFUNCTION("""COMPUTED_VALUE"""),5590.0)</f>
        <v>5590</v>
      </c>
      <c r="D651" s="1">
        <f>IFERROR(__xludf.DUMMYFUNCTION("""COMPUTED_VALUE"""),5480.0)</f>
        <v>5480</v>
      </c>
      <c r="E651" s="1">
        <f>IFERROR(__xludf.DUMMYFUNCTION("""COMPUTED_VALUE"""),5500.0)</f>
        <v>5500</v>
      </c>
      <c r="F651" s="1">
        <f>IFERROR(__xludf.DUMMYFUNCTION("""COMPUTED_VALUE"""),14272.0)</f>
        <v>14272</v>
      </c>
    </row>
    <row r="652">
      <c r="A652" s="2">
        <f>IFERROR(__xludf.DUMMYFUNCTION("""COMPUTED_VALUE"""),41871.645833333336)</f>
        <v>41871.64583</v>
      </c>
      <c r="B652" s="1">
        <f>IFERROR(__xludf.DUMMYFUNCTION("""COMPUTED_VALUE"""),5500.0)</f>
        <v>5500</v>
      </c>
      <c r="C652" s="1">
        <f>IFERROR(__xludf.DUMMYFUNCTION("""COMPUTED_VALUE"""),5650.0)</f>
        <v>5650</v>
      </c>
      <c r="D652" s="1">
        <f>IFERROR(__xludf.DUMMYFUNCTION("""COMPUTED_VALUE"""),5490.0)</f>
        <v>5490</v>
      </c>
      <c r="E652" s="1">
        <f>IFERROR(__xludf.DUMMYFUNCTION("""COMPUTED_VALUE"""),5580.0)</f>
        <v>5580</v>
      </c>
      <c r="F652" s="1">
        <f>IFERROR(__xludf.DUMMYFUNCTION("""COMPUTED_VALUE"""),19073.0)</f>
        <v>19073</v>
      </c>
    </row>
    <row r="653">
      <c r="A653" s="2">
        <f>IFERROR(__xludf.DUMMYFUNCTION("""COMPUTED_VALUE"""),41872.645833333336)</f>
        <v>41872.64583</v>
      </c>
      <c r="B653" s="1">
        <f>IFERROR(__xludf.DUMMYFUNCTION("""COMPUTED_VALUE"""),5560.0)</f>
        <v>5560</v>
      </c>
      <c r="C653" s="1">
        <f>IFERROR(__xludf.DUMMYFUNCTION("""COMPUTED_VALUE"""),5770.0)</f>
        <v>5770</v>
      </c>
      <c r="D653" s="1">
        <f>IFERROR(__xludf.DUMMYFUNCTION("""COMPUTED_VALUE"""),5520.0)</f>
        <v>5520</v>
      </c>
      <c r="E653" s="1">
        <f>IFERROR(__xludf.DUMMYFUNCTION("""COMPUTED_VALUE"""),5580.0)</f>
        <v>5580</v>
      </c>
      <c r="F653" s="1">
        <f>IFERROR(__xludf.DUMMYFUNCTION("""COMPUTED_VALUE"""),7188.0)</f>
        <v>7188</v>
      </c>
    </row>
    <row r="654">
      <c r="A654" s="2">
        <f>IFERROR(__xludf.DUMMYFUNCTION("""COMPUTED_VALUE"""),41873.645833333336)</f>
        <v>41873.64583</v>
      </c>
      <c r="B654" s="1">
        <f>IFERROR(__xludf.DUMMYFUNCTION("""COMPUTED_VALUE"""),5540.0)</f>
        <v>5540</v>
      </c>
      <c r="C654" s="1">
        <f>IFERROR(__xludf.DUMMYFUNCTION("""COMPUTED_VALUE"""),5620.0)</f>
        <v>5620</v>
      </c>
      <c r="D654" s="1">
        <f>IFERROR(__xludf.DUMMYFUNCTION("""COMPUTED_VALUE"""),5490.0)</f>
        <v>5490</v>
      </c>
      <c r="E654" s="1">
        <f>IFERROR(__xludf.DUMMYFUNCTION("""COMPUTED_VALUE"""),5540.0)</f>
        <v>5540</v>
      </c>
      <c r="F654" s="1">
        <f>IFERROR(__xludf.DUMMYFUNCTION("""COMPUTED_VALUE"""),13143.0)</f>
        <v>13143</v>
      </c>
    </row>
    <row r="655">
      <c r="A655" s="2">
        <f>IFERROR(__xludf.DUMMYFUNCTION("""COMPUTED_VALUE"""),41876.645833333336)</f>
        <v>41876.64583</v>
      </c>
      <c r="B655" s="1">
        <f>IFERROR(__xludf.DUMMYFUNCTION("""COMPUTED_VALUE"""),5530.0)</f>
        <v>5530</v>
      </c>
      <c r="C655" s="1">
        <f>IFERROR(__xludf.DUMMYFUNCTION("""COMPUTED_VALUE"""),5600.0)</f>
        <v>5600</v>
      </c>
      <c r="D655" s="1">
        <f>IFERROR(__xludf.DUMMYFUNCTION("""COMPUTED_VALUE"""),5510.0)</f>
        <v>5510</v>
      </c>
      <c r="E655" s="1">
        <f>IFERROR(__xludf.DUMMYFUNCTION("""COMPUTED_VALUE"""),5520.0)</f>
        <v>5520</v>
      </c>
      <c r="F655" s="1">
        <f>IFERROR(__xludf.DUMMYFUNCTION("""COMPUTED_VALUE"""),5253.0)</f>
        <v>5253</v>
      </c>
    </row>
    <row r="656">
      <c r="A656" s="2">
        <f>IFERROR(__xludf.DUMMYFUNCTION("""COMPUTED_VALUE"""),41877.645833333336)</f>
        <v>41877.64583</v>
      </c>
      <c r="B656" s="1">
        <f>IFERROR(__xludf.DUMMYFUNCTION("""COMPUTED_VALUE"""),5550.0)</f>
        <v>5550</v>
      </c>
      <c r="C656" s="1">
        <f>IFERROR(__xludf.DUMMYFUNCTION("""COMPUTED_VALUE"""),5810.0)</f>
        <v>5810</v>
      </c>
      <c r="D656" s="1">
        <f>IFERROR(__xludf.DUMMYFUNCTION("""COMPUTED_VALUE"""),5550.0)</f>
        <v>5550</v>
      </c>
      <c r="E656" s="1">
        <f>IFERROR(__xludf.DUMMYFUNCTION("""COMPUTED_VALUE"""),5700.0)</f>
        <v>5700</v>
      </c>
      <c r="F656" s="1">
        <f>IFERROR(__xludf.DUMMYFUNCTION("""COMPUTED_VALUE"""),32773.0)</f>
        <v>32773</v>
      </c>
    </row>
    <row r="657">
      <c r="A657" s="2">
        <f>IFERROR(__xludf.DUMMYFUNCTION("""COMPUTED_VALUE"""),41878.645833333336)</f>
        <v>41878.64583</v>
      </c>
      <c r="B657" s="1">
        <f>IFERROR(__xludf.DUMMYFUNCTION("""COMPUTED_VALUE"""),5700.0)</f>
        <v>5700</v>
      </c>
      <c r="C657" s="1">
        <f>IFERROR(__xludf.DUMMYFUNCTION("""COMPUTED_VALUE"""),5840.0)</f>
        <v>5840</v>
      </c>
      <c r="D657" s="1">
        <f>IFERROR(__xludf.DUMMYFUNCTION("""COMPUTED_VALUE"""),5680.0)</f>
        <v>5680</v>
      </c>
      <c r="E657" s="1">
        <f>IFERROR(__xludf.DUMMYFUNCTION("""COMPUTED_VALUE"""),5720.0)</f>
        <v>5720</v>
      </c>
      <c r="F657" s="1">
        <f>IFERROR(__xludf.DUMMYFUNCTION("""COMPUTED_VALUE"""),24716.0)</f>
        <v>24716</v>
      </c>
    </row>
    <row r="658">
      <c r="A658" s="2">
        <f>IFERROR(__xludf.DUMMYFUNCTION("""COMPUTED_VALUE"""),41879.645833333336)</f>
        <v>41879.64583</v>
      </c>
      <c r="B658" s="1">
        <f>IFERROR(__xludf.DUMMYFUNCTION("""COMPUTED_VALUE"""),5720.0)</f>
        <v>5720</v>
      </c>
      <c r="C658" s="1">
        <f>IFERROR(__xludf.DUMMYFUNCTION("""COMPUTED_VALUE"""),5770.0)</f>
        <v>5770</v>
      </c>
      <c r="D658" s="1">
        <f>IFERROR(__xludf.DUMMYFUNCTION("""COMPUTED_VALUE"""),5670.0)</f>
        <v>5670</v>
      </c>
      <c r="E658" s="1">
        <f>IFERROR(__xludf.DUMMYFUNCTION("""COMPUTED_VALUE"""),5670.0)</f>
        <v>5670</v>
      </c>
      <c r="F658" s="1">
        <f>IFERROR(__xludf.DUMMYFUNCTION("""COMPUTED_VALUE"""),14042.0)</f>
        <v>14042</v>
      </c>
    </row>
    <row r="659">
      <c r="A659" s="2">
        <f>IFERROR(__xludf.DUMMYFUNCTION("""COMPUTED_VALUE"""),41880.645833333336)</f>
        <v>41880.64583</v>
      </c>
      <c r="B659" s="1">
        <f>IFERROR(__xludf.DUMMYFUNCTION("""COMPUTED_VALUE"""),5810.0)</f>
        <v>5810</v>
      </c>
      <c r="C659" s="1">
        <f>IFERROR(__xludf.DUMMYFUNCTION("""COMPUTED_VALUE"""),5900.0)</f>
        <v>5900</v>
      </c>
      <c r="D659" s="1">
        <f>IFERROR(__xludf.DUMMYFUNCTION("""COMPUTED_VALUE"""),5660.0)</f>
        <v>5660</v>
      </c>
      <c r="E659" s="1">
        <f>IFERROR(__xludf.DUMMYFUNCTION("""COMPUTED_VALUE"""),5670.0)</f>
        <v>5670</v>
      </c>
      <c r="F659" s="1">
        <f>IFERROR(__xludf.DUMMYFUNCTION("""COMPUTED_VALUE"""),23231.0)</f>
        <v>23231</v>
      </c>
    </row>
    <row r="660">
      <c r="A660" s="2">
        <f>IFERROR(__xludf.DUMMYFUNCTION("""COMPUTED_VALUE"""),41883.645833333336)</f>
        <v>41883.64583</v>
      </c>
      <c r="B660" s="1">
        <f>IFERROR(__xludf.DUMMYFUNCTION("""COMPUTED_VALUE"""),5580.0)</f>
        <v>5580</v>
      </c>
      <c r="C660" s="1">
        <f>IFERROR(__xludf.DUMMYFUNCTION("""COMPUTED_VALUE"""),5690.0)</f>
        <v>5690</v>
      </c>
      <c r="D660" s="1">
        <f>IFERROR(__xludf.DUMMYFUNCTION("""COMPUTED_VALUE"""),5500.0)</f>
        <v>5500</v>
      </c>
      <c r="E660" s="1">
        <f>IFERROR(__xludf.DUMMYFUNCTION("""COMPUTED_VALUE"""),5600.0)</f>
        <v>5600</v>
      </c>
      <c r="F660" s="1">
        <f>IFERROR(__xludf.DUMMYFUNCTION("""COMPUTED_VALUE"""),22467.0)</f>
        <v>22467</v>
      </c>
    </row>
    <row r="661">
      <c r="A661" s="2">
        <f>IFERROR(__xludf.DUMMYFUNCTION("""COMPUTED_VALUE"""),41884.645833333336)</f>
        <v>41884.64583</v>
      </c>
      <c r="B661" s="1">
        <f>IFERROR(__xludf.DUMMYFUNCTION("""COMPUTED_VALUE"""),5610.0)</f>
        <v>5610</v>
      </c>
      <c r="C661" s="1">
        <f>IFERROR(__xludf.DUMMYFUNCTION("""COMPUTED_VALUE"""),5610.0)</f>
        <v>5610</v>
      </c>
      <c r="D661" s="1">
        <f>IFERROR(__xludf.DUMMYFUNCTION("""COMPUTED_VALUE"""),5460.0)</f>
        <v>5460</v>
      </c>
      <c r="E661" s="1">
        <f>IFERROR(__xludf.DUMMYFUNCTION("""COMPUTED_VALUE"""),5490.0)</f>
        <v>5490</v>
      </c>
      <c r="F661" s="1">
        <f>IFERROR(__xludf.DUMMYFUNCTION("""COMPUTED_VALUE"""),31736.0)</f>
        <v>31736</v>
      </c>
    </row>
    <row r="662">
      <c r="A662" s="2">
        <f>IFERROR(__xludf.DUMMYFUNCTION("""COMPUTED_VALUE"""),41885.645833333336)</f>
        <v>41885.64583</v>
      </c>
      <c r="B662" s="1">
        <f>IFERROR(__xludf.DUMMYFUNCTION("""COMPUTED_VALUE"""),5520.0)</f>
        <v>5520</v>
      </c>
      <c r="C662" s="1">
        <f>IFERROR(__xludf.DUMMYFUNCTION("""COMPUTED_VALUE"""),5610.0)</f>
        <v>5610</v>
      </c>
      <c r="D662" s="1">
        <f>IFERROR(__xludf.DUMMYFUNCTION("""COMPUTED_VALUE"""),5490.0)</f>
        <v>5490</v>
      </c>
      <c r="E662" s="1">
        <f>IFERROR(__xludf.DUMMYFUNCTION("""COMPUTED_VALUE"""),5500.0)</f>
        <v>5500</v>
      </c>
      <c r="F662" s="1">
        <f>IFERROR(__xludf.DUMMYFUNCTION("""COMPUTED_VALUE"""),9140.0)</f>
        <v>9140</v>
      </c>
    </row>
    <row r="663">
      <c r="A663" s="2">
        <f>IFERROR(__xludf.DUMMYFUNCTION("""COMPUTED_VALUE"""),41886.645833333336)</f>
        <v>41886.64583</v>
      </c>
      <c r="B663" s="1">
        <f>IFERROR(__xludf.DUMMYFUNCTION("""COMPUTED_VALUE"""),5510.0)</f>
        <v>5510</v>
      </c>
      <c r="C663" s="1">
        <f>IFERROR(__xludf.DUMMYFUNCTION("""COMPUTED_VALUE"""),5530.0)</f>
        <v>5530</v>
      </c>
      <c r="D663" s="1">
        <f>IFERROR(__xludf.DUMMYFUNCTION("""COMPUTED_VALUE"""),5480.0)</f>
        <v>5480</v>
      </c>
      <c r="E663" s="1">
        <f>IFERROR(__xludf.DUMMYFUNCTION("""COMPUTED_VALUE"""),5480.0)</f>
        <v>5480</v>
      </c>
      <c r="F663" s="1">
        <f>IFERROR(__xludf.DUMMYFUNCTION("""COMPUTED_VALUE"""),31598.0)</f>
        <v>31598</v>
      </c>
    </row>
    <row r="664">
      <c r="A664" s="2">
        <f>IFERROR(__xludf.DUMMYFUNCTION("""COMPUTED_VALUE"""),41887.645833333336)</f>
        <v>41887.64583</v>
      </c>
      <c r="B664" s="1">
        <f>IFERROR(__xludf.DUMMYFUNCTION("""COMPUTED_VALUE"""),5490.0)</f>
        <v>5490</v>
      </c>
      <c r="C664" s="1">
        <f>IFERROR(__xludf.DUMMYFUNCTION("""COMPUTED_VALUE"""),5530.0)</f>
        <v>5530</v>
      </c>
      <c r="D664" s="1">
        <f>IFERROR(__xludf.DUMMYFUNCTION("""COMPUTED_VALUE"""),5460.0)</f>
        <v>5460</v>
      </c>
      <c r="E664" s="1">
        <f>IFERROR(__xludf.DUMMYFUNCTION("""COMPUTED_VALUE"""),5490.0)</f>
        <v>5490</v>
      </c>
      <c r="F664" s="1">
        <f>IFERROR(__xludf.DUMMYFUNCTION("""COMPUTED_VALUE"""),18036.0)</f>
        <v>18036</v>
      </c>
    </row>
    <row r="665">
      <c r="A665" s="2">
        <f>IFERROR(__xludf.DUMMYFUNCTION("""COMPUTED_VALUE"""),41893.645833333336)</f>
        <v>41893.64583</v>
      </c>
      <c r="B665" s="1">
        <f>IFERROR(__xludf.DUMMYFUNCTION("""COMPUTED_VALUE"""),5490.0)</f>
        <v>5490</v>
      </c>
      <c r="C665" s="1">
        <f>IFERROR(__xludf.DUMMYFUNCTION("""COMPUTED_VALUE"""),5660.0)</f>
        <v>5660</v>
      </c>
      <c r="D665" s="1">
        <f>IFERROR(__xludf.DUMMYFUNCTION("""COMPUTED_VALUE"""),5490.0)</f>
        <v>5490</v>
      </c>
      <c r="E665" s="1">
        <f>IFERROR(__xludf.DUMMYFUNCTION("""COMPUTED_VALUE"""),5600.0)</f>
        <v>5600</v>
      </c>
      <c r="F665" s="1">
        <f>IFERROR(__xludf.DUMMYFUNCTION("""COMPUTED_VALUE"""),43560.0)</f>
        <v>43560</v>
      </c>
    </row>
    <row r="666">
      <c r="A666" s="2">
        <f>IFERROR(__xludf.DUMMYFUNCTION("""COMPUTED_VALUE"""),41894.645833333336)</f>
        <v>41894.64583</v>
      </c>
      <c r="B666" s="1">
        <f>IFERROR(__xludf.DUMMYFUNCTION("""COMPUTED_VALUE"""),5600.0)</f>
        <v>5600</v>
      </c>
      <c r="C666" s="1">
        <f>IFERROR(__xludf.DUMMYFUNCTION("""COMPUTED_VALUE"""),5650.0)</f>
        <v>5650</v>
      </c>
      <c r="D666" s="1">
        <f>IFERROR(__xludf.DUMMYFUNCTION("""COMPUTED_VALUE"""),5520.0)</f>
        <v>5520</v>
      </c>
      <c r="E666" s="1">
        <f>IFERROR(__xludf.DUMMYFUNCTION("""COMPUTED_VALUE"""),5560.0)</f>
        <v>5560</v>
      </c>
      <c r="F666" s="1">
        <f>IFERROR(__xludf.DUMMYFUNCTION("""COMPUTED_VALUE"""),19317.0)</f>
        <v>19317</v>
      </c>
    </row>
    <row r="667">
      <c r="A667" s="2">
        <f>IFERROR(__xludf.DUMMYFUNCTION("""COMPUTED_VALUE"""),41897.645833333336)</f>
        <v>41897.64583</v>
      </c>
      <c r="B667" s="1">
        <f>IFERROR(__xludf.DUMMYFUNCTION("""COMPUTED_VALUE"""),5570.0)</f>
        <v>5570</v>
      </c>
      <c r="C667" s="1">
        <f>IFERROR(__xludf.DUMMYFUNCTION("""COMPUTED_VALUE"""),5570.0)</f>
        <v>5570</v>
      </c>
      <c r="D667" s="1">
        <f>IFERROR(__xludf.DUMMYFUNCTION("""COMPUTED_VALUE"""),5480.0)</f>
        <v>5480</v>
      </c>
      <c r="E667" s="1">
        <f>IFERROR(__xludf.DUMMYFUNCTION("""COMPUTED_VALUE"""),5500.0)</f>
        <v>5500</v>
      </c>
      <c r="F667" s="1">
        <f>IFERROR(__xludf.DUMMYFUNCTION("""COMPUTED_VALUE"""),21124.0)</f>
        <v>21124</v>
      </c>
    </row>
    <row r="668">
      <c r="A668" s="2">
        <f>IFERROR(__xludf.DUMMYFUNCTION("""COMPUTED_VALUE"""),41898.645833333336)</f>
        <v>41898.64583</v>
      </c>
      <c r="B668" s="1">
        <f>IFERROR(__xludf.DUMMYFUNCTION("""COMPUTED_VALUE"""),5500.0)</f>
        <v>5500</v>
      </c>
      <c r="C668" s="1">
        <f>IFERROR(__xludf.DUMMYFUNCTION("""COMPUTED_VALUE"""),5590.0)</f>
        <v>5590</v>
      </c>
      <c r="D668" s="1">
        <f>IFERROR(__xludf.DUMMYFUNCTION("""COMPUTED_VALUE"""),5490.0)</f>
        <v>5490</v>
      </c>
      <c r="E668" s="1">
        <f>IFERROR(__xludf.DUMMYFUNCTION("""COMPUTED_VALUE"""),5560.0)</f>
        <v>5560</v>
      </c>
      <c r="F668" s="1">
        <f>IFERROR(__xludf.DUMMYFUNCTION("""COMPUTED_VALUE"""),21067.0)</f>
        <v>21067</v>
      </c>
    </row>
    <row r="669">
      <c r="A669" s="2">
        <f>IFERROR(__xludf.DUMMYFUNCTION("""COMPUTED_VALUE"""),41899.645833333336)</f>
        <v>41899.64583</v>
      </c>
      <c r="B669" s="1">
        <f>IFERROR(__xludf.DUMMYFUNCTION("""COMPUTED_VALUE"""),5570.0)</f>
        <v>5570</v>
      </c>
      <c r="C669" s="1">
        <f>IFERROR(__xludf.DUMMYFUNCTION("""COMPUTED_VALUE"""),5590.0)</f>
        <v>5590</v>
      </c>
      <c r="D669" s="1">
        <f>IFERROR(__xludf.DUMMYFUNCTION("""COMPUTED_VALUE"""),5480.0)</f>
        <v>5480</v>
      </c>
      <c r="E669" s="1">
        <f>IFERROR(__xludf.DUMMYFUNCTION("""COMPUTED_VALUE"""),5510.0)</f>
        <v>5510</v>
      </c>
      <c r="F669" s="1">
        <f>IFERROR(__xludf.DUMMYFUNCTION("""COMPUTED_VALUE"""),29165.0)</f>
        <v>29165</v>
      </c>
    </row>
    <row r="670">
      <c r="A670" s="2">
        <f>IFERROR(__xludf.DUMMYFUNCTION("""COMPUTED_VALUE"""),41900.645833333336)</f>
        <v>41900.64583</v>
      </c>
      <c r="B670" s="1">
        <f>IFERROR(__xludf.DUMMYFUNCTION("""COMPUTED_VALUE"""),5540.0)</f>
        <v>5540</v>
      </c>
      <c r="C670" s="1">
        <f>IFERROR(__xludf.DUMMYFUNCTION("""COMPUTED_VALUE"""),5560.0)</f>
        <v>5560</v>
      </c>
      <c r="D670" s="1">
        <f>IFERROR(__xludf.DUMMYFUNCTION("""COMPUTED_VALUE"""),5460.0)</f>
        <v>5460</v>
      </c>
      <c r="E670" s="1">
        <f>IFERROR(__xludf.DUMMYFUNCTION("""COMPUTED_VALUE"""),5480.0)</f>
        <v>5480</v>
      </c>
      <c r="F670" s="1">
        <f>IFERROR(__xludf.DUMMYFUNCTION("""COMPUTED_VALUE"""),24671.0)</f>
        <v>24671</v>
      </c>
    </row>
    <row r="671">
      <c r="A671" s="2">
        <f>IFERROR(__xludf.DUMMYFUNCTION("""COMPUTED_VALUE"""),41901.645833333336)</f>
        <v>41901.64583</v>
      </c>
      <c r="B671" s="1">
        <f>IFERROR(__xludf.DUMMYFUNCTION("""COMPUTED_VALUE"""),5470.0)</f>
        <v>5470</v>
      </c>
      <c r="C671" s="1">
        <f>IFERROR(__xludf.DUMMYFUNCTION("""COMPUTED_VALUE"""),5530.0)</f>
        <v>5530</v>
      </c>
      <c r="D671" s="1">
        <f>IFERROR(__xludf.DUMMYFUNCTION("""COMPUTED_VALUE"""),5330.0)</f>
        <v>5330</v>
      </c>
      <c r="E671" s="1">
        <f>IFERROR(__xludf.DUMMYFUNCTION("""COMPUTED_VALUE"""),5380.0)</f>
        <v>5380</v>
      </c>
      <c r="F671" s="1">
        <f>IFERROR(__xludf.DUMMYFUNCTION("""COMPUTED_VALUE"""),55275.0)</f>
        <v>55275</v>
      </c>
    </row>
    <row r="672">
      <c r="A672" s="2">
        <f>IFERROR(__xludf.DUMMYFUNCTION("""COMPUTED_VALUE"""),41904.645833333336)</f>
        <v>41904.64583</v>
      </c>
      <c r="B672" s="1">
        <f>IFERROR(__xludf.DUMMYFUNCTION("""COMPUTED_VALUE"""),5370.0)</f>
        <v>5370</v>
      </c>
      <c r="C672" s="1">
        <f>IFERROR(__xludf.DUMMYFUNCTION("""COMPUTED_VALUE"""),5430.0)</f>
        <v>5430</v>
      </c>
      <c r="D672" s="1">
        <f>IFERROR(__xludf.DUMMYFUNCTION("""COMPUTED_VALUE"""),5370.0)</f>
        <v>5370</v>
      </c>
      <c r="E672" s="1">
        <f>IFERROR(__xludf.DUMMYFUNCTION("""COMPUTED_VALUE"""),5420.0)</f>
        <v>5420</v>
      </c>
      <c r="F672" s="1">
        <f>IFERROR(__xludf.DUMMYFUNCTION("""COMPUTED_VALUE"""),20173.0)</f>
        <v>20173</v>
      </c>
    </row>
    <row r="673">
      <c r="A673" s="2">
        <f>IFERROR(__xludf.DUMMYFUNCTION("""COMPUTED_VALUE"""),41905.645833333336)</f>
        <v>41905.64583</v>
      </c>
      <c r="B673" s="1">
        <f>IFERROR(__xludf.DUMMYFUNCTION("""COMPUTED_VALUE"""),5420.0)</f>
        <v>5420</v>
      </c>
      <c r="C673" s="1">
        <f>IFERROR(__xludf.DUMMYFUNCTION("""COMPUTED_VALUE"""),5450.0)</f>
        <v>5450</v>
      </c>
      <c r="D673" s="1">
        <f>IFERROR(__xludf.DUMMYFUNCTION("""COMPUTED_VALUE"""),5370.0)</f>
        <v>5370</v>
      </c>
      <c r="E673" s="1">
        <f>IFERROR(__xludf.DUMMYFUNCTION("""COMPUTED_VALUE"""),5390.0)</f>
        <v>5390</v>
      </c>
      <c r="F673" s="1">
        <f>IFERROR(__xludf.DUMMYFUNCTION("""COMPUTED_VALUE"""),12096.0)</f>
        <v>12096</v>
      </c>
    </row>
    <row r="674">
      <c r="A674" s="2">
        <f>IFERROR(__xludf.DUMMYFUNCTION("""COMPUTED_VALUE"""),41906.645833333336)</f>
        <v>41906.64583</v>
      </c>
      <c r="B674" s="1">
        <f>IFERROR(__xludf.DUMMYFUNCTION("""COMPUTED_VALUE"""),5420.0)</f>
        <v>5420</v>
      </c>
      <c r="C674" s="1">
        <f>IFERROR(__xludf.DUMMYFUNCTION("""COMPUTED_VALUE"""),5420.0)</f>
        <v>5420</v>
      </c>
      <c r="D674" s="1">
        <f>IFERROR(__xludf.DUMMYFUNCTION("""COMPUTED_VALUE"""),5340.0)</f>
        <v>5340</v>
      </c>
      <c r="E674" s="1">
        <f>IFERROR(__xludf.DUMMYFUNCTION("""COMPUTED_VALUE"""),5380.0)</f>
        <v>5380</v>
      </c>
      <c r="F674" s="1">
        <f>IFERROR(__xludf.DUMMYFUNCTION("""COMPUTED_VALUE"""),17938.0)</f>
        <v>17938</v>
      </c>
    </row>
    <row r="675">
      <c r="A675" s="2">
        <f>IFERROR(__xludf.DUMMYFUNCTION("""COMPUTED_VALUE"""),41907.645833333336)</f>
        <v>41907.64583</v>
      </c>
      <c r="B675" s="1">
        <f>IFERROR(__xludf.DUMMYFUNCTION("""COMPUTED_VALUE"""),5400.0)</f>
        <v>5400</v>
      </c>
      <c r="C675" s="1">
        <f>IFERROR(__xludf.DUMMYFUNCTION("""COMPUTED_VALUE"""),5570.0)</f>
        <v>5570</v>
      </c>
      <c r="D675" s="1">
        <f>IFERROR(__xludf.DUMMYFUNCTION("""COMPUTED_VALUE"""),5400.0)</f>
        <v>5400</v>
      </c>
      <c r="E675" s="1">
        <f>IFERROR(__xludf.DUMMYFUNCTION("""COMPUTED_VALUE"""),5510.0)</f>
        <v>5510</v>
      </c>
      <c r="F675" s="1">
        <f>IFERROR(__xludf.DUMMYFUNCTION("""COMPUTED_VALUE"""),35697.0)</f>
        <v>35697</v>
      </c>
    </row>
    <row r="676">
      <c r="A676" s="2">
        <f>IFERROR(__xludf.DUMMYFUNCTION("""COMPUTED_VALUE"""),41908.645833333336)</f>
        <v>41908.64583</v>
      </c>
      <c r="B676" s="1">
        <f>IFERROR(__xludf.DUMMYFUNCTION("""COMPUTED_VALUE"""),5570.0)</f>
        <v>5570</v>
      </c>
      <c r="C676" s="1">
        <f>IFERROR(__xludf.DUMMYFUNCTION("""COMPUTED_VALUE"""),5640.0)</f>
        <v>5640</v>
      </c>
      <c r="D676" s="1">
        <f>IFERROR(__xludf.DUMMYFUNCTION("""COMPUTED_VALUE"""),5500.0)</f>
        <v>5500</v>
      </c>
      <c r="E676" s="1">
        <f>IFERROR(__xludf.DUMMYFUNCTION("""COMPUTED_VALUE"""),5550.0)</f>
        <v>5550</v>
      </c>
      <c r="F676" s="1">
        <f>IFERROR(__xludf.DUMMYFUNCTION("""COMPUTED_VALUE"""),27039.0)</f>
        <v>27039</v>
      </c>
    </row>
    <row r="677">
      <c r="A677" s="2">
        <f>IFERROR(__xludf.DUMMYFUNCTION("""COMPUTED_VALUE"""),41911.645833333336)</f>
        <v>41911.64583</v>
      </c>
      <c r="B677" s="1">
        <f>IFERROR(__xludf.DUMMYFUNCTION("""COMPUTED_VALUE"""),5660.0)</f>
        <v>5660</v>
      </c>
      <c r="C677" s="1">
        <f>IFERROR(__xludf.DUMMYFUNCTION("""COMPUTED_VALUE"""),5660.0)</f>
        <v>5660</v>
      </c>
      <c r="D677" s="1">
        <f>IFERROR(__xludf.DUMMYFUNCTION("""COMPUTED_VALUE"""),5480.0)</f>
        <v>5480</v>
      </c>
      <c r="E677" s="1">
        <f>IFERROR(__xludf.DUMMYFUNCTION("""COMPUTED_VALUE"""),5490.0)</f>
        <v>5490</v>
      </c>
      <c r="F677" s="1">
        <f>IFERROR(__xludf.DUMMYFUNCTION("""COMPUTED_VALUE"""),17594.0)</f>
        <v>17594</v>
      </c>
    </row>
    <row r="678">
      <c r="A678" s="2">
        <f>IFERROR(__xludf.DUMMYFUNCTION("""COMPUTED_VALUE"""),41912.645833333336)</f>
        <v>41912.64583</v>
      </c>
      <c r="B678" s="1">
        <f>IFERROR(__xludf.DUMMYFUNCTION("""COMPUTED_VALUE"""),5490.0)</f>
        <v>5490</v>
      </c>
      <c r="C678" s="1">
        <f>IFERROR(__xludf.DUMMYFUNCTION("""COMPUTED_VALUE"""),5520.0)</f>
        <v>5520</v>
      </c>
      <c r="D678" s="1">
        <f>IFERROR(__xludf.DUMMYFUNCTION("""COMPUTED_VALUE"""),5360.0)</f>
        <v>5360</v>
      </c>
      <c r="E678" s="1">
        <f>IFERROR(__xludf.DUMMYFUNCTION("""COMPUTED_VALUE"""),5390.0)</f>
        <v>5390</v>
      </c>
      <c r="F678" s="1">
        <f>IFERROR(__xludf.DUMMYFUNCTION("""COMPUTED_VALUE"""),26343.0)</f>
        <v>26343</v>
      </c>
    </row>
    <row r="679">
      <c r="A679" s="2">
        <f>IFERROR(__xludf.DUMMYFUNCTION("""COMPUTED_VALUE"""),41913.645833333336)</f>
        <v>41913.64583</v>
      </c>
      <c r="B679" s="1">
        <f>IFERROR(__xludf.DUMMYFUNCTION("""COMPUTED_VALUE"""),5440.0)</f>
        <v>5440</v>
      </c>
      <c r="C679" s="1">
        <f>IFERROR(__xludf.DUMMYFUNCTION("""COMPUTED_VALUE"""),5490.0)</f>
        <v>5490</v>
      </c>
      <c r="D679" s="1">
        <f>IFERROR(__xludf.DUMMYFUNCTION("""COMPUTED_VALUE"""),5350.0)</f>
        <v>5350</v>
      </c>
      <c r="E679" s="1">
        <f>IFERROR(__xludf.DUMMYFUNCTION("""COMPUTED_VALUE"""),5380.0)</f>
        <v>5380</v>
      </c>
      <c r="F679" s="1">
        <f>IFERROR(__xludf.DUMMYFUNCTION("""COMPUTED_VALUE"""),23904.0)</f>
        <v>23904</v>
      </c>
    </row>
    <row r="680">
      <c r="A680" s="2">
        <f>IFERROR(__xludf.DUMMYFUNCTION("""COMPUTED_VALUE"""),41914.645833333336)</f>
        <v>41914.64583</v>
      </c>
      <c r="B680" s="1">
        <f>IFERROR(__xludf.DUMMYFUNCTION("""COMPUTED_VALUE"""),5380.0)</f>
        <v>5380</v>
      </c>
      <c r="C680" s="1">
        <f>IFERROR(__xludf.DUMMYFUNCTION("""COMPUTED_VALUE"""),5380.0)</f>
        <v>5380</v>
      </c>
      <c r="D680" s="1">
        <f>IFERROR(__xludf.DUMMYFUNCTION("""COMPUTED_VALUE"""),5200.0)</f>
        <v>5200</v>
      </c>
      <c r="E680" s="1">
        <f>IFERROR(__xludf.DUMMYFUNCTION("""COMPUTED_VALUE"""),5260.0)</f>
        <v>5260</v>
      </c>
      <c r="F680" s="1">
        <f>IFERROR(__xludf.DUMMYFUNCTION("""COMPUTED_VALUE"""),33966.0)</f>
        <v>33966</v>
      </c>
    </row>
    <row r="681">
      <c r="A681" s="2">
        <f>IFERROR(__xludf.DUMMYFUNCTION("""COMPUTED_VALUE"""),41918.645833333336)</f>
        <v>41918.64583</v>
      </c>
      <c r="B681" s="1">
        <f>IFERROR(__xludf.DUMMYFUNCTION("""COMPUTED_VALUE"""),5400.0)</f>
        <v>5400</v>
      </c>
      <c r="C681" s="1">
        <f>IFERROR(__xludf.DUMMYFUNCTION("""COMPUTED_VALUE"""),5570.0)</f>
        <v>5570</v>
      </c>
      <c r="D681" s="1">
        <f>IFERROR(__xludf.DUMMYFUNCTION("""COMPUTED_VALUE"""),5310.0)</f>
        <v>5310</v>
      </c>
      <c r="E681" s="1">
        <f>IFERROR(__xludf.DUMMYFUNCTION("""COMPUTED_VALUE"""),5380.0)</f>
        <v>5380</v>
      </c>
      <c r="F681" s="1">
        <f>IFERROR(__xludf.DUMMYFUNCTION("""COMPUTED_VALUE"""),21362.0)</f>
        <v>21362</v>
      </c>
    </row>
    <row r="682">
      <c r="A682" s="2">
        <f>IFERROR(__xludf.DUMMYFUNCTION("""COMPUTED_VALUE"""),41919.645833333336)</f>
        <v>41919.64583</v>
      </c>
      <c r="B682" s="1">
        <f>IFERROR(__xludf.DUMMYFUNCTION("""COMPUTED_VALUE"""),5390.0)</f>
        <v>5390</v>
      </c>
      <c r="C682" s="1">
        <f>IFERROR(__xludf.DUMMYFUNCTION("""COMPUTED_VALUE"""),5390.0)</f>
        <v>5390</v>
      </c>
      <c r="D682" s="1">
        <f>IFERROR(__xludf.DUMMYFUNCTION("""COMPUTED_VALUE"""),4930.0)</f>
        <v>4930</v>
      </c>
      <c r="E682" s="1">
        <f>IFERROR(__xludf.DUMMYFUNCTION("""COMPUTED_VALUE"""),5120.0)</f>
        <v>5120</v>
      </c>
      <c r="F682" s="1">
        <f>IFERROR(__xludf.DUMMYFUNCTION("""COMPUTED_VALUE"""),29730.0)</f>
        <v>29730</v>
      </c>
    </row>
    <row r="683">
      <c r="A683" s="2">
        <f>IFERROR(__xludf.DUMMYFUNCTION("""COMPUTED_VALUE"""),41920.645833333336)</f>
        <v>41920.64583</v>
      </c>
      <c r="B683" s="1">
        <f>IFERROR(__xludf.DUMMYFUNCTION("""COMPUTED_VALUE"""),5290.0)</f>
        <v>5290</v>
      </c>
      <c r="C683" s="1">
        <f>IFERROR(__xludf.DUMMYFUNCTION("""COMPUTED_VALUE"""),5400.0)</f>
        <v>5400</v>
      </c>
      <c r="D683" s="1">
        <f>IFERROR(__xludf.DUMMYFUNCTION("""COMPUTED_VALUE"""),5110.0)</f>
        <v>5110</v>
      </c>
      <c r="E683" s="1">
        <f>IFERROR(__xludf.DUMMYFUNCTION("""COMPUTED_VALUE"""),5350.0)</f>
        <v>5350</v>
      </c>
      <c r="F683" s="1">
        <f>IFERROR(__xludf.DUMMYFUNCTION("""COMPUTED_VALUE"""),10173.0)</f>
        <v>10173</v>
      </c>
    </row>
    <row r="684">
      <c r="A684" s="2">
        <f>IFERROR(__xludf.DUMMYFUNCTION("""COMPUTED_VALUE"""),41922.645833333336)</f>
        <v>41922.64583</v>
      </c>
      <c r="B684" s="1">
        <f>IFERROR(__xludf.DUMMYFUNCTION("""COMPUTED_VALUE"""),5340.0)</f>
        <v>5340</v>
      </c>
      <c r="C684" s="1">
        <f>IFERROR(__xludf.DUMMYFUNCTION("""COMPUTED_VALUE"""),5340.0)</f>
        <v>5340</v>
      </c>
      <c r="D684" s="1">
        <f>IFERROR(__xludf.DUMMYFUNCTION("""COMPUTED_VALUE"""),5150.0)</f>
        <v>5150</v>
      </c>
      <c r="E684" s="1">
        <f>IFERROR(__xludf.DUMMYFUNCTION("""COMPUTED_VALUE"""),5210.0)</f>
        <v>5210</v>
      </c>
      <c r="F684" s="1">
        <f>IFERROR(__xludf.DUMMYFUNCTION("""COMPUTED_VALUE"""),7531.0)</f>
        <v>7531</v>
      </c>
    </row>
    <row r="685">
      <c r="A685" s="2">
        <f>IFERROR(__xludf.DUMMYFUNCTION("""COMPUTED_VALUE"""),41925.645833333336)</f>
        <v>41925.64583</v>
      </c>
      <c r="B685" s="1">
        <f>IFERROR(__xludf.DUMMYFUNCTION("""COMPUTED_VALUE"""),5150.0)</f>
        <v>5150</v>
      </c>
      <c r="C685" s="1">
        <f>IFERROR(__xludf.DUMMYFUNCTION("""COMPUTED_VALUE"""),5150.0)</f>
        <v>5150</v>
      </c>
      <c r="D685" s="1">
        <f>IFERROR(__xludf.DUMMYFUNCTION("""COMPUTED_VALUE"""),4870.0)</f>
        <v>4870</v>
      </c>
      <c r="E685" s="1">
        <f>IFERROR(__xludf.DUMMYFUNCTION("""COMPUTED_VALUE"""),4950.0)</f>
        <v>4950</v>
      </c>
      <c r="F685" s="1">
        <f>IFERROR(__xludf.DUMMYFUNCTION("""COMPUTED_VALUE"""),49984.0)</f>
        <v>49984</v>
      </c>
    </row>
    <row r="686">
      <c r="A686" s="2">
        <f>IFERROR(__xludf.DUMMYFUNCTION("""COMPUTED_VALUE"""),41926.645833333336)</f>
        <v>41926.64583</v>
      </c>
      <c r="B686" s="1">
        <f>IFERROR(__xludf.DUMMYFUNCTION("""COMPUTED_VALUE"""),5090.0)</f>
        <v>5090</v>
      </c>
      <c r="C686" s="1">
        <f>IFERROR(__xludf.DUMMYFUNCTION("""COMPUTED_VALUE"""),5090.0)</f>
        <v>5090</v>
      </c>
      <c r="D686" s="1">
        <f>IFERROR(__xludf.DUMMYFUNCTION("""COMPUTED_VALUE"""),4800.0)</f>
        <v>4800</v>
      </c>
      <c r="E686" s="1">
        <f>IFERROR(__xludf.DUMMYFUNCTION("""COMPUTED_VALUE"""),4900.0)</f>
        <v>4900</v>
      </c>
      <c r="F686" s="1">
        <f>IFERROR(__xludf.DUMMYFUNCTION("""COMPUTED_VALUE"""),42792.0)</f>
        <v>42792</v>
      </c>
    </row>
    <row r="687">
      <c r="A687" s="2">
        <f>IFERROR(__xludf.DUMMYFUNCTION("""COMPUTED_VALUE"""),41927.645833333336)</f>
        <v>41927.64583</v>
      </c>
      <c r="B687" s="1">
        <f>IFERROR(__xludf.DUMMYFUNCTION("""COMPUTED_VALUE"""),4900.0)</f>
        <v>4900</v>
      </c>
      <c r="C687" s="1">
        <f>IFERROR(__xludf.DUMMYFUNCTION("""COMPUTED_VALUE"""),5130.0)</f>
        <v>5130</v>
      </c>
      <c r="D687" s="1">
        <f>IFERROR(__xludf.DUMMYFUNCTION("""COMPUTED_VALUE"""),4895.0)</f>
        <v>4895</v>
      </c>
      <c r="E687" s="1">
        <f>IFERROR(__xludf.DUMMYFUNCTION("""COMPUTED_VALUE"""),4970.0)</f>
        <v>4970</v>
      </c>
      <c r="F687" s="1">
        <f>IFERROR(__xludf.DUMMYFUNCTION("""COMPUTED_VALUE"""),13843.0)</f>
        <v>13843</v>
      </c>
    </row>
    <row r="688">
      <c r="A688" s="2">
        <f>IFERROR(__xludf.DUMMYFUNCTION("""COMPUTED_VALUE"""),41928.645833333336)</f>
        <v>41928.64583</v>
      </c>
      <c r="B688" s="1">
        <f>IFERROR(__xludf.DUMMYFUNCTION("""COMPUTED_VALUE"""),4940.0)</f>
        <v>4940</v>
      </c>
      <c r="C688" s="1">
        <f>IFERROR(__xludf.DUMMYFUNCTION("""COMPUTED_VALUE"""),5080.0)</f>
        <v>5080</v>
      </c>
      <c r="D688" s="1">
        <f>IFERROR(__xludf.DUMMYFUNCTION("""COMPUTED_VALUE"""),4860.0)</f>
        <v>4860</v>
      </c>
      <c r="E688" s="1">
        <f>IFERROR(__xludf.DUMMYFUNCTION("""COMPUTED_VALUE"""),4965.0)</f>
        <v>4965</v>
      </c>
      <c r="F688" s="1">
        <f>IFERROR(__xludf.DUMMYFUNCTION("""COMPUTED_VALUE"""),15059.0)</f>
        <v>15059</v>
      </c>
    </row>
    <row r="689">
      <c r="A689" s="2">
        <f>IFERROR(__xludf.DUMMYFUNCTION("""COMPUTED_VALUE"""),41929.645833333336)</f>
        <v>41929.64583</v>
      </c>
      <c r="B689" s="1">
        <f>IFERROR(__xludf.DUMMYFUNCTION("""COMPUTED_VALUE"""),4895.0)</f>
        <v>4895</v>
      </c>
      <c r="C689" s="1">
        <f>IFERROR(__xludf.DUMMYFUNCTION("""COMPUTED_VALUE"""),5000.0)</f>
        <v>5000</v>
      </c>
      <c r="D689" s="1">
        <f>IFERROR(__xludf.DUMMYFUNCTION("""COMPUTED_VALUE"""),4890.0)</f>
        <v>4890</v>
      </c>
      <c r="E689" s="1">
        <f>IFERROR(__xludf.DUMMYFUNCTION("""COMPUTED_VALUE"""),4915.0)</f>
        <v>4915</v>
      </c>
      <c r="F689" s="1">
        <f>IFERROR(__xludf.DUMMYFUNCTION("""COMPUTED_VALUE"""),20627.0)</f>
        <v>20627</v>
      </c>
    </row>
    <row r="690">
      <c r="A690" s="2">
        <f>IFERROR(__xludf.DUMMYFUNCTION("""COMPUTED_VALUE"""),41932.645833333336)</f>
        <v>41932.64583</v>
      </c>
      <c r="B690" s="1">
        <f>IFERROR(__xludf.DUMMYFUNCTION("""COMPUTED_VALUE"""),5000.0)</f>
        <v>5000</v>
      </c>
      <c r="C690" s="1">
        <f>IFERROR(__xludf.DUMMYFUNCTION("""COMPUTED_VALUE"""),5000.0)</f>
        <v>5000</v>
      </c>
      <c r="D690" s="1">
        <f>IFERROR(__xludf.DUMMYFUNCTION("""COMPUTED_VALUE"""),4905.0)</f>
        <v>4905</v>
      </c>
      <c r="E690" s="1">
        <f>IFERROR(__xludf.DUMMYFUNCTION("""COMPUTED_VALUE"""),4930.0)</f>
        <v>4930</v>
      </c>
      <c r="F690" s="1">
        <f>IFERROR(__xludf.DUMMYFUNCTION("""COMPUTED_VALUE"""),21628.0)</f>
        <v>21628</v>
      </c>
    </row>
    <row r="691">
      <c r="A691" s="2">
        <f>IFERROR(__xludf.DUMMYFUNCTION("""COMPUTED_VALUE"""),41933.645833333336)</f>
        <v>41933.64583</v>
      </c>
      <c r="B691" s="1">
        <f>IFERROR(__xludf.DUMMYFUNCTION("""COMPUTED_VALUE"""),4900.0)</f>
        <v>4900</v>
      </c>
      <c r="C691" s="1">
        <f>IFERROR(__xludf.DUMMYFUNCTION("""COMPUTED_VALUE"""),4925.0)</f>
        <v>4925</v>
      </c>
      <c r="D691" s="1">
        <f>IFERROR(__xludf.DUMMYFUNCTION("""COMPUTED_VALUE"""),4890.0)</f>
        <v>4890</v>
      </c>
      <c r="E691" s="1">
        <f>IFERROR(__xludf.DUMMYFUNCTION("""COMPUTED_VALUE"""),4900.0)</f>
        <v>4900</v>
      </c>
      <c r="F691" s="1">
        <f>IFERROR(__xludf.DUMMYFUNCTION("""COMPUTED_VALUE"""),23961.0)</f>
        <v>23961</v>
      </c>
    </row>
    <row r="692">
      <c r="A692" s="2">
        <f>IFERROR(__xludf.DUMMYFUNCTION("""COMPUTED_VALUE"""),41934.645833333336)</f>
        <v>41934.64583</v>
      </c>
      <c r="B692" s="1">
        <f>IFERROR(__xludf.DUMMYFUNCTION("""COMPUTED_VALUE"""),4900.0)</f>
        <v>4900</v>
      </c>
      <c r="C692" s="1">
        <f>IFERROR(__xludf.DUMMYFUNCTION("""COMPUTED_VALUE"""),4930.0)</f>
        <v>4930</v>
      </c>
      <c r="D692" s="1">
        <f>IFERROR(__xludf.DUMMYFUNCTION("""COMPUTED_VALUE"""),4870.0)</f>
        <v>4870</v>
      </c>
      <c r="E692" s="1">
        <f>IFERROR(__xludf.DUMMYFUNCTION("""COMPUTED_VALUE"""),4900.0)</f>
        <v>4900</v>
      </c>
      <c r="F692" s="1">
        <f>IFERROR(__xludf.DUMMYFUNCTION("""COMPUTED_VALUE"""),16000.0)</f>
        <v>16000</v>
      </c>
    </row>
    <row r="693">
      <c r="A693" s="2">
        <f>IFERROR(__xludf.DUMMYFUNCTION("""COMPUTED_VALUE"""),41935.645833333336)</f>
        <v>41935.64583</v>
      </c>
      <c r="B693" s="1">
        <f>IFERROR(__xludf.DUMMYFUNCTION("""COMPUTED_VALUE"""),4900.0)</f>
        <v>4900</v>
      </c>
      <c r="C693" s="1">
        <f>IFERROR(__xludf.DUMMYFUNCTION("""COMPUTED_VALUE"""),4930.0)</f>
        <v>4930</v>
      </c>
      <c r="D693" s="1">
        <f>IFERROR(__xludf.DUMMYFUNCTION("""COMPUTED_VALUE"""),4895.0)</f>
        <v>4895</v>
      </c>
      <c r="E693" s="1">
        <f>IFERROR(__xludf.DUMMYFUNCTION("""COMPUTED_VALUE"""),4925.0)</f>
        <v>4925</v>
      </c>
      <c r="F693" s="1">
        <f>IFERROR(__xludf.DUMMYFUNCTION("""COMPUTED_VALUE"""),12211.0)</f>
        <v>12211</v>
      </c>
    </row>
    <row r="694">
      <c r="A694" s="2">
        <f>IFERROR(__xludf.DUMMYFUNCTION("""COMPUTED_VALUE"""),41936.645833333336)</f>
        <v>41936.64583</v>
      </c>
      <c r="B694" s="1">
        <f>IFERROR(__xludf.DUMMYFUNCTION("""COMPUTED_VALUE"""),4900.0)</f>
        <v>4900</v>
      </c>
      <c r="C694" s="1">
        <f>IFERROR(__xludf.DUMMYFUNCTION("""COMPUTED_VALUE"""),4940.0)</f>
        <v>4940</v>
      </c>
      <c r="D694" s="1">
        <f>IFERROR(__xludf.DUMMYFUNCTION("""COMPUTED_VALUE"""),4870.0)</f>
        <v>4870</v>
      </c>
      <c r="E694" s="1">
        <f>IFERROR(__xludf.DUMMYFUNCTION("""COMPUTED_VALUE"""),4885.0)</f>
        <v>4885</v>
      </c>
      <c r="F694" s="1">
        <f>IFERROR(__xludf.DUMMYFUNCTION("""COMPUTED_VALUE"""),39063.0)</f>
        <v>39063</v>
      </c>
    </row>
    <row r="695">
      <c r="A695" s="2">
        <f>IFERROR(__xludf.DUMMYFUNCTION("""COMPUTED_VALUE"""),41939.645833333336)</f>
        <v>41939.64583</v>
      </c>
      <c r="B695" s="1">
        <f>IFERROR(__xludf.DUMMYFUNCTION("""COMPUTED_VALUE"""),4900.0)</f>
        <v>4900</v>
      </c>
      <c r="C695" s="1">
        <f>IFERROR(__xludf.DUMMYFUNCTION("""COMPUTED_VALUE"""),4985.0)</f>
        <v>4985</v>
      </c>
      <c r="D695" s="1">
        <f>IFERROR(__xludf.DUMMYFUNCTION("""COMPUTED_VALUE"""),4885.0)</f>
        <v>4885</v>
      </c>
      <c r="E695" s="1">
        <f>IFERROR(__xludf.DUMMYFUNCTION("""COMPUTED_VALUE"""),4925.0)</f>
        <v>4925</v>
      </c>
      <c r="F695" s="1">
        <f>IFERROR(__xludf.DUMMYFUNCTION("""COMPUTED_VALUE"""),13227.0)</f>
        <v>13227</v>
      </c>
    </row>
    <row r="696">
      <c r="A696" s="2">
        <f>IFERROR(__xludf.DUMMYFUNCTION("""COMPUTED_VALUE"""),41940.645833333336)</f>
        <v>41940.64583</v>
      </c>
      <c r="B696" s="1">
        <f>IFERROR(__xludf.DUMMYFUNCTION("""COMPUTED_VALUE"""),4900.0)</f>
        <v>4900</v>
      </c>
      <c r="C696" s="1">
        <f>IFERROR(__xludf.DUMMYFUNCTION("""COMPUTED_VALUE"""),4930.0)</f>
        <v>4930</v>
      </c>
      <c r="D696" s="1">
        <f>IFERROR(__xludf.DUMMYFUNCTION("""COMPUTED_VALUE"""),4875.0)</f>
        <v>4875</v>
      </c>
      <c r="E696" s="1">
        <f>IFERROR(__xludf.DUMMYFUNCTION("""COMPUTED_VALUE"""),4900.0)</f>
        <v>4900</v>
      </c>
      <c r="F696" s="1">
        <f>IFERROR(__xludf.DUMMYFUNCTION("""COMPUTED_VALUE"""),12286.0)</f>
        <v>12286</v>
      </c>
    </row>
    <row r="697">
      <c r="A697" s="2">
        <f>IFERROR(__xludf.DUMMYFUNCTION("""COMPUTED_VALUE"""),41941.645833333336)</f>
        <v>41941.64583</v>
      </c>
      <c r="B697" s="1">
        <f>IFERROR(__xludf.DUMMYFUNCTION("""COMPUTED_VALUE"""),4900.0)</f>
        <v>4900</v>
      </c>
      <c r="C697" s="1">
        <f>IFERROR(__xludf.DUMMYFUNCTION("""COMPUTED_VALUE"""),4940.0)</f>
        <v>4940</v>
      </c>
      <c r="D697" s="1">
        <f>IFERROR(__xludf.DUMMYFUNCTION("""COMPUTED_VALUE"""),4880.0)</f>
        <v>4880</v>
      </c>
      <c r="E697" s="1">
        <f>IFERROR(__xludf.DUMMYFUNCTION("""COMPUTED_VALUE"""),4900.0)</f>
        <v>4900</v>
      </c>
      <c r="F697" s="1">
        <f>IFERROR(__xludf.DUMMYFUNCTION("""COMPUTED_VALUE"""),25280.0)</f>
        <v>25280</v>
      </c>
    </row>
    <row r="698">
      <c r="A698" s="2">
        <f>IFERROR(__xludf.DUMMYFUNCTION("""COMPUTED_VALUE"""),41942.645833333336)</f>
        <v>41942.64583</v>
      </c>
      <c r="B698" s="1">
        <f>IFERROR(__xludf.DUMMYFUNCTION("""COMPUTED_VALUE"""),4900.0)</f>
        <v>4900</v>
      </c>
      <c r="C698" s="1">
        <f>IFERROR(__xludf.DUMMYFUNCTION("""COMPUTED_VALUE"""),4925.0)</f>
        <v>4925</v>
      </c>
      <c r="D698" s="1">
        <f>IFERROR(__xludf.DUMMYFUNCTION("""COMPUTED_VALUE"""),4880.0)</f>
        <v>4880</v>
      </c>
      <c r="E698" s="1">
        <f>IFERROR(__xludf.DUMMYFUNCTION("""COMPUTED_VALUE"""),4900.0)</f>
        <v>4900</v>
      </c>
      <c r="F698" s="1">
        <f>IFERROR(__xludf.DUMMYFUNCTION("""COMPUTED_VALUE"""),22882.0)</f>
        <v>22882</v>
      </c>
    </row>
    <row r="699">
      <c r="A699" s="2">
        <f>IFERROR(__xludf.DUMMYFUNCTION("""COMPUTED_VALUE"""),41943.645833333336)</f>
        <v>41943.64583</v>
      </c>
      <c r="B699" s="1">
        <f>IFERROR(__xludf.DUMMYFUNCTION("""COMPUTED_VALUE"""),4900.0)</f>
        <v>4900</v>
      </c>
      <c r="C699" s="1">
        <f>IFERROR(__xludf.DUMMYFUNCTION("""COMPUTED_VALUE"""),4915.0)</f>
        <v>4915</v>
      </c>
      <c r="D699" s="1">
        <f>IFERROR(__xludf.DUMMYFUNCTION("""COMPUTED_VALUE"""),4875.0)</f>
        <v>4875</v>
      </c>
      <c r="E699" s="1">
        <f>IFERROR(__xludf.DUMMYFUNCTION("""COMPUTED_VALUE"""),4895.0)</f>
        <v>4895</v>
      </c>
      <c r="F699" s="1">
        <f>IFERROR(__xludf.DUMMYFUNCTION("""COMPUTED_VALUE"""),26974.0)</f>
        <v>26974</v>
      </c>
    </row>
    <row r="700">
      <c r="A700" s="2">
        <f>IFERROR(__xludf.DUMMYFUNCTION("""COMPUTED_VALUE"""),41946.645833333336)</f>
        <v>41946.64583</v>
      </c>
      <c r="B700" s="1">
        <f>IFERROR(__xludf.DUMMYFUNCTION("""COMPUTED_VALUE"""),4900.0)</f>
        <v>4900</v>
      </c>
      <c r="C700" s="1">
        <f>IFERROR(__xludf.DUMMYFUNCTION("""COMPUTED_VALUE"""),4920.0)</f>
        <v>4920</v>
      </c>
      <c r="D700" s="1">
        <f>IFERROR(__xludf.DUMMYFUNCTION("""COMPUTED_VALUE"""),4895.0)</f>
        <v>4895</v>
      </c>
      <c r="E700" s="1">
        <f>IFERROR(__xludf.DUMMYFUNCTION("""COMPUTED_VALUE"""),4900.0)</f>
        <v>4900</v>
      </c>
      <c r="F700" s="1">
        <f>IFERROR(__xludf.DUMMYFUNCTION("""COMPUTED_VALUE"""),16509.0)</f>
        <v>16509</v>
      </c>
    </row>
    <row r="701">
      <c r="A701" s="2">
        <f>IFERROR(__xludf.DUMMYFUNCTION("""COMPUTED_VALUE"""),41947.645833333336)</f>
        <v>41947.64583</v>
      </c>
      <c r="B701" s="1">
        <f>IFERROR(__xludf.DUMMYFUNCTION("""COMPUTED_VALUE"""),4945.0)</f>
        <v>4945</v>
      </c>
      <c r="C701" s="1">
        <f>IFERROR(__xludf.DUMMYFUNCTION("""COMPUTED_VALUE"""),4950.0)</f>
        <v>4950</v>
      </c>
      <c r="D701" s="1">
        <f>IFERROR(__xludf.DUMMYFUNCTION("""COMPUTED_VALUE"""),4885.0)</f>
        <v>4885</v>
      </c>
      <c r="E701" s="1">
        <f>IFERROR(__xludf.DUMMYFUNCTION("""COMPUTED_VALUE"""),4925.0)</f>
        <v>4925</v>
      </c>
      <c r="F701" s="1">
        <f>IFERROR(__xludf.DUMMYFUNCTION("""COMPUTED_VALUE"""),11638.0)</f>
        <v>11638</v>
      </c>
    </row>
    <row r="702">
      <c r="A702" s="2">
        <f>IFERROR(__xludf.DUMMYFUNCTION("""COMPUTED_VALUE"""),41948.645833333336)</f>
        <v>41948.64583</v>
      </c>
      <c r="B702" s="1">
        <f>IFERROR(__xludf.DUMMYFUNCTION("""COMPUTED_VALUE"""),4925.0)</f>
        <v>4925</v>
      </c>
      <c r="C702" s="1">
        <f>IFERROR(__xludf.DUMMYFUNCTION("""COMPUTED_VALUE"""),4965.0)</f>
        <v>4965</v>
      </c>
      <c r="D702" s="1">
        <f>IFERROR(__xludf.DUMMYFUNCTION("""COMPUTED_VALUE"""),4900.0)</f>
        <v>4900</v>
      </c>
      <c r="E702" s="1">
        <f>IFERROR(__xludf.DUMMYFUNCTION("""COMPUTED_VALUE"""),4935.0)</f>
        <v>4935</v>
      </c>
      <c r="F702" s="1">
        <f>IFERROR(__xludf.DUMMYFUNCTION("""COMPUTED_VALUE"""),5164.0)</f>
        <v>5164</v>
      </c>
    </row>
    <row r="703">
      <c r="A703" s="2">
        <f>IFERROR(__xludf.DUMMYFUNCTION("""COMPUTED_VALUE"""),41949.645833333336)</f>
        <v>41949.64583</v>
      </c>
      <c r="B703" s="1">
        <f>IFERROR(__xludf.DUMMYFUNCTION("""COMPUTED_VALUE"""),4935.0)</f>
        <v>4935</v>
      </c>
      <c r="C703" s="1">
        <f>IFERROR(__xludf.DUMMYFUNCTION("""COMPUTED_VALUE"""),4935.0)</f>
        <v>4935</v>
      </c>
      <c r="D703" s="1">
        <f>IFERROR(__xludf.DUMMYFUNCTION("""COMPUTED_VALUE"""),4890.0)</f>
        <v>4890</v>
      </c>
      <c r="E703" s="1">
        <f>IFERROR(__xludf.DUMMYFUNCTION("""COMPUTED_VALUE"""),4900.0)</f>
        <v>4900</v>
      </c>
      <c r="F703" s="1">
        <f>IFERROR(__xludf.DUMMYFUNCTION("""COMPUTED_VALUE"""),16361.0)</f>
        <v>16361</v>
      </c>
    </row>
    <row r="704">
      <c r="A704" s="2">
        <f>IFERROR(__xludf.DUMMYFUNCTION("""COMPUTED_VALUE"""),41950.645833333336)</f>
        <v>41950.64583</v>
      </c>
      <c r="B704" s="1">
        <f>IFERROR(__xludf.DUMMYFUNCTION("""COMPUTED_VALUE"""),4935.0)</f>
        <v>4935</v>
      </c>
      <c r="C704" s="1">
        <f>IFERROR(__xludf.DUMMYFUNCTION("""COMPUTED_VALUE"""),4945.0)</f>
        <v>4945</v>
      </c>
      <c r="D704" s="1">
        <f>IFERROR(__xludf.DUMMYFUNCTION("""COMPUTED_VALUE"""),4850.0)</f>
        <v>4850</v>
      </c>
      <c r="E704" s="1">
        <f>IFERROR(__xludf.DUMMYFUNCTION("""COMPUTED_VALUE"""),4940.0)</f>
        <v>4940</v>
      </c>
      <c r="F704" s="1">
        <f>IFERROR(__xludf.DUMMYFUNCTION("""COMPUTED_VALUE"""),7915.0)</f>
        <v>7915</v>
      </c>
    </row>
    <row r="705">
      <c r="A705" s="2">
        <f>IFERROR(__xludf.DUMMYFUNCTION("""COMPUTED_VALUE"""),41953.64583333333)</f>
        <v>41953.64583</v>
      </c>
      <c r="B705" s="1">
        <f>IFERROR(__xludf.DUMMYFUNCTION("""COMPUTED_VALUE"""),4940.0)</f>
        <v>4940</v>
      </c>
      <c r="C705" s="1">
        <f>IFERROR(__xludf.DUMMYFUNCTION("""COMPUTED_VALUE"""),5000.0)</f>
        <v>5000</v>
      </c>
      <c r="D705" s="1">
        <f>IFERROR(__xludf.DUMMYFUNCTION("""COMPUTED_VALUE"""),4910.0)</f>
        <v>4910</v>
      </c>
      <c r="E705" s="1">
        <f>IFERROR(__xludf.DUMMYFUNCTION("""COMPUTED_VALUE"""),4985.0)</f>
        <v>4985</v>
      </c>
      <c r="F705" s="1">
        <f>IFERROR(__xludf.DUMMYFUNCTION("""COMPUTED_VALUE"""),14302.0)</f>
        <v>14302</v>
      </c>
    </row>
    <row r="706">
      <c r="A706" s="2">
        <f>IFERROR(__xludf.DUMMYFUNCTION("""COMPUTED_VALUE"""),41954.64583333333)</f>
        <v>41954.64583</v>
      </c>
      <c r="B706" s="1">
        <f>IFERROR(__xludf.DUMMYFUNCTION("""COMPUTED_VALUE"""),4985.0)</f>
        <v>4985</v>
      </c>
      <c r="C706" s="1">
        <f>IFERROR(__xludf.DUMMYFUNCTION("""COMPUTED_VALUE"""),5080.0)</f>
        <v>5080</v>
      </c>
      <c r="D706" s="1">
        <f>IFERROR(__xludf.DUMMYFUNCTION("""COMPUTED_VALUE"""),4900.0)</f>
        <v>4900</v>
      </c>
      <c r="E706" s="1">
        <f>IFERROR(__xludf.DUMMYFUNCTION("""COMPUTED_VALUE"""),4950.0)</f>
        <v>4950</v>
      </c>
      <c r="F706" s="1">
        <f>IFERROR(__xludf.DUMMYFUNCTION("""COMPUTED_VALUE"""),12537.0)</f>
        <v>12537</v>
      </c>
    </row>
    <row r="707">
      <c r="A707" s="2">
        <f>IFERROR(__xludf.DUMMYFUNCTION("""COMPUTED_VALUE"""),41955.64583333333)</f>
        <v>41955.64583</v>
      </c>
      <c r="B707" s="1">
        <f>IFERROR(__xludf.DUMMYFUNCTION("""COMPUTED_VALUE"""),5040.0)</f>
        <v>5040</v>
      </c>
      <c r="C707" s="1">
        <f>IFERROR(__xludf.DUMMYFUNCTION("""COMPUTED_VALUE"""),5040.0)</f>
        <v>5040</v>
      </c>
      <c r="D707" s="1">
        <f>IFERROR(__xludf.DUMMYFUNCTION("""COMPUTED_VALUE"""),4920.0)</f>
        <v>4920</v>
      </c>
      <c r="E707" s="1">
        <f>IFERROR(__xludf.DUMMYFUNCTION("""COMPUTED_VALUE"""),4980.0)</f>
        <v>4980</v>
      </c>
      <c r="F707" s="1">
        <f>IFERROR(__xludf.DUMMYFUNCTION("""COMPUTED_VALUE"""),5328.0)</f>
        <v>5328</v>
      </c>
    </row>
    <row r="708">
      <c r="A708" s="2">
        <f>IFERROR(__xludf.DUMMYFUNCTION("""COMPUTED_VALUE"""),41956.64583333333)</f>
        <v>41956.64583</v>
      </c>
      <c r="B708" s="1">
        <f>IFERROR(__xludf.DUMMYFUNCTION("""COMPUTED_VALUE"""),4980.0)</f>
        <v>4980</v>
      </c>
      <c r="C708" s="1">
        <f>IFERROR(__xludf.DUMMYFUNCTION("""COMPUTED_VALUE"""),5050.0)</f>
        <v>5050</v>
      </c>
      <c r="D708" s="1">
        <f>IFERROR(__xludf.DUMMYFUNCTION("""COMPUTED_VALUE"""),4955.0)</f>
        <v>4955</v>
      </c>
      <c r="E708" s="1">
        <f>IFERROR(__xludf.DUMMYFUNCTION("""COMPUTED_VALUE"""),5010.0)</f>
        <v>5010</v>
      </c>
      <c r="F708" s="1">
        <f>IFERROR(__xludf.DUMMYFUNCTION("""COMPUTED_VALUE"""),5752.0)</f>
        <v>5752</v>
      </c>
    </row>
    <row r="709">
      <c r="A709" s="2">
        <f>IFERROR(__xludf.DUMMYFUNCTION("""COMPUTED_VALUE"""),41957.64583333333)</f>
        <v>41957.64583</v>
      </c>
      <c r="B709" s="1">
        <f>IFERROR(__xludf.DUMMYFUNCTION("""COMPUTED_VALUE"""),5010.0)</f>
        <v>5010</v>
      </c>
      <c r="C709" s="1">
        <f>IFERROR(__xludf.DUMMYFUNCTION("""COMPUTED_VALUE"""),5010.0)</f>
        <v>5010</v>
      </c>
      <c r="D709" s="1">
        <f>IFERROR(__xludf.DUMMYFUNCTION("""COMPUTED_VALUE"""),4955.0)</f>
        <v>4955</v>
      </c>
      <c r="E709" s="1">
        <f>IFERROR(__xludf.DUMMYFUNCTION("""COMPUTED_VALUE"""),4970.0)</f>
        <v>4970</v>
      </c>
      <c r="F709" s="1">
        <f>IFERROR(__xludf.DUMMYFUNCTION("""COMPUTED_VALUE"""),6147.0)</f>
        <v>6147</v>
      </c>
    </row>
    <row r="710">
      <c r="A710" s="2">
        <f>IFERROR(__xludf.DUMMYFUNCTION("""COMPUTED_VALUE"""),41960.64583333333)</f>
        <v>41960.64583</v>
      </c>
      <c r="B710" s="1">
        <f>IFERROR(__xludf.DUMMYFUNCTION("""COMPUTED_VALUE"""),4970.0)</f>
        <v>4970</v>
      </c>
      <c r="C710" s="1">
        <f>IFERROR(__xludf.DUMMYFUNCTION("""COMPUTED_VALUE"""),5190.0)</f>
        <v>5190</v>
      </c>
      <c r="D710" s="1">
        <f>IFERROR(__xludf.DUMMYFUNCTION("""COMPUTED_VALUE"""),4950.0)</f>
        <v>4950</v>
      </c>
      <c r="E710" s="1">
        <f>IFERROR(__xludf.DUMMYFUNCTION("""COMPUTED_VALUE"""),5150.0)</f>
        <v>5150</v>
      </c>
      <c r="F710" s="1">
        <f>IFERROR(__xludf.DUMMYFUNCTION("""COMPUTED_VALUE"""),26620.0)</f>
        <v>26620</v>
      </c>
    </row>
    <row r="711">
      <c r="A711" s="2">
        <f>IFERROR(__xludf.DUMMYFUNCTION("""COMPUTED_VALUE"""),41961.64583333333)</f>
        <v>41961.64583</v>
      </c>
      <c r="B711" s="1">
        <f>IFERROR(__xludf.DUMMYFUNCTION("""COMPUTED_VALUE"""),5190.0)</f>
        <v>5190</v>
      </c>
      <c r="C711" s="1">
        <f>IFERROR(__xludf.DUMMYFUNCTION("""COMPUTED_VALUE"""),5190.0)</f>
        <v>5190</v>
      </c>
      <c r="D711" s="1">
        <f>IFERROR(__xludf.DUMMYFUNCTION("""COMPUTED_VALUE"""),5070.0)</f>
        <v>5070</v>
      </c>
      <c r="E711" s="1">
        <f>IFERROR(__xludf.DUMMYFUNCTION("""COMPUTED_VALUE"""),5100.0)</f>
        <v>5100</v>
      </c>
      <c r="F711" s="1">
        <f>IFERROR(__xludf.DUMMYFUNCTION("""COMPUTED_VALUE"""),7298.0)</f>
        <v>7298</v>
      </c>
    </row>
    <row r="712">
      <c r="A712" s="2">
        <f>IFERROR(__xludf.DUMMYFUNCTION("""COMPUTED_VALUE"""),41962.64583333333)</f>
        <v>41962.64583</v>
      </c>
      <c r="B712" s="1">
        <f>IFERROR(__xludf.DUMMYFUNCTION("""COMPUTED_VALUE"""),5100.0)</f>
        <v>5100</v>
      </c>
      <c r="C712" s="1">
        <f>IFERROR(__xludf.DUMMYFUNCTION("""COMPUTED_VALUE"""),5150.0)</f>
        <v>5150</v>
      </c>
      <c r="D712" s="1">
        <f>IFERROR(__xludf.DUMMYFUNCTION("""COMPUTED_VALUE"""),5030.0)</f>
        <v>5030</v>
      </c>
      <c r="E712" s="1">
        <f>IFERROR(__xludf.DUMMYFUNCTION("""COMPUTED_VALUE"""),5040.0)</f>
        <v>5040</v>
      </c>
      <c r="F712" s="1">
        <f>IFERROR(__xludf.DUMMYFUNCTION("""COMPUTED_VALUE"""),10624.0)</f>
        <v>10624</v>
      </c>
    </row>
    <row r="713">
      <c r="A713" s="2">
        <f>IFERROR(__xludf.DUMMYFUNCTION("""COMPUTED_VALUE"""),41963.64583333333)</f>
        <v>41963.64583</v>
      </c>
      <c r="B713" s="1">
        <f>IFERROR(__xludf.DUMMYFUNCTION("""COMPUTED_VALUE"""),5040.0)</f>
        <v>5040</v>
      </c>
      <c r="C713" s="1">
        <f>IFERROR(__xludf.DUMMYFUNCTION("""COMPUTED_VALUE"""),5100.0)</f>
        <v>5100</v>
      </c>
      <c r="D713" s="1">
        <f>IFERROR(__xludf.DUMMYFUNCTION("""COMPUTED_VALUE"""),4955.0)</f>
        <v>4955</v>
      </c>
      <c r="E713" s="1">
        <f>IFERROR(__xludf.DUMMYFUNCTION("""COMPUTED_VALUE"""),5030.0)</f>
        <v>5030</v>
      </c>
      <c r="F713" s="1">
        <f>IFERROR(__xludf.DUMMYFUNCTION("""COMPUTED_VALUE"""),4859.0)</f>
        <v>4859</v>
      </c>
    </row>
    <row r="714">
      <c r="A714" s="2">
        <f>IFERROR(__xludf.DUMMYFUNCTION("""COMPUTED_VALUE"""),41964.64583333333)</f>
        <v>41964.64583</v>
      </c>
      <c r="B714" s="1">
        <f>IFERROR(__xludf.DUMMYFUNCTION("""COMPUTED_VALUE"""),5030.0)</f>
        <v>5030</v>
      </c>
      <c r="C714" s="1">
        <f>IFERROR(__xludf.DUMMYFUNCTION("""COMPUTED_VALUE"""),5100.0)</f>
        <v>5100</v>
      </c>
      <c r="D714" s="1">
        <f>IFERROR(__xludf.DUMMYFUNCTION("""COMPUTED_VALUE"""),5010.0)</f>
        <v>5010</v>
      </c>
      <c r="E714" s="1">
        <f>IFERROR(__xludf.DUMMYFUNCTION("""COMPUTED_VALUE"""),5100.0)</f>
        <v>5100</v>
      </c>
      <c r="F714" s="1">
        <f>IFERROR(__xludf.DUMMYFUNCTION("""COMPUTED_VALUE"""),8067.0)</f>
        <v>8067</v>
      </c>
    </row>
    <row r="715">
      <c r="A715" s="2">
        <f>IFERROR(__xludf.DUMMYFUNCTION("""COMPUTED_VALUE"""),41967.64583333333)</f>
        <v>41967.64583</v>
      </c>
      <c r="B715" s="1">
        <f>IFERROR(__xludf.DUMMYFUNCTION("""COMPUTED_VALUE"""),5120.0)</f>
        <v>5120</v>
      </c>
      <c r="C715" s="1">
        <f>IFERROR(__xludf.DUMMYFUNCTION("""COMPUTED_VALUE"""),5120.0)</f>
        <v>5120</v>
      </c>
      <c r="D715" s="1">
        <f>IFERROR(__xludf.DUMMYFUNCTION("""COMPUTED_VALUE"""),5010.0)</f>
        <v>5010</v>
      </c>
      <c r="E715" s="1">
        <f>IFERROR(__xludf.DUMMYFUNCTION("""COMPUTED_VALUE"""),5030.0)</f>
        <v>5030</v>
      </c>
      <c r="F715" s="1">
        <f>IFERROR(__xludf.DUMMYFUNCTION("""COMPUTED_VALUE"""),15301.0)</f>
        <v>15301</v>
      </c>
    </row>
    <row r="716">
      <c r="A716" s="2">
        <f>IFERROR(__xludf.DUMMYFUNCTION("""COMPUTED_VALUE"""),41968.64583333333)</f>
        <v>41968.64583</v>
      </c>
      <c r="B716" s="1">
        <f>IFERROR(__xludf.DUMMYFUNCTION("""COMPUTED_VALUE"""),5030.0)</f>
        <v>5030</v>
      </c>
      <c r="C716" s="1">
        <f>IFERROR(__xludf.DUMMYFUNCTION("""COMPUTED_VALUE"""),5090.0)</f>
        <v>5090</v>
      </c>
      <c r="D716" s="1">
        <f>IFERROR(__xludf.DUMMYFUNCTION("""COMPUTED_VALUE"""),5000.0)</f>
        <v>5000</v>
      </c>
      <c r="E716" s="1">
        <f>IFERROR(__xludf.DUMMYFUNCTION("""COMPUTED_VALUE"""),5030.0)</f>
        <v>5030</v>
      </c>
      <c r="F716" s="1">
        <f>IFERROR(__xludf.DUMMYFUNCTION("""COMPUTED_VALUE"""),8977.0)</f>
        <v>8977</v>
      </c>
    </row>
    <row r="717">
      <c r="A717" s="2">
        <f>IFERROR(__xludf.DUMMYFUNCTION("""COMPUTED_VALUE"""),41969.64583333333)</f>
        <v>41969.64583</v>
      </c>
      <c r="B717" s="1">
        <f>IFERROR(__xludf.DUMMYFUNCTION("""COMPUTED_VALUE"""),5030.0)</f>
        <v>5030</v>
      </c>
      <c r="C717" s="1">
        <f>IFERROR(__xludf.DUMMYFUNCTION("""COMPUTED_VALUE"""),5100.0)</f>
        <v>5100</v>
      </c>
      <c r="D717" s="1">
        <f>IFERROR(__xludf.DUMMYFUNCTION("""COMPUTED_VALUE"""),5000.0)</f>
        <v>5000</v>
      </c>
      <c r="E717" s="1">
        <f>IFERROR(__xludf.DUMMYFUNCTION("""COMPUTED_VALUE"""),5050.0)</f>
        <v>5050</v>
      </c>
      <c r="F717" s="1">
        <f>IFERROR(__xludf.DUMMYFUNCTION("""COMPUTED_VALUE"""),12015.0)</f>
        <v>12015</v>
      </c>
    </row>
    <row r="718">
      <c r="A718" s="2">
        <f>IFERROR(__xludf.DUMMYFUNCTION("""COMPUTED_VALUE"""),41970.64583333333)</f>
        <v>41970.64583</v>
      </c>
      <c r="B718" s="1">
        <f>IFERROR(__xludf.DUMMYFUNCTION("""COMPUTED_VALUE"""),5090.0)</f>
        <v>5090</v>
      </c>
      <c r="C718" s="1">
        <f>IFERROR(__xludf.DUMMYFUNCTION("""COMPUTED_VALUE"""),5090.0)</f>
        <v>5090</v>
      </c>
      <c r="D718" s="1">
        <f>IFERROR(__xludf.DUMMYFUNCTION("""COMPUTED_VALUE"""),5020.0)</f>
        <v>5020</v>
      </c>
      <c r="E718" s="1">
        <f>IFERROR(__xludf.DUMMYFUNCTION("""COMPUTED_VALUE"""),5050.0)</f>
        <v>5050</v>
      </c>
      <c r="F718" s="1">
        <f>IFERROR(__xludf.DUMMYFUNCTION("""COMPUTED_VALUE"""),6145.0)</f>
        <v>6145</v>
      </c>
    </row>
    <row r="719">
      <c r="A719" s="2">
        <f>IFERROR(__xludf.DUMMYFUNCTION("""COMPUTED_VALUE"""),41971.64583333333)</f>
        <v>41971.64583</v>
      </c>
      <c r="B719" s="1">
        <f>IFERROR(__xludf.DUMMYFUNCTION("""COMPUTED_VALUE"""),5030.0)</f>
        <v>5030</v>
      </c>
      <c r="C719" s="1">
        <f>IFERROR(__xludf.DUMMYFUNCTION("""COMPUTED_VALUE"""),5070.0)</f>
        <v>5070</v>
      </c>
      <c r="D719" s="1">
        <f>IFERROR(__xludf.DUMMYFUNCTION("""COMPUTED_VALUE"""),5030.0)</f>
        <v>5030</v>
      </c>
      <c r="E719" s="1">
        <f>IFERROR(__xludf.DUMMYFUNCTION("""COMPUTED_VALUE"""),5040.0)</f>
        <v>5040</v>
      </c>
      <c r="F719" s="1">
        <f>IFERROR(__xludf.DUMMYFUNCTION("""COMPUTED_VALUE"""),10535.0)</f>
        <v>10535</v>
      </c>
    </row>
    <row r="720">
      <c r="A720" s="2">
        <f>IFERROR(__xludf.DUMMYFUNCTION("""COMPUTED_VALUE"""),41974.64583333333)</f>
        <v>41974.64583</v>
      </c>
      <c r="B720" s="1">
        <f>IFERROR(__xludf.DUMMYFUNCTION("""COMPUTED_VALUE"""),5040.0)</f>
        <v>5040</v>
      </c>
      <c r="C720" s="1">
        <f>IFERROR(__xludf.DUMMYFUNCTION("""COMPUTED_VALUE"""),5040.0)</f>
        <v>5040</v>
      </c>
      <c r="D720" s="1">
        <f>IFERROR(__xludf.DUMMYFUNCTION("""COMPUTED_VALUE"""),4965.0)</f>
        <v>4965</v>
      </c>
      <c r="E720" s="1">
        <f>IFERROR(__xludf.DUMMYFUNCTION("""COMPUTED_VALUE"""),4975.0)</f>
        <v>4975</v>
      </c>
      <c r="F720" s="1">
        <f>IFERROR(__xludf.DUMMYFUNCTION("""COMPUTED_VALUE"""),27323.0)</f>
        <v>27323</v>
      </c>
    </row>
    <row r="721">
      <c r="A721" s="2">
        <f>IFERROR(__xludf.DUMMYFUNCTION("""COMPUTED_VALUE"""),41975.64583333333)</f>
        <v>41975.64583</v>
      </c>
      <c r="B721" s="1">
        <f>IFERROR(__xludf.DUMMYFUNCTION("""COMPUTED_VALUE"""),4975.0)</f>
        <v>4975</v>
      </c>
      <c r="C721" s="1">
        <f>IFERROR(__xludf.DUMMYFUNCTION("""COMPUTED_VALUE"""),4980.0)</f>
        <v>4980</v>
      </c>
      <c r="D721" s="1">
        <f>IFERROR(__xludf.DUMMYFUNCTION("""COMPUTED_VALUE"""),4950.0)</f>
        <v>4950</v>
      </c>
      <c r="E721" s="1">
        <f>IFERROR(__xludf.DUMMYFUNCTION("""COMPUTED_VALUE"""),4975.0)</f>
        <v>4975</v>
      </c>
      <c r="F721" s="1">
        <f>IFERROR(__xludf.DUMMYFUNCTION("""COMPUTED_VALUE"""),18737.0)</f>
        <v>18737</v>
      </c>
    </row>
    <row r="722">
      <c r="A722" s="2">
        <f>IFERROR(__xludf.DUMMYFUNCTION("""COMPUTED_VALUE"""),41976.64583333333)</f>
        <v>41976.64583</v>
      </c>
      <c r="B722" s="1">
        <f>IFERROR(__xludf.DUMMYFUNCTION("""COMPUTED_VALUE"""),4975.0)</f>
        <v>4975</v>
      </c>
      <c r="C722" s="1">
        <f>IFERROR(__xludf.DUMMYFUNCTION("""COMPUTED_VALUE"""),5040.0)</f>
        <v>5040</v>
      </c>
      <c r="D722" s="1">
        <f>IFERROR(__xludf.DUMMYFUNCTION("""COMPUTED_VALUE"""),4945.0)</f>
        <v>4945</v>
      </c>
      <c r="E722" s="1">
        <f>IFERROR(__xludf.DUMMYFUNCTION("""COMPUTED_VALUE"""),5040.0)</f>
        <v>5040</v>
      </c>
      <c r="F722" s="1">
        <f>IFERROR(__xludf.DUMMYFUNCTION("""COMPUTED_VALUE"""),16812.0)</f>
        <v>16812</v>
      </c>
    </row>
    <row r="723">
      <c r="A723" s="2">
        <f>IFERROR(__xludf.DUMMYFUNCTION("""COMPUTED_VALUE"""),41977.64583333333)</f>
        <v>41977.64583</v>
      </c>
      <c r="B723" s="1">
        <f>IFERROR(__xludf.DUMMYFUNCTION("""COMPUTED_VALUE"""),5000.0)</f>
        <v>5000</v>
      </c>
      <c r="C723" s="1">
        <f>IFERROR(__xludf.DUMMYFUNCTION("""COMPUTED_VALUE"""),5040.0)</f>
        <v>5040</v>
      </c>
      <c r="D723" s="1">
        <f>IFERROR(__xludf.DUMMYFUNCTION("""COMPUTED_VALUE"""),4975.0)</f>
        <v>4975</v>
      </c>
      <c r="E723" s="1">
        <f>IFERROR(__xludf.DUMMYFUNCTION("""COMPUTED_VALUE"""),5020.0)</f>
        <v>5020</v>
      </c>
      <c r="F723" s="1">
        <f>IFERROR(__xludf.DUMMYFUNCTION("""COMPUTED_VALUE"""),15333.0)</f>
        <v>15333</v>
      </c>
    </row>
    <row r="724">
      <c r="A724" s="2">
        <f>IFERROR(__xludf.DUMMYFUNCTION("""COMPUTED_VALUE"""),41978.64583333333)</f>
        <v>41978.64583</v>
      </c>
      <c r="B724" s="1">
        <f>IFERROR(__xludf.DUMMYFUNCTION("""COMPUTED_VALUE"""),5000.0)</f>
        <v>5000</v>
      </c>
      <c r="C724" s="1">
        <f>IFERROR(__xludf.DUMMYFUNCTION("""COMPUTED_VALUE"""),5000.0)</f>
        <v>5000</v>
      </c>
      <c r="D724" s="1">
        <f>IFERROR(__xludf.DUMMYFUNCTION("""COMPUTED_VALUE"""),4970.0)</f>
        <v>4970</v>
      </c>
      <c r="E724" s="1">
        <f>IFERROR(__xludf.DUMMYFUNCTION("""COMPUTED_VALUE"""),4990.0)</f>
        <v>4990</v>
      </c>
      <c r="F724" s="1">
        <f>IFERROR(__xludf.DUMMYFUNCTION("""COMPUTED_VALUE"""),7139.0)</f>
        <v>7139</v>
      </c>
    </row>
    <row r="725">
      <c r="A725" s="2">
        <f>IFERROR(__xludf.DUMMYFUNCTION("""COMPUTED_VALUE"""),41981.64583333333)</f>
        <v>41981.64583</v>
      </c>
      <c r="B725" s="1">
        <f>IFERROR(__xludf.DUMMYFUNCTION("""COMPUTED_VALUE"""),4955.0)</f>
        <v>4955</v>
      </c>
      <c r="C725" s="1">
        <f>IFERROR(__xludf.DUMMYFUNCTION("""COMPUTED_VALUE"""),5000.0)</f>
        <v>5000</v>
      </c>
      <c r="D725" s="1">
        <f>IFERROR(__xludf.DUMMYFUNCTION("""COMPUTED_VALUE"""),4955.0)</f>
        <v>4955</v>
      </c>
      <c r="E725" s="1">
        <f>IFERROR(__xludf.DUMMYFUNCTION("""COMPUTED_VALUE"""),4985.0)</f>
        <v>4985</v>
      </c>
      <c r="F725" s="1">
        <f>IFERROR(__xludf.DUMMYFUNCTION("""COMPUTED_VALUE"""),12246.0)</f>
        <v>12246</v>
      </c>
    </row>
    <row r="726">
      <c r="A726" s="2">
        <f>IFERROR(__xludf.DUMMYFUNCTION("""COMPUTED_VALUE"""),41982.64583333333)</f>
        <v>41982.64583</v>
      </c>
      <c r="B726" s="1">
        <f>IFERROR(__xludf.DUMMYFUNCTION("""COMPUTED_VALUE"""),4970.0)</f>
        <v>4970</v>
      </c>
      <c r="C726" s="1">
        <f>IFERROR(__xludf.DUMMYFUNCTION("""COMPUTED_VALUE"""),4980.0)</f>
        <v>4980</v>
      </c>
      <c r="D726" s="1">
        <f>IFERROR(__xludf.DUMMYFUNCTION("""COMPUTED_VALUE"""),4900.0)</f>
        <v>4900</v>
      </c>
      <c r="E726" s="1">
        <f>IFERROR(__xludf.DUMMYFUNCTION("""COMPUTED_VALUE"""),4925.0)</f>
        <v>4925</v>
      </c>
      <c r="F726" s="1">
        <f>IFERROR(__xludf.DUMMYFUNCTION("""COMPUTED_VALUE"""),24712.0)</f>
        <v>24712</v>
      </c>
    </row>
    <row r="727">
      <c r="A727" s="2">
        <f>IFERROR(__xludf.DUMMYFUNCTION("""COMPUTED_VALUE"""),41983.64583333333)</f>
        <v>41983.64583</v>
      </c>
      <c r="B727" s="1">
        <f>IFERROR(__xludf.DUMMYFUNCTION("""COMPUTED_VALUE"""),4985.0)</f>
        <v>4985</v>
      </c>
      <c r="C727" s="1">
        <f>IFERROR(__xludf.DUMMYFUNCTION("""COMPUTED_VALUE"""),4985.0)</f>
        <v>4985</v>
      </c>
      <c r="D727" s="1">
        <f>IFERROR(__xludf.DUMMYFUNCTION("""COMPUTED_VALUE"""),4805.0)</f>
        <v>4805</v>
      </c>
      <c r="E727" s="1">
        <f>IFERROR(__xludf.DUMMYFUNCTION("""COMPUTED_VALUE"""),4855.0)</f>
        <v>4855</v>
      </c>
      <c r="F727" s="1">
        <f>IFERROR(__xludf.DUMMYFUNCTION("""COMPUTED_VALUE"""),33324.0)</f>
        <v>33324</v>
      </c>
    </row>
    <row r="728">
      <c r="A728" s="2">
        <f>IFERROR(__xludf.DUMMYFUNCTION("""COMPUTED_VALUE"""),41984.64583333333)</f>
        <v>41984.64583</v>
      </c>
      <c r="B728" s="1">
        <f>IFERROR(__xludf.DUMMYFUNCTION("""COMPUTED_VALUE"""),4830.0)</f>
        <v>4830</v>
      </c>
      <c r="C728" s="1">
        <f>IFERROR(__xludf.DUMMYFUNCTION("""COMPUTED_VALUE"""),4945.0)</f>
        <v>4945</v>
      </c>
      <c r="D728" s="1">
        <f>IFERROR(__xludf.DUMMYFUNCTION("""COMPUTED_VALUE"""),4770.0)</f>
        <v>4770</v>
      </c>
      <c r="E728" s="1">
        <f>IFERROR(__xludf.DUMMYFUNCTION("""COMPUTED_VALUE"""),4770.0)</f>
        <v>4770</v>
      </c>
      <c r="F728" s="1">
        <f>IFERROR(__xludf.DUMMYFUNCTION("""COMPUTED_VALUE"""),26806.0)</f>
        <v>26806</v>
      </c>
    </row>
    <row r="729">
      <c r="A729" s="2">
        <f>IFERROR(__xludf.DUMMYFUNCTION("""COMPUTED_VALUE"""),41985.64583333333)</f>
        <v>41985.64583</v>
      </c>
      <c r="B729" s="1">
        <f>IFERROR(__xludf.DUMMYFUNCTION("""COMPUTED_VALUE"""),4860.0)</f>
        <v>4860</v>
      </c>
      <c r="C729" s="1">
        <f>IFERROR(__xludf.DUMMYFUNCTION("""COMPUTED_VALUE"""),4860.0)</f>
        <v>4860</v>
      </c>
      <c r="D729" s="1">
        <f>IFERROR(__xludf.DUMMYFUNCTION("""COMPUTED_VALUE"""),4610.0)</f>
        <v>4610</v>
      </c>
      <c r="E729" s="1">
        <f>IFERROR(__xludf.DUMMYFUNCTION("""COMPUTED_VALUE"""),4680.0)</f>
        <v>4680</v>
      </c>
      <c r="F729" s="1">
        <f>IFERROR(__xludf.DUMMYFUNCTION("""COMPUTED_VALUE"""),18633.0)</f>
        <v>18633</v>
      </c>
    </row>
    <row r="730">
      <c r="A730" s="2">
        <f>IFERROR(__xludf.DUMMYFUNCTION("""COMPUTED_VALUE"""),41988.64583333333)</f>
        <v>41988.64583</v>
      </c>
      <c r="B730" s="1">
        <f>IFERROR(__xludf.DUMMYFUNCTION("""COMPUTED_VALUE"""),4680.0)</f>
        <v>4680</v>
      </c>
      <c r="C730" s="1">
        <f>IFERROR(__xludf.DUMMYFUNCTION("""COMPUTED_VALUE"""),4680.0)</f>
        <v>4680</v>
      </c>
      <c r="D730" s="1">
        <f>IFERROR(__xludf.DUMMYFUNCTION("""COMPUTED_VALUE"""),4620.0)</f>
        <v>4620</v>
      </c>
      <c r="E730" s="1">
        <f>IFERROR(__xludf.DUMMYFUNCTION("""COMPUTED_VALUE"""),4650.0)</f>
        <v>4650</v>
      </c>
      <c r="F730" s="1">
        <f>IFERROR(__xludf.DUMMYFUNCTION("""COMPUTED_VALUE"""),14819.0)</f>
        <v>14819</v>
      </c>
    </row>
    <row r="731">
      <c r="A731" s="2">
        <f>IFERROR(__xludf.DUMMYFUNCTION("""COMPUTED_VALUE"""),41989.64583333333)</f>
        <v>41989.64583</v>
      </c>
      <c r="B731" s="1">
        <f>IFERROR(__xludf.DUMMYFUNCTION("""COMPUTED_VALUE"""),4800.0)</f>
        <v>4800</v>
      </c>
      <c r="C731" s="1">
        <f>IFERROR(__xludf.DUMMYFUNCTION("""COMPUTED_VALUE"""),4810.0)</f>
        <v>4810</v>
      </c>
      <c r="D731" s="1">
        <f>IFERROR(__xludf.DUMMYFUNCTION("""COMPUTED_VALUE"""),4620.0)</f>
        <v>4620</v>
      </c>
      <c r="E731" s="1">
        <f>IFERROR(__xludf.DUMMYFUNCTION("""COMPUTED_VALUE"""),4645.0)</f>
        <v>4645</v>
      </c>
      <c r="F731" s="1">
        <f>IFERROR(__xludf.DUMMYFUNCTION("""COMPUTED_VALUE"""),6980.0)</f>
        <v>6980</v>
      </c>
    </row>
    <row r="732">
      <c r="A732" s="2">
        <f>IFERROR(__xludf.DUMMYFUNCTION("""COMPUTED_VALUE"""),41990.64583333333)</f>
        <v>41990.64583</v>
      </c>
      <c r="B732" s="1">
        <f>IFERROR(__xludf.DUMMYFUNCTION("""COMPUTED_VALUE"""),4635.0)</f>
        <v>4635</v>
      </c>
      <c r="C732" s="1">
        <f>IFERROR(__xludf.DUMMYFUNCTION("""COMPUTED_VALUE"""),4690.0)</f>
        <v>4690</v>
      </c>
      <c r="D732" s="1">
        <f>IFERROR(__xludf.DUMMYFUNCTION("""COMPUTED_VALUE"""),4610.0)</f>
        <v>4610</v>
      </c>
      <c r="E732" s="1">
        <f>IFERROR(__xludf.DUMMYFUNCTION("""COMPUTED_VALUE"""),4620.0)</f>
        <v>4620</v>
      </c>
      <c r="F732" s="1">
        <f>IFERROR(__xludf.DUMMYFUNCTION("""COMPUTED_VALUE"""),7479.0)</f>
        <v>7479</v>
      </c>
    </row>
    <row r="733">
      <c r="A733" s="2">
        <f>IFERROR(__xludf.DUMMYFUNCTION("""COMPUTED_VALUE"""),41991.64583333333)</f>
        <v>41991.64583</v>
      </c>
      <c r="B733" s="1">
        <f>IFERROR(__xludf.DUMMYFUNCTION("""COMPUTED_VALUE"""),4610.0)</f>
        <v>4610</v>
      </c>
      <c r="C733" s="1">
        <f>IFERROR(__xludf.DUMMYFUNCTION("""COMPUTED_VALUE"""),4625.0)</f>
        <v>4625</v>
      </c>
      <c r="D733" s="1">
        <f>IFERROR(__xludf.DUMMYFUNCTION("""COMPUTED_VALUE"""),4600.0)</f>
        <v>4600</v>
      </c>
      <c r="E733" s="1">
        <f>IFERROR(__xludf.DUMMYFUNCTION("""COMPUTED_VALUE"""),4610.0)</f>
        <v>4610</v>
      </c>
      <c r="F733" s="1">
        <f>IFERROR(__xludf.DUMMYFUNCTION("""COMPUTED_VALUE"""),8095.0)</f>
        <v>8095</v>
      </c>
    </row>
    <row r="734">
      <c r="A734" s="2">
        <f>IFERROR(__xludf.DUMMYFUNCTION("""COMPUTED_VALUE"""),41992.64583333333)</f>
        <v>41992.64583</v>
      </c>
      <c r="B734" s="1">
        <f>IFERROR(__xludf.DUMMYFUNCTION("""COMPUTED_VALUE"""),4600.0)</f>
        <v>4600</v>
      </c>
      <c r="C734" s="1">
        <f>IFERROR(__xludf.DUMMYFUNCTION("""COMPUTED_VALUE"""),4650.0)</f>
        <v>4650</v>
      </c>
      <c r="D734" s="1">
        <f>IFERROR(__xludf.DUMMYFUNCTION("""COMPUTED_VALUE"""),4600.0)</f>
        <v>4600</v>
      </c>
      <c r="E734" s="1">
        <f>IFERROR(__xludf.DUMMYFUNCTION("""COMPUTED_VALUE"""),4620.0)</f>
        <v>4620</v>
      </c>
      <c r="F734" s="1">
        <f>IFERROR(__xludf.DUMMYFUNCTION("""COMPUTED_VALUE"""),10002.0)</f>
        <v>10002</v>
      </c>
    </row>
    <row r="735">
      <c r="A735" s="2">
        <f>IFERROR(__xludf.DUMMYFUNCTION("""COMPUTED_VALUE"""),41995.64583333333)</f>
        <v>41995.64583</v>
      </c>
      <c r="B735" s="1">
        <f>IFERROR(__xludf.DUMMYFUNCTION("""COMPUTED_VALUE"""),4610.0)</f>
        <v>4610</v>
      </c>
      <c r="C735" s="1">
        <f>IFERROR(__xludf.DUMMYFUNCTION("""COMPUTED_VALUE"""),4700.0)</f>
        <v>4700</v>
      </c>
      <c r="D735" s="1">
        <f>IFERROR(__xludf.DUMMYFUNCTION("""COMPUTED_VALUE"""),4610.0)</f>
        <v>4610</v>
      </c>
      <c r="E735" s="1">
        <f>IFERROR(__xludf.DUMMYFUNCTION("""COMPUTED_VALUE"""),4640.0)</f>
        <v>4640</v>
      </c>
      <c r="F735" s="1">
        <f>IFERROR(__xludf.DUMMYFUNCTION("""COMPUTED_VALUE"""),14451.0)</f>
        <v>14451</v>
      </c>
    </row>
    <row r="736">
      <c r="A736" s="2">
        <f>IFERROR(__xludf.DUMMYFUNCTION("""COMPUTED_VALUE"""),41996.64583333333)</f>
        <v>41996.64583</v>
      </c>
      <c r="B736" s="1">
        <f>IFERROR(__xludf.DUMMYFUNCTION("""COMPUTED_VALUE"""),4640.0)</f>
        <v>4640</v>
      </c>
      <c r="C736" s="1">
        <f>IFERROR(__xludf.DUMMYFUNCTION("""COMPUTED_VALUE"""),4640.0)</f>
        <v>4640</v>
      </c>
      <c r="D736" s="1">
        <f>IFERROR(__xludf.DUMMYFUNCTION("""COMPUTED_VALUE"""),4565.0)</f>
        <v>4565</v>
      </c>
      <c r="E736" s="1">
        <f>IFERROR(__xludf.DUMMYFUNCTION("""COMPUTED_VALUE"""),4585.0)</f>
        <v>4585</v>
      </c>
      <c r="F736" s="1">
        <f>IFERROR(__xludf.DUMMYFUNCTION("""COMPUTED_VALUE"""),24642.0)</f>
        <v>24642</v>
      </c>
    </row>
    <row r="737">
      <c r="A737" s="2">
        <f>IFERROR(__xludf.DUMMYFUNCTION("""COMPUTED_VALUE"""),41997.64583333333)</f>
        <v>41997.64583</v>
      </c>
      <c r="B737" s="1">
        <f>IFERROR(__xludf.DUMMYFUNCTION("""COMPUTED_VALUE"""),4595.0)</f>
        <v>4595</v>
      </c>
      <c r="C737" s="1">
        <f>IFERROR(__xludf.DUMMYFUNCTION("""COMPUTED_VALUE"""),4675.0)</f>
        <v>4675</v>
      </c>
      <c r="D737" s="1">
        <f>IFERROR(__xludf.DUMMYFUNCTION("""COMPUTED_VALUE"""),4595.0)</f>
        <v>4595</v>
      </c>
      <c r="E737" s="1">
        <f>IFERROR(__xludf.DUMMYFUNCTION("""COMPUTED_VALUE"""),4625.0)</f>
        <v>4625</v>
      </c>
      <c r="F737" s="1">
        <f>IFERROR(__xludf.DUMMYFUNCTION("""COMPUTED_VALUE"""),6991.0)</f>
        <v>6991</v>
      </c>
    </row>
    <row r="738">
      <c r="A738" s="2">
        <f>IFERROR(__xludf.DUMMYFUNCTION("""COMPUTED_VALUE"""),41999.64583333333)</f>
        <v>41999.64583</v>
      </c>
      <c r="B738" s="1">
        <f>IFERROR(__xludf.DUMMYFUNCTION("""COMPUTED_VALUE"""),4625.0)</f>
        <v>4625</v>
      </c>
      <c r="C738" s="1">
        <f>IFERROR(__xludf.DUMMYFUNCTION("""COMPUTED_VALUE"""),4800.0)</f>
        <v>4800</v>
      </c>
      <c r="D738" s="1">
        <f>IFERROR(__xludf.DUMMYFUNCTION("""COMPUTED_VALUE"""),4615.0)</f>
        <v>4615</v>
      </c>
      <c r="E738" s="1">
        <f>IFERROR(__xludf.DUMMYFUNCTION("""COMPUTED_VALUE"""),4710.0)</f>
        <v>4710</v>
      </c>
      <c r="F738" s="1">
        <f>IFERROR(__xludf.DUMMYFUNCTION("""COMPUTED_VALUE"""),9991.0)</f>
        <v>9991</v>
      </c>
    </row>
    <row r="739">
      <c r="A739" s="2">
        <f>IFERROR(__xludf.DUMMYFUNCTION("""COMPUTED_VALUE"""),42002.64583333333)</f>
        <v>42002.64583</v>
      </c>
      <c r="B739" s="1">
        <f>IFERROR(__xludf.DUMMYFUNCTION("""COMPUTED_VALUE"""),4710.0)</f>
        <v>4710</v>
      </c>
      <c r="C739" s="1">
        <f>IFERROR(__xludf.DUMMYFUNCTION("""COMPUTED_VALUE"""),4750.0)</f>
        <v>4750</v>
      </c>
      <c r="D739" s="1">
        <f>IFERROR(__xludf.DUMMYFUNCTION("""COMPUTED_VALUE"""),4600.0)</f>
        <v>4600</v>
      </c>
      <c r="E739" s="1">
        <f>IFERROR(__xludf.DUMMYFUNCTION("""COMPUTED_VALUE"""),4690.0)</f>
        <v>4690</v>
      </c>
      <c r="F739" s="1">
        <f>IFERROR(__xludf.DUMMYFUNCTION("""COMPUTED_VALUE"""),24454.0)</f>
        <v>24454</v>
      </c>
    </row>
    <row r="740">
      <c r="A740" s="2">
        <f>IFERROR(__xludf.DUMMYFUNCTION("""COMPUTED_VALUE"""),42003.64583333333)</f>
        <v>42003.64583</v>
      </c>
      <c r="B740" s="1">
        <f>IFERROR(__xludf.DUMMYFUNCTION("""COMPUTED_VALUE"""),4830.0)</f>
        <v>4830</v>
      </c>
      <c r="C740" s="1">
        <f>IFERROR(__xludf.DUMMYFUNCTION("""COMPUTED_VALUE"""),4830.0)</f>
        <v>4830</v>
      </c>
      <c r="D740" s="1">
        <f>IFERROR(__xludf.DUMMYFUNCTION("""COMPUTED_VALUE"""),4660.0)</f>
        <v>4660</v>
      </c>
      <c r="E740" s="1">
        <f>IFERROR(__xludf.DUMMYFUNCTION("""COMPUTED_VALUE"""),4670.0)</f>
        <v>4670</v>
      </c>
      <c r="F740" s="1">
        <f>IFERROR(__xludf.DUMMYFUNCTION("""COMPUTED_VALUE"""),7091.0)</f>
        <v>7091</v>
      </c>
    </row>
    <row r="741">
      <c r="A741" s="2">
        <f>IFERROR(__xludf.DUMMYFUNCTION("""COMPUTED_VALUE"""),42006.64583333333)</f>
        <v>42006.64583</v>
      </c>
      <c r="B741" s="1">
        <f>IFERROR(__xludf.DUMMYFUNCTION("""COMPUTED_VALUE"""),4715.0)</f>
        <v>4715</v>
      </c>
      <c r="C741" s="1">
        <f>IFERROR(__xludf.DUMMYFUNCTION("""COMPUTED_VALUE"""),4870.0)</f>
        <v>4870</v>
      </c>
      <c r="D741" s="1">
        <f>IFERROR(__xludf.DUMMYFUNCTION("""COMPUTED_VALUE"""),4690.0)</f>
        <v>4690</v>
      </c>
      <c r="E741" s="1">
        <f>IFERROR(__xludf.DUMMYFUNCTION("""COMPUTED_VALUE"""),4830.0)</f>
        <v>4830</v>
      </c>
      <c r="F741" s="1">
        <f>IFERROR(__xludf.DUMMYFUNCTION("""COMPUTED_VALUE"""),12434.0)</f>
        <v>12434</v>
      </c>
    </row>
    <row r="742">
      <c r="A742" s="2">
        <f>IFERROR(__xludf.DUMMYFUNCTION("""COMPUTED_VALUE"""),42009.64583333333)</f>
        <v>42009.64583</v>
      </c>
      <c r="B742" s="1">
        <f>IFERROR(__xludf.DUMMYFUNCTION("""COMPUTED_VALUE"""),4830.0)</f>
        <v>4830</v>
      </c>
      <c r="C742" s="1">
        <f>IFERROR(__xludf.DUMMYFUNCTION("""COMPUTED_VALUE"""),4890.0)</f>
        <v>4890</v>
      </c>
      <c r="D742" s="1">
        <f>IFERROR(__xludf.DUMMYFUNCTION("""COMPUTED_VALUE"""),4780.0)</f>
        <v>4780</v>
      </c>
      <c r="E742" s="1">
        <f>IFERROR(__xludf.DUMMYFUNCTION("""COMPUTED_VALUE"""),4805.0)</f>
        <v>4805</v>
      </c>
      <c r="F742" s="1">
        <f>IFERROR(__xludf.DUMMYFUNCTION("""COMPUTED_VALUE"""),4043.0)</f>
        <v>4043</v>
      </c>
    </row>
    <row r="743">
      <c r="A743" s="2">
        <f>IFERROR(__xludf.DUMMYFUNCTION("""COMPUTED_VALUE"""),42010.64583333333)</f>
        <v>42010.64583</v>
      </c>
      <c r="B743" s="1">
        <f>IFERROR(__xludf.DUMMYFUNCTION("""COMPUTED_VALUE"""),4690.0)</f>
        <v>4690</v>
      </c>
      <c r="C743" s="1">
        <f>IFERROR(__xludf.DUMMYFUNCTION("""COMPUTED_VALUE"""),4805.0)</f>
        <v>4805</v>
      </c>
      <c r="D743" s="1">
        <f>IFERROR(__xludf.DUMMYFUNCTION("""COMPUTED_VALUE"""),4690.0)</f>
        <v>4690</v>
      </c>
      <c r="E743" s="1">
        <f>IFERROR(__xludf.DUMMYFUNCTION("""COMPUTED_VALUE"""),4790.0)</f>
        <v>4790</v>
      </c>
      <c r="F743" s="1">
        <f>IFERROR(__xludf.DUMMYFUNCTION("""COMPUTED_VALUE"""),6182.0)</f>
        <v>6182</v>
      </c>
    </row>
    <row r="744">
      <c r="A744" s="2">
        <f>IFERROR(__xludf.DUMMYFUNCTION("""COMPUTED_VALUE"""),42012.64583333333)</f>
        <v>42012.64583</v>
      </c>
      <c r="B744" s="1">
        <f>IFERROR(__xludf.DUMMYFUNCTION("""COMPUTED_VALUE"""),4895.0)</f>
        <v>4895</v>
      </c>
      <c r="C744" s="1">
        <f>IFERROR(__xludf.DUMMYFUNCTION("""COMPUTED_VALUE"""),4895.0)</f>
        <v>4895</v>
      </c>
      <c r="D744" s="1">
        <f>IFERROR(__xludf.DUMMYFUNCTION("""COMPUTED_VALUE"""),4785.0)</f>
        <v>4785</v>
      </c>
      <c r="E744" s="1">
        <f>IFERROR(__xludf.DUMMYFUNCTION("""COMPUTED_VALUE"""),4850.0)</f>
        <v>4850</v>
      </c>
      <c r="F744" s="1">
        <f>IFERROR(__xludf.DUMMYFUNCTION("""COMPUTED_VALUE"""),3621.0)</f>
        <v>3621</v>
      </c>
    </row>
    <row r="745">
      <c r="A745" s="2">
        <f>IFERROR(__xludf.DUMMYFUNCTION("""COMPUTED_VALUE"""),42013.64583333333)</f>
        <v>42013.64583</v>
      </c>
      <c r="B745" s="1">
        <f>IFERROR(__xludf.DUMMYFUNCTION("""COMPUTED_VALUE"""),4860.0)</f>
        <v>4860</v>
      </c>
      <c r="C745" s="1">
        <f>IFERROR(__xludf.DUMMYFUNCTION("""COMPUTED_VALUE"""),4945.0)</f>
        <v>4945</v>
      </c>
      <c r="D745" s="1">
        <f>IFERROR(__xludf.DUMMYFUNCTION("""COMPUTED_VALUE"""),4850.0)</f>
        <v>4850</v>
      </c>
      <c r="E745" s="1">
        <f>IFERROR(__xludf.DUMMYFUNCTION("""COMPUTED_VALUE"""),4875.0)</f>
        <v>4875</v>
      </c>
      <c r="F745" s="1">
        <f>IFERROR(__xludf.DUMMYFUNCTION("""COMPUTED_VALUE"""),4797.0)</f>
        <v>4797</v>
      </c>
    </row>
    <row r="746">
      <c r="A746" s="2">
        <f>IFERROR(__xludf.DUMMYFUNCTION("""COMPUTED_VALUE"""),42016.64583333333)</f>
        <v>42016.64583</v>
      </c>
      <c r="B746" s="1">
        <f>IFERROR(__xludf.DUMMYFUNCTION("""COMPUTED_VALUE"""),4890.0)</f>
        <v>4890</v>
      </c>
      <c r="C746" s="1">
        <f>IFERROR(__xludf.DUMMYFUNCTION("""COMPUTED_VALUE"""),4900.0)</f>
        <v>4900</v>
      </c>
      <c r="D746" s="1">
        <f>IFERROR(__xludf.DUMMYFUNCTION("""COMPUTED_VALUE"""),4820.0)</f>
        <v>4820</v>
      </c>
      <c r="E746" s="1">
        <f>IFERROR(__xludf.DUMMYFUNCTION("""COMPUTED_VALUE"""),4855.0)</f>
        <v>4855</v>
      </c>
      <c r="F746" s="1">
        <f>IFERROR(__xludf.DUMMYFUNCTION("""COMPUTED_VALUE"""),16945.0)</f>
        <v>16945</v>
      </c>
    </row>
    <row r="747">
      <c r="A747" s="2">
        <f>IFERROR(__xludf.DUMMYFUNCTION("""COMPUTED_VALUE"""),42017.64583333333)</f>
        <v>42017.64583</v>
      </c>
      <c r="B747" s="1">
        <f>IFERROR(__xludf.DUMMYFUNCTION("""COMPUTED_VALUE"""),4900.0)</f>
        <v>4900</v>
      </c>
      <c r="C747" s="1">
        <f>IFERROR(__xludf.DUMMYFUNCTION("""COMPUTED_VALUE"""),4900.0)</f>
        <v>4900</v>
      </c>
      <c r="D747" s="1">
        <f>IFERROR(__xludf.DUMMYFUNCTION("""COMPUTED_VALUE"""),4765.0)</f>
        <v>4765</v>
      </c>
      <c r="E747" s="1">
        <f>IFERROR(__xludf.DUMMYFUNCTION("""COMPUTED_VALUE"""),4770.0)</f>
        <v>4770</v>
      </c>
      <c r="F747" s="1">
        <f>IFERROR(__xludf.DUMMYFUNCTION("""COMPUTED_VALUE"""),7227.0)</f>
        <v>7227</v>
      </c>
    </row>
    <row r="748">
      <c r="A748" s="2">
        <f>IFERROR(__xludf.DUMMYFUNCTION("""COMPUTED_VALUE"""),42018.64583333333)</f>
        <v>42018.64583</v>
      </c>
      <c r="B748" s="1">
        <f>IFERROR(__xludf.DUMMYFUNCTION("""COMPUTED_VALUE"""),4800.0)</f>
        <v>4800</v>
      </c>
      <c r="C748" s="1">
        <f>IFERROR(__xludf.DUMMYFUNCTION("""COMPUTED_VALUE"""),4835.0)</f>
        <v>4835</v>
      </c>
      <c r="D748" s="1">
        <f>IFERROR(__xludf.DUMMYFUNCTION("""COMPUTED_VALUE"""),4710.0)</f>
        <v>4710</v>
      </c>
      <c r="E748" s="1">
        <f>IFERROR(__xludf.DUMMYFUNCTION("""COMPUTED_VALUE"""),4750.0)</f>
        <v>4750</v>
      </c>
      <c r="F748" s="1">
        <f>IFERROR(__xludf.DUMMYFUNCTION("""COMPUTED_VALUE"""),15910.0)</f>
        <v>15910</v>
      </c>
    </row>
    <row r="749">
      <c r="A749" s="2">
        <f>IFERROR(__xludf.DUMMYFUNCTION("""COMPUTED_VALUE"""),42019.64583333333)</f>
        <v>42019.64583</v>
      </c>
      <c r="B749" s="1">
        <f>IFERROR(__xludf.DUMMYFUNCTION("""COMPUTED_VALUE"""),4800.0)</f>
        <v>4800</v>
      </c>
      <c r="C749" s="1">
        <f>IFERROR(__xludf.DUMMYFUNCTION("""COMPUTED_VALUE"""),4800.0)</f>
        <v>4800</v>
      </c>
      <c r="D749" s="1">
        <f>IFERROR(__xludf.DUMMYFUNCTION("""COMPUTED_VALUE"""),4715.0)</f>
        <v>4715</v>
      </c>
      <c r="E749" s="1">
        <f>IFERROR(__xludf.DUMMYFUNCTION("""COMPUTED_VALUE"""),4750.0)</f>
        <v>4750</v>
      </c>
      <c r="F749" s="1">
        <f>IFERROR(__xludf.DUMMYFUNCTION("""COMPUTED_VALUE"""),8225.0)</f>
        <v>8225</v>
      </c>
    </row>
    <row r="750">
      <c r="A750" s="2">
        <f>IFERROR(__xludf.DUMMYFUNCTION("""COMPUTED_VALUE"""),42020.64583333333)</f>
        <v>42020.64583</v>
      </c>
      <c r="B750" s="1">
        <f>IFERROR(__xludf.DUMMYFUNCTION("""COMPUTED_VALUE"""),4770.0)</f>
        <v>4770</v>
      </c>
      <c r="C750" s="1">
        <f>IFERROR(__xludf.DUMMYFUNCTION("""COMPUTED_VALUE"""),4770.0)</f>
        <v>4770</v>
      </c>
      <c r="D750" s="1">
        <f>IFERROR(__xludf.DUMMYFUNCTION("""COMPUTED_VALUE"""),4700.0)</f>
        <v>4700</v>
      </c>
      <c r="E750" s="1">
        <f>IFERROR(__xludf.DUMMYFUNCTION("""COMPUTED_VALUE"""),4700.0)</f>
        <v>4700</v>
      </c>
      <c r="F750" s="1">
        <f>IFERROR(__xludf.DUMMYFUNCTION("""COMPUTED_VALUE"""),14379.0)</f>
        <v>14379</v>
      </c>
    </row>
    <row r="751">
      <c r="A751" s="2">
        <f>IFERROR(__xludf.DUMMYFUNCTION("""COMPUTED_VALUE"""),42023.64583333333)</f>
        <v>42023.64583</v>
      </c>
      <c r="B751" s="1">
        <f>IFERROR(__xludf.DUMMYFUNCTION("""COMPUTED_VALUE"""),4650.0)</f>
        <v>4650</v>
      </c>
      <c r="C751" s="1">
        <f>IFERROR(__xludf.DUMMYFUNCTION("""COMPUTED_VALUE"""),4750.0)</f>
        <v>4750</v>
      </c>
      <c r="D751" s="1">
        <f>IFERROR(__xludf.DUMMYFUNCTION("""COMPUTED_VALUE"""),4650.0)</f>
        <v>4650</v>
      </c>
      <c r="E751" s="1">
        <f>IFERROR(__xludf.DUMMYFUNCTION("""COMPUTED_VALUE"""),4720.0)</f>
        <v>4720</v>
      </c>
      <c r="F751" s="1">
        <f>IFERROR(__xludf.DUMMYFUNCTION("""COMPUTED_VALUE"""),13864.0)</f>
        <v>13864</v>
      </c>
    </row>
    <row r="752">
      <c r="A752" s="2">
        <f>IFERROR(__xludf.DUMMYFUNCTION("""COMPUTED_VALUE"""),42024.64583333333)</f>
        <v>42024.64583</v>
      </c>
      <c r="B752" s="1">
        <f>IFERROR(__xludf.DUMMYFUNCTION("""COMPUTED_VALUE"""),4725.0)</f>
        <v>4725</v>
      </c>
      <c r="C752" s="1">
        <f>IFERROR(__xludf.DUMMYFUNCTION("""COMPUTED_VALUE"""),4725.0)</f>
        <v>4725</v>
      </c>
      <c r="D752" s="1">
        <f>IFERROR(__xludf.DUMMYFUNCTION("""COMPUTED_VALUE"""),4670.0)</f>
        <v>4670</v>
      </c>
      <c r="E752" s="1">
        <f>IFERROR(__xludf.DUMMYFUNCTION("""COMPUTED_VALUE"""),4680.0)</f>
        <v>4680</v>
      </c>
      <c r="F752" s="1">
        <f>IFERROR(__xludf.DUMMYFUNCTION("""COMPUTED_VALUE"""),8939.0)</f>
        <v>8939</v>
      </c>
    </row>
    <row r="753">
      <c r="A753" s="2">
        <f>IFERROR(__xludf.DUMMYFUNCTION("""COMPUTED_VALUE"""),42025.64583333333)</f>
        <v>42025.64583</v>
      </c>
      <c r="B753" s="1">
        <f>IFERROR(__xludf.DUMMYFUNCTION("""COMPUTED_VALUE"""),4720.0)</f>
        <v>4720</v>
      </c>
      <c r="C753" s="1">
        <f>IFERROR(__xludf.DUMMYFUNCTION("""COMPUTED_VALUE"""),4720.0)</f>
        <v>4720</v>
      </c>
      <c r="D753" s="1">
        <f>IFERROR(__xludf.DUMMYFUNCTION("""COMPUTED_VALUE"""),4670.0)</f>
        <v>4670</v>
      </c>
      <c r="E753" s="1">
        <f>IFERROR(__xludf.DUMMYFUNCTION("""COMPUTED_VALUE"""),4720.0)</f>
        <v>4720</v>
      </c>
      <c r="F753" s="1">
        <f>IFERROR(__xludf.DUMMYFUNCTION("""COMPUTED_VALUE"""),15010.0)</f>
        <v>15010</v>
      </c>
    </row>
    <row r="754">
      <c r="A754" s="2">
        <f>IFERROR(__xludf.DUMMYFUNCTION("""COMPUTED_VALUE"""),42026.64583333333)</f>
        <v>42026.64583</v>
      </c>
      <c r="B754" s="1">
        <f>IFERROR(__xludf.DUMMYFUNCTION("""COMPUTED_VALUE"""),4755.0)</f>
        <v>4755</v>
      </c>
      <c r="C754" s="1">
        <f>IFERROR(__xludf.DUMMYFUNCTION("""COMPUTED_VALUE"""),4755.0)</f>
        <v>4755</v>
      </c>
      <c r="D754" s="1">
        <f>IFERROR(__xludf.DUMMYFUNCTION("""COMPUTED_VALUE"""),4700.0)</f>
        <v>4700</v>
      </c>
      <c r="E754" s="1">
        <f>IFERROR(__xludf.DUMMYFUNCTION("""COMPUTED_VALUE"""),4720.0)</f>
        <v>4720</v>
      </c>
      <c r="F754" s="1">
        <f>IFERROR(__xludf.DUMMYFUNCTION("""COMPUTED_VALUE"""),18464.0)</f>
        <v>18464</v>
      </c>
    </row>
    <row r="755">
      <c r="A755" s="2">
        <f>IFERROR(__xludf.DUMMYFUNCTION("""COMPUTED_VALUE"""),42027.64583333333)</f>
        <v>42027.64583</v>
      </c>
      <c r="B755" s="1">
        <f>IFERROR(__xludf.DUMMYFUNCTION("""COMPUTED_VALUE"""),4720.0)</f>
        <v>4720</v>
      </c>
      <c r="C755" s="1">
        <f>IFERROR(__xludf.DUMMYFUNCTION("""COMPUTED_VALUE"""),4820.0)</f>
        <v>4820</v>
      </c>
      <c r="D755" s="1">
        <f>IFERROR(__xludf.DUMMYFUNCTION("""COMPUTED_VALUE"""),4680.0)</f>
        <v>4680</v>
      </c>
      <c r="E755" s="1">
        <f>IFERROR(__xludf.DUMMYFUNCTION("""COMPUTED_VALUE"""),4820.0)</f>
        <v>4820</v>
      </c>
      <c r="F755" s="1">
        <f>IFERROR(__xludf.DUMMYFUNCTION("""COMPUTED_VALUE"""),21311.0)</f>
        <v>21311</v>
      </c>
    </row>
    <row r="756">
      <c r="A756" s="2">
        <f>IFERROR(__xludf.DUMMYFUNCTION("""COMPUTED_VALUE"""),42030.64583333333)</f>
        <v>42030.64583</v>
      </c>
      <c r="B756" s="1">
        <f>IFERROR(__xludf.DUMMYFUNCTION("""COMPUTED_VALUE"""),4800.0)</f>
        <v>4800</v>
      </c>
      <c r="C756" s="1">
        <f>IFERROR(__xludf.DUMMYFUNCTION("""COMPUTED_VALUE"""),5290.0)</f>
        <v>5290</v>
      </c>
      <c r="D756" s="1">
        <f>IFERROR(__xludf.DUMMYFUNCTION("""COMPUTED_VALUE"""),4720.0)</f>
        <v>4720</v>
      </c>
      <c r="E756" s="1">
        <f>IFERROR(__xludf.DUMMYFUNCTION("""COMPUTED_VALUE"""),5090.0)</f>
        <v>5090</v>
      </c>
      <c r="F756" s="1">
        <f>IFERROR(__xludf.DUMMYFUNCTION("""COMPUTED_VALUE"""),216395.0)</f>
        <v>216395</v>
      </c>
    </row>
    <row r="757">
      <c r="A757" s="2">
        <f>IFERROR(__xludf.DUMMYFUNCTION("""COMPUTED_VALUE"""),42031.64583333333)</f>
        <v>42031.64583</v>
      </c>
      <c r="B757" s="1">
        <f>IFERROR(__xludf.DUMMYFUNCTION("""COMPUTED_VALUE"""),5150.0)</f>
        <v>5150</v>
      </c>
      <c r="C757" s="1">
        <f>IFERROR(__xludf.DUMMYFUNCTION("""COMPUTED_VALUE"""),5150.0)</f>
        <v>5150</v>
      </c>
      <c r="D757" s="1">
        <f>IFERROR(__xludf.DUMMYFUNCTION("""COMPUTED_VALUE"""),4900.0)</f>
        <v>4900</v>
      </c>
      <c r="E757" s="1">
        <f>IFERROR(__xludf.DUMMYFUNCTION("""COMPUTED_VALUE"""),4915.0)</f>
        <v>4915</v>
      </c>
      <c r="F757" s="1">
        <f>IFERROR(__xludf.DUMMYFUNCTION("""COMPUTED_VALUE"""),71566.0)</f>
        <v>71566</v>
      </c>
    </row>
    <row r="758">
      <c r="A758" s="2">
        <f>IFERROR(__xludf.DUMMYFUNCTION("""COMPUTED_VALUE"""),42032.64583333333)</f>
        <v>42032.64583</v>
      </c>
      <c r="B758" s="1">
        <f>IFERROR(__xludf.DUMMYFUNCTION("""COMPUTED_VALUE"""),4960.0)</f>
        <v>4960</v>
      </c>
      <c r="C758" s="1">
        <f>IFERROR(__xludf.DUMMYFUNCTION("""COMPUTED_VALUE"""),5000.0)</f>
        <v>5000</v>
      </c>
      <c r="D758" s="1">
        <f>IFERROR(__xludf.DUMMYFUNCTION("""COMPUTED_VALUE"""),4850.0)</f>
        <v>4850</v>
      </c>
      <c r="E758" s="1">
        <f>IFERROR(__xludf.DUMMYFUNCTION("""COMPUTED_VALUE"""),4910.0)</f>
        <v>4910</v>
      </c>
      <c r="F758" s="1">
        <f>IFERROR(__xludf.DUMMYFUNCTION("""COMPUTED_VALUE"""),39581.0)</f>
        <v>39581</v>
      </c>
    </row>
    <row r="759">
      <c r="A759" s="2">
        <f>IFERROR(__xludf.DUMMYFUNCTION("""COMPUTED_VALUE"""),42033.64583333333)</f>
        <v>42033.64583</v>
      </c>
      <c r="B759" s="1">
        <f>IFERROR(__xludf.DUMMYFUNCTION("""COMPUTED_VALUE"""),4940.0)</f>
        <v>4940</v>
      </c>
      <c r="C759" s="1">
        <f>IFERROR(__xludf.DUMMYFUNCTION("""COMPUTED_VALUE"""),4940.0)</f>
        <v>4940</v>
      </c>
      <c r="D759" s="1">
        <f>IFERROR(__xludf.DUMMYFUNCTION("""COMPUTED_VALUE"""),4860.0)</f>
        <v>4860</v>
      </c>
      <c r="E759" s="1">
        <f>IFERROR(__xludf.DUMMYFUNCTION("""COMPUTED_VALUE"""),4910.0)</f>
        <v>4910</v>
      </c>
      <c r="F759" s="1">
        <f>IFERROR(__xludf.DUMMYFUNCTION("""COMPUTED_VALUE"""),11072.0)</f>
        <v>11072</v>
      </c>
    </row>
    <row r="760">
      <c r="A760" s="2">
        <f>IFERROR(__xludf.DUMMYFUNCTION("""COMPUTED_VALUE"""),42034.64583333333)</f>
        <v>42034.64583</v>
      </c>
      <c r="B760" s="1">
        <f>IFERROR(__xludf.DUMMYFUNCTION("""COMPUTED_VALUE"""),4860.0)</f>
        <v>4860</v>
      </c>
      <c r="C760" s="1">
        <f>IFERROR(__xludf.DUMMYFUNCTION("""COMPUTED_VALUE"""),4970.0)</f>
        <v>4970</v>
      </c>
      <c r="D760" s="1">
        <f>IFERROR(__xludf.DUMMYFUNCTION("""COMPUTED_VALUE"""),4860.0)</f>
        <v>4860</v>
      </c>
      <c r="E760" s="1">
        <f>IFERROR(__xludf.DUMMYFUNCTION("""COMPUTED_VALUE"""),4940.0)</f>
        <v>4940</v>
      </c>
      <c r="F760" s="1">
        <f>IFERROR(__xludf.DUMMYFUNCTION("""COMPUTED_VALUE"""),7249.0)</f>
        <v>7249</v>
      </c>
    </row>
    <row r="761">
      <c r="A761" s="2">
        <f>IFERROR(__xludf.DUMMYFUNCTION("""COMPUTED_VALUE"""),42037.64583333333)</f>
        <v>42037.64583</v>
      </c>
      <c r="B761" s="1">
        <f>IFERROR(__xludf.DUMMYFUNCTION("""COMPUTED_VALUE"""),4945.0)</f>
        <v>4945</v>
      </c>
      <c r="C761" s="1">
        <f>IFERROR(__xludf.DUMMYFUNCTION("""COMPUTED_VALUE"""),4970.0)</f>
        <v>4970</v>
      </c>
      <c r="D761" s="1">
        <f>IFERROR(__xludf.DUMMYFUNCTION("""COMPUTED_VALUE"""),4910.0)</f>
        <v>4910</v>
      </c>
      <c r="E761" s="1">
        <f>IFERROR(__xludf.DUMMYFUNCTION("""COMPUTED_VALUE"""),4970.0)</f>
        <v>4970</v>
      </c>
      <c r="F761" s="1">
        <f>IFERROR(__xludf.DUMMYFUNCTION("""COMPUTED_VALUE"""),10823.0)</f>
        <v>10823</v>
      </c>
    </row>
    <row r="762">
      <c r="A762" s="2">
        <f>IFERROR(__xludf.DUMMYFUNCTION("""COMPUTED_VALUE"""),42038.64583333333)</f>
        <v>42038.64583</v>
      </c>
      <c r="B762" s="1">
        <f>IFERROR(__xludf.DUMMYFUNCTION("""COMPUTED_VALUE"""),4955.0)</f>
        <v>4955</v>
      </c>
      <c r="C762" s="1">
        <f>IFERROR(__xludf.DUMMYFUNCTION("""COMPUTED_VALUE"""),4970.0)</f>
        <v>4970</v>
      </c>
      <c r="D762" s="1">
        <f>IFERROR(__xludf.DUMMYFUNCTION("""COMPUTED_VALUE"""),4900.0)</f>
        <v>4900</v>
      </c>
      <c r="E762" s="1">
        <f>IFERROR(__xludf.DUMMYFUNCTION("""COMPUTED_VALUE"""),4970.0)</f>
        <v>4970</v>
      </c>
      <c r="F762" s="1">
        <f>IFERROR(__xludf.DUMMYFUNCTION("""COMPUTED_VALUE"""),8469.0)</f>
        <v>8469</v>
      </c>
    </row>
    <row r="763">
      <c r="A763" s="2">
        <f>IFERROR(__xludf.DUMMYFUNCTION("""COMPUTED_VALUE"""),42039.64583333333)</f>
        <v>42039.64583</v>
      </c>
      <c r="B763" s="1">
        <f>IFERROR(__xludf.DUMMYFUNCTION("""COMPUTED_VALUE"""),4950.0)</f>
        <v>4950</v>
      </c>
      <c r="C763" s="1">
        <f>IFERROR(__xludf.DUMMYFUNCTION("""COMPUTED_VALUE"""),4990.0)</f>
        <v>4990</v>
      </c>
      <c r="D763" s="1">
        <f>IFERROR(__xludf.DUMMYFUNCTION("""COMPUTED_VALUE"""),4930.0)</f>
        <v>4930</v>
      </c>
      <c r="E763" s="1">
        <f>IFERROR(__xludf.DUMMYFUNCTION("""COMPUTED_VALUE"""),4990.0)</f>
        <v>4990</v>
      </c>
      <c r="F763" s="1">
        <f>IFERROR(__xludf.DUMMYFUNCTION("""COMPUTED_VALUE"""),17757.0)</f>
        <v>17757</v>
      </c>
    </row>
    <row r="764">
      <c r="A764" s="2">
        <f>IFERROR(__xludf.DUMMYFUNCTION("""COMPUTED_VALUE"""),42040.64583333333)</f>
        <v>42040.64583</v>
      </c>
      <c r="B764" s="1">
        <f>IFERROR(__xludf.DUMMYFUNCTION("""COMPUTED_VALUE"""),4990.0)</f>
        <v>4990</v>
      </c>
      <c r="C764" s="1">
        <f>IFERROR(__xludf.DUMMYFUNCTION("""COMPUTED_VALUE"""),5140.0)</f>
        <v>5140</v>
      </c>
      <c r="D764" s="1">
        <f>IFERROR(__xludf.DUMMYFUNCTION("""COMPUTED_VALUE"""),4980.0)</f>
        <v>4980</v>
      </c>
      <c r="E764" s="1">
        <f>IFERROR(__xludf.DUMMYFUNCTION("""COMPUTED_VALUE"""),5100.0)</f>
        <v>5100</v>
      </c>
      <c r="F764" s="1">
        <f>IFERROR(__xludf.DUMMYFUNCTION("""COMPUTED_VALUE"""),71291.0)</f>
        <v>71291</v>
      </c>
    </row>
    <row r="765">
      <c r="A765" s="2">
        <f>IFERROR(__xludf.DUMMYFUNCTION("""COMPUTED_VALUE"""),42041.64583333333)</f>
        <v>42041.64583</v>
      </c>
      <c r="B765" s="1">
        <f>IFERROR(__xludf.DUMMYFUNCTION("""COMPUTED_VALUE"""),5150.0)</f>
        <v>5150</v>
      </c>
      <c r="C765" s="1">
        <f>IFERROR(__xludf.DUMMYFUNCTION("""COMPUTED_VALUE"""),5150.0)</f>
        <v>5150</v>
      </c>
      <c r="D765" s="1">
        <f>IFERROR(__xludf.DUMMYFUNCTION("""COMPUTED_VALUE"""),5040.0)</f>
        <v>5040</v>
      </c>
      <c r="E765" s="1">
        <f>IFERROR(__xludf.DUMMYFUNCTION("""COMPUTED_VALUE"""),5100.0)</f>
        <v>5100</v>
      </c>
      <c r="F765" s="1">
        <f>IFERROR(__xludf.DUMMYFUNCTION("""COMPUTED_VALUE"""),38137.0)</f>
        <v>38137</v>
      </c>
    </row>
    <row r="766">
      <c r="A766" s="2">
        <f>IFERROR(__xludf.DUMMYFUNCTION("""COMPUTED_VALUE"""),42044.64583333333)</f>
        <v>42044.64583</v>
      </c>
      <c r="B766" s="1">
        <f>IFERROR(__xludf.DUMMYFUNCTION("""COMPUTED_VALUE"""),5070.0)</f>
        <v>5070</v>
      </c>
      <c r="C766" s="1">
        <f>IFERROR(__xludf.DUMMYFUNCTION("""COMPUTED_VALUE"""),5100.0)</f>
        <v>5100</v>
      </c>
      <c r="D766" s="1">
        <f>IFERROR(__xludf.DUMMYFUNCTION("""COMPUTED_VALUE"""),4950.0)</f>
        <v>4950</v>
      </c>
      <c r="E766" s="1">
        <f>IFERROR(__xludf.DUMMYFUNCTION("""COMPUTED_VALUE"""),4955.0)</f>
        <v>4955</v>
      </c>
      <c r="F766" s="1">
        <f>IFERROR(__xludf.DUMMYFUNCTION("""COMPUTED_VALUE"""),19530.0)</f>
        <v>19530</v>
      </c>
    </row>
    <row r="767">
      <c r="A767" s="2">
        <f>IFERROR(__xludf.DUMMYFUNCTION("""COMPUTED_VALUE"""),42045.64583333333)</f>
        <v>42045.64583</v>
      </c>
      <c r="B767" s="1">
        <f>IFERROR(__xludf.DUMMYFUNCTION("""COMPUTED_VALUE"""),4930.0)</f>
        <v>4930</v>
      </c>
      <c r="C767" s="1">
        <f>IFERROR(__xludf.DUMMYFUNCTION("""COMPUTED_VALUE"""),4995.0)</f>
        <v>4995</v>
      </c>
      <c r="D767" s="1">
        <f>IFERROR(__xludf.DUMMYFUNCTION("""COMPUTED_VALUE"""),4930.0)</f>
        <v>4930</v>
      </c>
      <c r="E767" s="1">
        <f>IFERROR(__xludf.DUMMYFUNCTION("""COMPUTED_VALUE"""),4940.0)</f>
        <v>4940</v>
      </c>
      <c r="F767" s="1">
        <f>IFERROR(__xludf.DUMMYFUNCTION("""COMPUTED_VALUE"""),13038.0)</f>
        <v>13038</v>
      </c>
    </row>
    <row r="768">
      <c r="A768" s="2">
        <f>IFERROR(__xludf.DUMMYFUNCTION("""COMPUTED_VALUE"""),42046.64583333333)</f>
        <v>42046.64583</v>
      </c>
      <c r="B768" s="1">
        <f>IFERROR(__xludf.DUMMYFUNCTION("""COMPUTED_VALUE"""),4940.0)</f>
        <v>4940</v>
      </c>
      <c r="C768" s="1">
        <f>IFERROR(__xludf.DUMMYFUNCTION("""COMPUTED_VALUE"""),5070.0)</f>
        <v>5070</v>
      </c>
      <c r="D768" s="1">
        <f>IFERROR(__xludf.DUMMYFUNCTION("""COMPUTED_VALUE"""),4940.0)</f>
        <v>4940</v>
      </c>
      <c r="E768" s="1">
        <f>IFERROR(__xludf.DUMMYFUNCTION("""COMPUTED_VALUE"""),4950.0)</f>
        <v>4950</v>
      </c>
      <c r="F768" s="1">
        <f>IFERROR(__xludf.DUMMYFUNCTION("""COMPUTED_VALUE"""),12517.0)</f>
        <v>12517</v>
      </c>
    </row>
    <row r="769">
      <c r="A769" s="2">
        <f>IFERROR(__xludf.DUMMYFUNCTION("""COMPUTED_VALUE"""),42047.64583333333)</f>
        <v>42047.64583</v>
      </c>
      <c r="B769" s="1">
        <f>IFERROR(__xludf.DUMMYFUNCTION("""COMPUTED_VALUE"""),4950.0)</f>
        <v>4950</v>
      </c>
      <c r="C769" s="1">
        <f>IFERROR(__xludf.DUMMYFUNCTION("""COMPUTED_VALUE"""),5080.0)</f>
        <v>5080</v>
      </c>
      <c r="D769" s="1">
        <f>IFERROR(__xludf.DUMMYFUNCTION("""COMPUTED_VALUE"""),4880.0)</f>
        <v>4880</v>
      </c>
      <c r="E769" s="1">
        <f>IFERROR(__xludf.DUMMYFUNCTION("""COMPUTED_VALUE"""),4955.0)</f>
        <v>4955</v>
      </c>
      <c r="F769" s="1">
        <f>IFERROR(__xludf.DUMMYFUNCTION("""COMPUTED_VALUE"""),29361.0)</f>
        <v>29361</v>
      </c>
    </row>
    <row r="770">
      <c r="A770" s="2">
        <f>IFERROR(__xludf.DUMMYFUNCTION("""COMPUTED_VALUE"""),42048.64583333333)</f>
        <v>42048.64583</v>
      </c>
      <c r="B770" s="1">
        <f>IFERROR(__xludf.DUMMYFUNCTION("""COMPUTED_VALUE"""),4930.0)</f>
        <v>4930</v>
      </c>
      <c r="C770" s="1">
        <f>IFERROR(__xludf.DUMMYFUNCTION("""COMPUTED_VALUE"""),5100.0)</f>
        <v>5100</v>
      </c>
      <c r="D770" s="1">
        <f>IFERROR(__xludf.DUMMYFUNCTION("""COMPUTED_VALUE"""),4920.0)</f>
        <v>4920</v>
      </c>
      <c r="E770" s="1">
        <f>IFERROR(__xludf.DUMMYFUNCTION("""COMPUTED_VALUE"""),5060.0)</f>
        <v>5060</v>
      </c>
      <c r="F770" s="1">
        <f>IFERROR(__xludf.DUMMYFUNCTION("""COMPUTED_VALUE"""),35205.0)</f>
        <v>35205</v>
      </c>
    </row>
    <row r="771">
      <c r="A771" s="2">
        <f>IFERROR(__xludf.DUMMYFUNCTION("""COMPUTED_VALUE"""),42051.64583333333)</f>
        <v>42051.64583</v>
      </c>
      <c r="B771" s="1">
        <f>IFERROR(__xludf.DUMMYFUNCTION("""COMPUTED_VALUE"""),5080.0)</f>
        <v>5080</v>
      </c>
      <c r="C771" s="1">
        <f>IFERROR(__xludf.DUMMYFUNCTION("""COMPUTED_VALUE"""),5200.0)</f>
        <v>5200</v>
      </c>
      <c r="D771" s="1">
        <f>IFERROR(__xludf.DUMMYFUNCTION("""COMPUTED_VALUE"""),5040.0)</f>
        <v>5040</v>
      </c>
      <c r="E771" s="1">
        <f>IFERROR(__xludf.DUMMYFUNCTION("""COMPUTED_VALUE"""),5150.0)</f>
        <v>5150</v>
      </c>
      <c r="F771" s="1">
        <f>IFERROR(__xludf.DUMMYFUNCTION("""COMPUTED_VALUE"""),56966.0)</f>
        <v>56966</v>
      </c>
    </row>
    <row r="772">
      <c r="A772" s="2">
        <f>IFERROR(__xludf.DUMMYFUNCTION("""COMPUTED_VALUE"""),42052.64583333333)</f>
        <v>42052.64583</v>
      </c>
      <c r="B772" s="1">
        <f>IFERROR(__xludf.DUMMYFUNCTION("""COMPUTED_VALUE"""),5100.0)</f>
        <v>5100</v>
      </c>
      <c r="C772" s="1">
        <f>IFERROR(__xludf.DUMMYFUNCTION("""COMPUTED_VALUE"""),5300.0)</f>
        <v>5300</v>
      </c>
      <c r="D772" s="1">
        <f>IFERROR(__xludf.DUMMYFUNCTION("""COMPUTED_VALUE"""),5080.0)</f>
        <v>5080</v>
      </c>
      <c r="E772" s="1">
        <f>IFERROR(__xludf.DUMMYFUNCTION("""COMPUTED_VALUE"""),5180.0)</f>
        <v>5180</v>
      </c>
      <c r="F772" s="1">
        <f>IFERROR(__xludf.DUMMYFUNCTION("""COMPUTED_VALUE"""),60923.0)</f>
        <v>60923</v>
      </c>
    </row>
    <row r="773">
      <c r="A773" s="2">
        <f>IFERROR(__xludf.DUMMYFUNCTION("""COMPUTED_VALUE"""),42058.64583333333)</f>
        <v>42058.64583</v>
      </c>
      <c r="B773" s="1">
        <f>IFERROR(__xludf.DUMMYFUNCTION("""COMPUTED_VALUE"""),5160.0)</f>
        <v>5160</v>
      </c>
      <c r="C773" s="1">
        <f>IFERROR(__xludf.DUMMYFUNCTION("""COMPUTED_VALUE"""),5200.0)</f>
        <v>5200</v>
      </c>
      <c r="D773" s="1">
        <f>IFERROR(__xludf.DUMMYFUNCTION("""COMPUTED_VALUE"""),5080.0)</f>
        <v>5080</v>
      </c>
      <c r="E773" s="1">
        <f>IFERROR(__xludf.DUMMYFUNCTION("""COMPUTED_VALUE"""),5190.0)</f>
        <v>5190</v>
      </c>
      <c r="F773" s="1">
        <f>IFERROR(__xludf.DUMMYFUNCTION("""COMPUTED_VALUE"""),30110.0)</f>
        <v>30110</v>
      </c>
    </row>
    <row r="774">
      <c r="A774" s="2">
        <f>IFERROR(__xludf.DUMMYFUNCTION("""COMPUTED_VALUE"""),42059.64583333333)</f>
        <v>42059.64583</v>
      </c>
      <c r="B774" s="1">
        <f>IFERROR(__xludf.DUMMYFUNCTION("""COMPUTED_VALUE"""),5160.0)</f>
        <v>5160</v>
      </c>
      <c r="C774" s="1">
        <f>IFERROR(__xludf.DUMMYFUNCTION("""COMPUTED_VALUE"""),5260.0)</f>
        <v>5260</v>
      </c>
      <c r="D774" s="1">
        <f>IFERROR(__xludf.DUMMYFUNCTION("""COMPUTED_VALUE"""),5090.0)</f>
        <v>5090</v>
      </c>
      <c r="E774" s="1">
        <f>IFERROR(__xludf.DUMMYFUNCTION("""COMPUTED_VALUE"""),5100.0)</f>
        <v>5100</v>
      </c>
      <c r="F774" s="1">
        <f>IFERROR(__xludf.DUMMYFUNCTION("""COMPUTED_VALUE"""),29963.0)</f>
        <v>29963</v>
      </c>
    </row>
    <row r="775">
      <c r="A775" s="2">
        <f>IFERROR(__xludf.DUMMYFUNCTION("""COMPUTED_VALUE"""),42060.64583333333)</f>
        <v>42060.64583</v>
      </c>
      <c r="B775" s="1">
        <f>IFERROR(__xludf.DUMMYFUNCTION("""COMPUTED_VALUE"""),5130.0)</f>
        <v>5130</v>
      </c>
      <c r="C775" s="1">
        <f>IFERROR(__xludf.DUMMYFUNCTION("""COMPUTED_VALUE"""),5170.0)</f>
        <v>5170</v>
      </c>
      <c r="D775" s="1">
        <f>IFERROR(__xludf.DUMMYFUNCTION("""COMPUTED_VALUE"""),5070.0)</f>
        <v>5070</v>
      </c>
      <c r="E775" s="1">
        <f>IFERROR(__xludf.DUMMYFUNCTION("""COMPUTED_VALUE"""),5100.0)</f>
        <v>5100</v>
      </c>
      <c r="F775" s="1">
        <f>IFERROR(__xludf.DUMMYFUNCTION("""COMPUTED_VALUE"""),24949.0)</f>
        <v>24949</v>
      </c>
    </row>
    <row r="776">
      <c r="A776" s="2">
        <f>IFERROR(__xludf.DUMMYFUNCTION("""COMPUTED_VALUE"""),42061.64583333333)</f>
        <v>42061.64583</v>
      </c>
      <c r="B776" s="1">
        <f>IFERROR(__xludf.DUMMYFUNCTION("""COMPUTED_VALUE"""),5150.0)</f>
        <v>5150</v>
      </c>
      <c r="C776" s="1">
        <f>IFERROR(__xludf.DUMMYFUNCTION("""COMPUTED_VALUE"""),5150.0)</f>
        <v>5150</v>
      </c>
      <c r="D776" s="1">
        <f>IFERROR(__xludf.DUMMYFUNCTION("""COMPUTED_VALUE"""),5050.0)</f>
        <v>5050</v>
      </c>
      <c r="E776" s="1">
        <f>IFERROR(__xludf.DUMMYFUNCTION("""COMPUTED_VALUE"""),5110.0)</f>
        <v>5110</v>
      </c>
      <c r="F776" s="1">
        <f>IFERROR(__xludf.DUMMYFUNCTION("""COMPUTED_VALUE"""),16478.0)</f>
        <v>16478</v>
      </c>
    </row>
    <row r="777">
      <c r="A777" s="2">
        <f>IFERROR(__xludf.DUMMYFUNCTION("""COMPUTED_VALUE"""),42062.64583333333)</f>
        <v>42062.64583</v>
      </c>
      <c r="B777" s="1">
        <f>IFERROR(__xludf.DUMMYFUNCTION("""COMPUTED_VALUE"""),5150.0)</f>
        <v>5150</v>
      </c>
      <c r="C777" s="1">
        <f>IFERROR(__xludf.DUMMYFUNCTION("""COMPUTED_VALUE"""),5150.0)</f>
        <v>5150</v>
      </c>
      <c r="D777" s="1">
        <f>IFERROR(__xludf.DUMMYFUNCTION("""COMPUTED_VALUE"""),5000.0)</f>
        <v>5000</v>
      </c>
      <c r="E777" s="1">
        <f>IFERROR(__xludf.DUMMYFUNCTION("""COMPUTED_VALUE"""),5010.0)</f>
        <v>5010</v>
      </c>
      <c r="F777" s="1">
        <f>IFERROR(__xludf.DUMMYFUNCTION("""COMPUTED_VALUE"""),37424.0)</f>
        <v>37424</v>
      </c>
    </row>
    <row r="778">
      <c r="A778" s="2">
        <f>IFERROR(__xludf.DUMMYFUNCTION("""COMPUTED_VALUE"""),42065.64583333333)</f>
        <v>42065.64583</v>
      </c>
      <c r="B778" s="1">
        <f>IFERROR(__xludf.DUMMYFUNCTION("""COMPUTED_VALUE"""),4990.0)</f>
        <v>4990</v>
      </c>
      <c r="C778" s="1">
        <f>IFERROR(__xludf.DUMMYFUNCTION("""COMPUTED_VALUE"""),5080.0)</f>
        <v>5080</v>
      </c>
      <c r="D778" s="1">
        <f>IFERROR(__xludf.DUMMYFUNCTION("""COMPUTED_VALUE"""),4990.0)</f>
        <v>4990</v>
      </c>
      <c r="E778" s="1">
        <f>IFERROR(__xludf.DUMMYFUNCTION("""COMPUTED_VALUE"""),5020.0)</f>
        <v>5020</v>
      </c>
      <c r="F778" s="1">
        <f>IFERROR(__xludf.DUMMYFUNCTION("""COMPUTED_VALUE"""),23920.0)</f>
        <v>23920</v>
      </c>
    </row>
    <row r="779">
      <c r="A779" s="2">
        <f>IFERROR(__xludf.DUMMYFUNCTION("""COMPUTED_VALUE"""),42066.64583333333)</f>
        <v>42066.64583</v>
      </c>
      <c r="B779" s="1">
        <f>IFERROR(__xludf.DUMMYFUNCTION("""COMPUTED_VALUE"""),5020.0)</f>
        <v>5020</v>
      </c>
      <c r="C779" s="1">
        <f>IFERROR(__xludf.DUMMYFUNCTION("""COMPUTED_VALUE"""),5100.0)</f>
        <v>5100</v>
      </c>
      <c r="D779" s="1">
        <f>IFERROR(__xludf.DUMMYFUNCTION("""COMPUTED_VALUE"""),4985.0)</f>
        <v>4985</v>
      </c>
      <c r="E779" s="1">
        <f>IFERROR(__xludf.DUMMYFUNCTION("""COMPUTED_VALUE"""),5010.0)</f>
        <v>5010</v>
      </c>
      <c r="F779" s="1">
        <f>IFERROR(__xludf.DUMMYFUNCTION("""COMPUTED_VALUE"""),14630.0)</f>
        <v>14630</v>
      </c>
    </row>
    <row r="780">
      <c r="A780" s="2">
        <f>IFERROR(__xludf.DUMMYFUNCTION("""COMPUTED_VALUE"""),42067.64583333333)</f>
        <v>42067.64583</v>
      </c>
      <c r="B780" s="1">
        <f>IFERROR(__xludf.DUMMYFUNCTION("""COMPUTED_VALUE"""),5010.0)</f>
        <v>5010</v>
      </c>
      <c r="C780" s="1">
        <f>IFERROR(__xludf.DUMMYFUNCTION("""COMPUTED_VALUE"""),5050.0)</f>
        <v>5050</v>
      </c>
      <c r="D780" s="1">
        <f>IFERROR(__xludf.DUMMYFUNCTION("""COMPUTED_VALUE"""),4995.0)</f>
        <v>4995</v>
      </c>
      <c r="E780" s="1">
        <f>IFERROR(__xludf.DUMMYFUNCTION("""COMPUTED_VALUE"""),5000.0)</f>
        <v>5000</v>
      </c>
      <c r="F780" s="1">
        <f>IFERROR(__xludf.DUMMYFUNCTION("""COMPUTED_VALUE"""),20317.0)</f>
        <v>20317</v>
      </c>
    </row>
    <row r="781">
      <c r="A781" s="2">
        <f>IFERROR(__xludf.DUMMYFUNCTION("""COMPUTED_VALUE"""),42068.64583333333)</f>
        <v>42068.64583</v>
      </c>
      <c r="B781" s="1">
        <f>IFERROR(__xludf.DUMMYFUNCTION("""COMPUTED_VALUE"""),4990.0)</f>
        <v>4990</v>
      </c>
      <c r="C781" s="1">
        <f>IFERROR(__xludf.DUMMYFUNCTION("""COMPUTED_VALUE"""),5140.0)</f>
        <v>5140</v>
      </c>
      <c r="D781" s="1">
        <f>IFERROR(__xludf.DUMMYFUNCTION("""COMPUTED_VALUE"""),4990.0)</f>
        <v>4990</v>
      </c>
      <c r="E781" s="1">
        <f>IFERROR(__xludf.DUMMYFUNCTION("""COMPUTED_VALUE"""),5090.0)</f>
        <v>5090</v>
      </c>
      <c r="F781" s="1">
        <f>IFERROR(__xludf.DUMMYFUNCTION("""COMPUTED_VALUE"""),29186.0)</f>
        <v>29186</v>
      </c>
    </row>
    <row r="782">
      <c r="A782" s="2">
        <f>IFERROR(__xludf.DUMMYFUNCTION("""COMPUTED_VALUE"""),42069.64583333333)</f>
        <v>42069.64583</v>
      </c>
      <c r="B782" s="1">
        <f>IFERROR(__xludf.DUMMYFUNCTION("""COMPUTED_VALUE"""),5140.0)</f>
        <v>5140</v>
      </c>
      <c r="C782" s="1">
        <f>IFERROR(__xludf.DUMMYFUNCTION("""COMPUTED_VALUE"""),5140.0)</f>
        <v>5140</v>
      </c>
      <c r="D782" s="1">
        <f>IFERROR(__xludf.DUMMYFUNCTION("""COMPUTED_VALUE"""),5050.0)</f>
        <v>5050</v>
      </c>
      <c r="E782" s="1">
        <f>IFERROR(__xludf.DUMMYFUNCTION("""COMPUTED_VALUE"""),5110.0)</f>
        <v>5110</v>
      </c>
      <c r="F782" s="1">
        <f>IFERROR(__xludf.DUMMYFUNCTION("""COMPUTED_VALUE"""),19391.0)</f>
        <v>19391</v>
      </c>
    </row>
    <row r="783">
      <c r="A783" s="2">
        <f>IFERROR(__xludf.DUMMYFUNCTION("""COMPUTED_VALUE"""),42072.64583333333)</f>
        <v>42072.64583</v>
      </c>
      <c r="B783" s="1">
        <f>IFERROR(__xludf.DUMMYFUNCTION("""COMPUTED_VALUE"""),5120.0)</f>
        <v>5120</v>
      </c>
      <c r="C783" s="1">
        <f>IFERROR(__xludf.DUMMYFUNCTION("""COMPUTED_VALUE"""),5120.0)</f>
        <v>5120</v>
      </c>
      <c r="D783" s="1">
        <f>IFERROR(__xludf.DUMMYFUNCTION("""COMPUTED_VALUE"""),5000.0)</f>
        <v>5000</v>
      </c>
      <c r="E783" s="1">
        <f>IFERROR(__xludf.DUMMYFUNCTION("""COMPUTED_VALUE"""),5020.0)</f>
        <v>5020</v>
      </c>
      <c r="F783" s="1">
        <f>IFERROR(__xludf.DUMMYFUNCTION("""COMPUTED_VALUE"""),14394.0)</f>
        <v>14394</v>
      </c>
    </row>
    <row r="784">
      <c r="A784" s="2">
        <f>IFERROR(__xludf.DUMMYFUNCTION("""COMPUTED_VALUE"""),42073.64583333333)</f>
        <v>42073.64583</v>
      </c>
      <c r="B784" s="1">
        <f>IFERROR(__xludf.DUMMYFUNCTION("""COMPUTED_VALUE"""),5060.0)</f>
        <v>5060</v>
      </c>
      <c r="C784" s="1">
        <f>IFERROR(__xludf.DUMMYFUNCTION("""COMPUTED_VALUE"""),5070.0)</f>
        <v>5070</v>
      </c>
      <c r="D784" s="1">
        <f>IFERROR(__xludf.DUMMYFUNCTION("""COMPUTED_VALUE"""),4960.0)</f>
        <v>4960</v>
      </c>
      <c r="E784" s="1">
        <f>IFERROR(__xludf.DUMMYFUNCTION("""COMPUTED_VALUE"""),4965.0)</f>
        <v>4965</v>
      </c>
      <c r="F784" s="1">
        <f>IFERROR(__xludf.DUMMYFUNCTION("""COMPUTED_VALUE"""),25222.0)</f>
        <v>25222</v>
      </c>
    </row>
    <row r="785">
      <c r="A785" s="2">
        <f>IFERROR(__xludf.DUMMYFUNCTION("""COMPUTED_VALUE"""),42074.64583333333)</f>
        <v>42074.64583</v>
      </c>
      <c r="B785" s="1">
        <f>IFERROR(__xludf.DUMMYFUNCTION("""COMPUTED_VALUE"""),4995.0)</f>
        <v>4995</v>
      </c>
      <c r="C785" s="1">
        <f>IFERROR(__xludf.DUMMYFUNCTION("""COMPUTED_VALUE"""),4995.0)</f>
        <v>4995</v>
      </c>
      <c r="D785" s="1">
        <f>IFERROR(__xludf.DUMMYFUNCTION("""COMPUTED_VALUE"""),4915.0)</f>
        <v>4915</v>
      </c>
      <c r="E785" s="1">
        <f>IFERROR(__xludf.DUMMYFUNCTION("""COMPUTED_VALUE"""),4925.0)</f>
        <v>4925</v>
      </c>
      <c r="F785" s="1">
        <f>IFERROR(__xludf.DUMMYFUNCTION("""COMPUTED_VALUE"""),25308.0)</f>
        <v>25308</v>
      </c>
    </row>
    <row r="786">
      <c r="A786" s="2">
        <f>IFERROR(__xludf.DUMMYFUNCTION("""COMPUTED_VALUE"""),42075.64583333333)</f>
        <v>42075.64583</v>
      </c>
      <c r="B786" s="1">
        <f>IFERROR(__xludf.DUMMYFUNCTION("""COMPUTED_VALUE"""),4930.0)</f>
        <v>4930</v>
      </c>
      <c r="C786" s="1">
        <f>IFERROR(__xludf.DUMMYFUNCTION("""COMPUTED_VALUE"""),5010.0)</f>
        <v>5010</v>
      </c>
      <c r="D786" s="1">
        <f>IFERROR(__xludf.DUMMYFUNCTION("""COMPUTED_VALUE"""),4930.0)</f>
        <v>4930</v>
      </c>
      <c r="E786" s="1">
        <f>IFERROR(__xludf.DUMMYFUNCTION("""COMPUTED_VALUE"""),4980.0)</f>
        <v>4980</v>
      </c>
      <c r="F786" s="1">
        <f>IFERROR(__xludf.DUMMYFUNCTION("""COMPUTED_VALUE"""),19460.0)</f>
        <v>19460</v>
      </c>
    </row>
    <row r="787">
      <c r="A787" s="2">
        <f>IFERROR(__xludf.DUMMYFUNCTION("""COMPUTED_VALUE"""),42076.64583333333)</f>
        <v>42076.64583</v>
      </c>
      <c r="B787" s="1">
        <f>IFERROR(__xludf.DUMMYFUNCTION("""COMPUTED_VALUE"""),4995.0)</f>
        <v>4995</v>
      </c>
      <c r="C787" s="1">
        <f>IFERROR(__xludf.DUMMYFUNCTION("""COMPUTED_VALUE"""),5020.0)</f>
        <v>5020</v>
      </c>
      <c r="D787" s="1">
        <f>IFERROR(__xludf.DUMMYFUNCTION("""COMPUTED_VALUE"""),4985.0)</f>
        <v>4985</v>
      </c>
      <c r="E787" s="1">
        <f>IFERROR(__xludf.DUMMYFUNCTION("""COMPUTED_VALUE"""),4990.0)</f>
        <v>4990</v>
      </c>
      <c r="F787" s="1">
        <f>IFERROR(__xludf.DUMMYFUNCTION("""COMPUTED_VALUE"""),17385.0)</f>
        <v>17385</v>
      </c>
    </row>
    <row r="788">
      <c r="A788" s="2">
        <f>IFERROR(__xludf.DUMMYFUNCTION("""COMPUTED_VALUE"""),42079.64583333333)</f>
        <v>42079.64583</v>
      </c>
      <c r="B788" s="1">
        <f>IFERROR(__xludf.DUMMYFUNCTION("""COMPUTED_VALUE"""),5000.0)</f>
        <v>5000</v>
      </c>
      <c r="C788" s="1">
        <f>IFERROR(__xludf.DUMMYFUNCTION("""COMPUTED_VALUE"""),5010.0)</f>
        <v>5010</v>
      </c>
      <c r="D788" s="1">
        <f>IFERROR(__xludf.DUMMYFUNCTION("""COMPUTED_VALUE"""),4950.0)</f>
        <v>4950</v>
      </c>
      <c r="E788" s="1">
        <f>IFERROR(__xludf.DUMMYFUNCTION("""COMPUTED_VALUE"""),4995.0)</f>
        <v>4995</v>
      </c>
      <c r="F788" s="1">
        <f>IFERROR(__xludf.DUMMYFUNCTION("""COMPUTED_VALUE"""),19805.0)</f>
        <v>19805</v>
      </c>
    </row>
    <row r="789">
      <c r="A789" s="2">
        <f>IFERROR(__xludf.DUMMYFUNCTION("""COMPUTED_VALUE"""),42080.64583333333)</f>
        <v>42080.64583</v>
      </c>
      <c r="B789" s="1">
        <f>IFERROR(__xludf.DUMMYFUNCTION("""COMPUTED_VALUE"""),5000.0)</f>
        <v>5000</v>
      </c>
      <c r="C789" s="1">
        <f>IFERROR(__xludf.DUMMYFUNCTION("""COMPUTED_VALUE"""),5010.0)</f>
        <v>5010</v>
      </c>
      <c r="D789" s="1">
        <f>IFERROR(__xludf.DUMMYFUNCTION("""COMPUTED_VALUE"""),4975.0)</f>
        <v>4975</v>
      </c>
      <c r="E789" s="1">
        <f>IFERROR(__xludf.DUMMYFUNCTION("""COMPUTED_VALUE"""),5000.0)</f>
        <v>5000</v>
      </c>
      <c r="F789" s="1">
        <f>IFERROR(__xludf.DUMMYFUNCTION("""COMPUTED_VALUE"""),9197.0)</f>
        <v>9197</v>
      </c>
    </row>
    <row r="790">
      <c r="A790" s="2">
        <f>IFERROR(__xludf.DUMMYFUNCTION("""COMPUTED_VALUE"""),42081.64583333333)</f>
        <v>42081.64583</v>
      </c>
      <c r="B790" s="1">
        <f>IFERROR(__xludf.DUMMYFUNCTION("""COMPUTED_VALUE"""),5000.0)</f>
        <v>5000</v>
      </c>
      <c r="C790" s="1">
        <f>IFERROR(__xludf.DUMMYFUNCTION("""COMPUTED_VALUE"""),5020.0)</f>
        <v>5020</v>
      </c>
      <c r="D790" s="1">
        <f>IFERROR(__xludf.DUMMYFUNCTION("""COMPUTED_VALUE"""),4965.0)</f>
        <v>4965</v>
      </c>
      <c r="E790" s="1">
        <f>IFERROR(__xludf.DUMMYFUNCTION("""COMPUTED_VALUE"""),4970.0)</f>
        <v>4970</v>
      </c>
      <c r="F790" s="1">
        <f>IFERROR(__xludf.DUMMYFUNCTION("""COMPUTED_VALUE"""),9564.0)</f>
        <v>9564</v>
      </c>
    </row>
    <row r="791">
      <c r="A791" s="2">
        <f>IFERROR(__xludf.DUMMYFUNCTION("""COMPUTED_VALUE"""),42082.64583333333)</f>
        <v>42082.64583</v>
      </c>
      <c r="B791" s="1">
        <f>IFERROR(__xludf.DUMMYFUNCTION("""COMPUTED_VALUE"""),4970.0)</f>
        <v>4970</v>
      </c>
      <c r="C791" s="1">
        <f>IFERROR(__xludf.DUMMYFUNCTION("""COMPUTED_VALUE"""),5020.0)</f>
        <v>5020</v>
      </c>
      <c r="D791" s="1">
        <f>IFERROR(__xludf.DUMMYFUNCTION("""COMPUTED_VALUE"""),4965.0)</f>
        <v>4965</v>
      </c>
      <c r="E791" s="1">
        <f>IFERROR(__xludf.DUMMYFUNCTION("""COMPUTED_VALUE"""),4980.0)</f>
        <v>4980</v>
      </c>
      <c r="F791" s="1">
        <f>IFERROR(__xludf.DUMMYFUNCTION("""COMPUTED_VALUE"""),12533.0)</f>
        <v>12533</v>
      </c>
    </row>
    <row r="792">
      <c r="A792" s="2">
        <f>IFERROR(__xludf.DUMMYFUNCTION("""COMPUTED_VALUE"""),42083.64583333333)</f>
        <v>42083.64583</v>
      </c>
      <c r="B792" s="1">
        <f>IFERROR(__xludf.DUMMYFUNCTION("""COMPUTED_VALUE"""),4985.0)</f>
        <v>4985</v>
      </c>
      <c r="C792" s="1">
        <f>IFERROR(__xludf.DUMMYFUNCTION("""COMPUTED_VALUE"""),5040.0)</f>
        <v>5040</v>
      </c>
      <c r="D792" s="1">
        <f>IFERROR(__xludf.DUMMYFUNCTION("""COMPUTED_VALUE"""),4980.0)</f>
        <v>4980</v>
      </c>
      <c r="E792" s="1">
        <f>IFERROR(__xludf.DUMMYFUNCTION("""COMPUTED_VALUE"""),5040.0)</f>
        <v>5040</v>
      </c>
      <c r="F792" s="1">
        <f>IFERROR(__xludf.DUMMYFUNCTION("""COMPUTED_VALUE"""),20814.0)</f>
        <v>20814</v>
      </c>
    </row>
    <row r="793">
      <c r="A793" s="2">
        <f>IFERROR(__xludf.DUMMYFUNCTION("""COMPUTED_VALUE"""),42086.64583333333)</f>
        <v>42086.64583</v>
      </c>
      <c r="B793" s="1">
        <f>IFERROR(__xludf.DUMMYFUNCTION("""COMPUTED_VALUE"""),5040.0)</f>
        <v>5040</v>
      </c>
      <c r="C793" s="1">
        <f>IFERROR(__xludf.DUMMYFUNCTION("""COMPUTED_VALUE"""),5040.0)</f>
        <v>5040</v>
      </c>
      <c r="D793" s="1">
        <f>IFERROR(__xludf.DUMMYFUNCTION("""COMPUTED_VALUE"""),4985.0)</f>
        <v>4985</v>
      </c>
      <c r="E793" s="1">
        <f>IFERROR(__xludf.DUMMYFUNCTION("""COMPUTED_VALUE"""),5030.0)</f>
        <v>5030</v>
      </c>
      <c r="F793" s="1">
        <f>IFERROR(__xludf.DUMMYFUNCTION("""COMPUTED_VALUE"""),17034.0)</f>
        <v>17034</v>
      </c>
    </row>
    <row r="794">
      <c r="A794" s="2">
        <f>IFERROR(__xludf.DUMMYFUNCTION("""COMPUTED_VALUE"""),42087.64583333333)</f>
        <v>42087.64583</v>
      </c>
      <c r="B794" s="1">
        <f>IFERROR(__xludf.DUMMYFUNCTION("""COMPUTED_VALUE"""),5010.0)</f>
        <v>5010</v>
      </c>
      <c r="C794" s="1">
        <f>IFERROR(__xludf.DUMMYFUNCTION("""COMPUTED_VALUE"""),5020.0)</f>
        <v>5020</v>
      </c>
      <c r="D794" s="1">
        <f>IFERROR(__xludf.DUMMYFUNCTION("""COMPUTED_VALUE"""),4990.0)</f>
        <v>4990</v>
      </c>
      <c r="E794" s="1">
        <f>IFERROR(__xludf.DUMMYFUNCTION("""COMPUTED_VALUE"""),5000.0)</f>
        <v>5000</v>
      </c>
      <c r="F794" s="1">
        <f>IFERROR(__xludf.DUMMYFUNCTION("""COMPUTED_VALUE"""),20083.0)</f>
        <v>20083</v>
      </c>
    </row>
    <row r="795">
      <c r="A795" s="2">
        <f>IFERROR(__xludf.DUMMYFUNCTION("""COMPUTED_VALUE"""),42088.64583333333)</f>
        <v>42088.64583</v>
      </c>
      <c r="B795" s="1">
        <f>IFERROR(__xludf.DUMMYFUNCTION("""COMPUTED_VALUE"""),5070.0)</f>
        <v>5070</v>
      </c>
      <c r="C795" s="1">
        <f>IFERROR(__xludf.DUMMYFUNCTION("""COMPUTED_VALUE"""),5090.0)</f>
        <v>5090</v>
      </c>
      <c r="D795" s="1">
        <f>IFERROR(__xludf.DUMMYFUNCTION("""COMPUTED_VALUE"""),5000.0)</f>
        <v>5000</v>
      </c>
      <c r="E795" s="1">
        <f>IFERROR(__xludf.DUMMYFUNCTION("""COMPUTED_VALUE"""),5090.0)</f>
        <v>5090</v>
      </c>
      <c r="F795" s="1">
        <f>IFERROR(__xludf.DUMMYFUNCTION("""COMPUTED_VALUE"""),30653.0)</f>
        <v>30653</v>
      </c>
    </row>
    <row r="796">
      <c r="A796" s="2">
        <f>IFERROR(__xludf.DUMMYFUNCTION("""COMPUTED_VALUE"""),42089.64583333333)</f>
        <v>42089.64583</v>
      </c>
      <c r="B796" s="1">
        <f>IFERROR(__xludf.DUMMYFUNCTION("""COMPUTED_VALUE"""),5090.0)</f>
        <v>5090</v>
      </c>
      <c r="C796" s="1">
        <f>IFERROR(__xludf.DUMMYFUNCTION("""COMPUTED_VALUE"""),5180.0)</f>
        <v>5180</v>
      </c>
      <c r="D796" s="1">
        <f>IFERROR(__xludf.DUMMYFUNCTION("""COMPUTED_VALUE"""),5060.0)</f>
        <v>5060</v>
      </c>
      <c r="E796" s="1">
        <f>IFERROR(__xludf.DUMMYFUNCTION("""COMPUTED_VALUE"""),5160.0)</f>
        <v>5160</v>
      </c>
      <c r="F796" s="1">
        <f>IFERROR(__xludf.DUMMYFUNCTION("""COMPUTED_VALUE"""),44554.0)</f>
        <v>44554</v>
      </c>
    </row>
    <row r="797">
      <c r="A797" s="2">
        <f>IFERROR(__xludf.DUMMYFUNCTION("""COMPUTED_VALUE"""),42090.64583333333)</f>
        <v>42090.64583</v>
      </c>
      <c r="B797" s="1">
        <f>IFERROR(__xludf.DUMMYFUNCTION("""COMPUTED_VALUE"""),5200.0)</f>
        <v>5200</v>
      </c>
      <c r="C797" s="1">
        <f>IFERROR(__xludf.DUMMYFUNCTION("""COMPUTED_VALUE"""),5430.0)</f>
        <v>5430</v>
      </c>
      <c r="D797" s="1">
        <f>IFERROR(__xludf.DUMMYFUNCTION("""COMPUTED_VALUE"""),5160.0)</f>
        <v>5160</v>
      </c>
      <c r="E797" s="1">
        <f>IFERROR(__xludf.DUMMYFUNCTION("""COMPUTED_VALUE"""),5430.0)</f>
        <v>5430</v>
      </c>
      <c r="F797" s="1">
        <f>IFERROR(__xludf.DUMMYFUNCTION("""COMPUTED_VALUE"""),112329.0)</f>
        <v>112329</v>
      </c>
    </row>
    <row r="798">
      <c r="A798" s="2">
        <f>IFERROR(__xludf.DUMMYFUNCTION("""COMPUTED_VALUE"""),42093.64583333333)</f>
        <v>42093.64583</v>
      </c>
      <c r="B798" s="1">
        <f>IFERROR(__xludf.DUMMYFUNCTION("""COMPUTED_VALUE"""),5380.0)</f>
        <v>5380</v>
      </c>
      <c r="C798" s="1">
        <f>IFERROR(__xludf.DUMMYFUNCTION("""COMPUTED_VALUE"""),5490.0)</f>
        <v>5490</v>
      </c>
      <c r="D798" s="1">
        <f>IFERROR(__xludf.DUMMYFUNCTION("""COMPUTED_VALUE"""),5340.0)</f>
        <v>5340</v>
      </c>
      <c r="E798" s="1">
        <f>IFERROR(__xludf.DUMMYFUNCTION("""COMPUTED_VALUE"""),5450.0)</f>
        <v>5450</v>
      </c>
      <c r="F798" s="1">
        <f>IFERROR(__xludf.DUMMYFUNCTION("""COMPUTED_VALUE"""),49655.0)</f>
        <v>49655</v>
      </c>
    </row>
    <row r="799">
      <c r="A799" s="2">
        <f>IFERROR(__xludf.DUMMYFUNCTION("""COMPUTED_VALUE"""),42094.64583333333)</f>
        <v>42094.64583</v>
      </c>
      <c r="B799" s="1">
        <f>IFERROR(__xludf.DUMMYFUNCTION("""COMPUTED_VALUE"""),5540.0)</f>
        <v>5540</v>
      </c>
      <c r="C799" s="1">
        <f>IFERROR(__xludf.DUMMYFUNCTION("""COMPUTED_VALUE"""),5950.0)</f>
        <v>5950</v>
      </c>
      <c r="D799" s="1">
        <f>IFERROR(__xludf.DUMMYFUNCTION("""COMPUTED_VALUE"""),5460.0)</f>
        <v>5460</v>
      </c>
      <c r="E799" s="1">
        <f>IFERROR(__xludf.DUMMYFUNCTION("""COMPUTED_VALUE"""),5650.0)</f>
        <v>5650</v>
      </c>
      <c r="F799" s="1">
        <f>IFERROR(__xludf.DUMMYFUNCTION("""COMPUTED_VALUE"""),86673.0)</f>
        <v>86673</v>
      </c>
    </row>
    <row r="800">
      <c r="A800" s="2">
        <f>IFERROR(__xludf.DUMMYFUNCTION("""COMPUTED_VALUE"""),42095.64583333333)</f>
        <v>42095.64583</v>
      </c>
      <c r="B800" s="1">
        <f>IFERROR(__xludf.DUMMYFUNCTION("""COMPUTED_VALUE"""),5650.0)</f>
        <v>5650</v>
      </c>
      <c r="C800" s="1">
        <f>IFERROR(__xludf.DUMMYFUNCTION("""COMPUTED_VALUE"""),5790.0)</f>
        <v>5790</v>
      </c>
      <c r="D800" s="1">
        <f>IFERROR(__xludf.DUMMYFUNCTION("""COMPUTED_VALUE"""),5550.0)</f>
        <v>5550</v>
      </c>
      <c r="E800" s="1">
        <f>IFERROR(__xludf.DUMMYFUNCTION("""COMPUTED_VALUE"""),5640.0)</f>
        <v>5640</v>
      </c>
      <c r="F800" s="1">
        <f>IFERROR(__xludf.DUMMYFUNCTION("""COMPUTED_VALUE"""),48754.0)</f>
        <v>48754</v>
      </c>
    </row>
    <row r="801">
      <c r="A801" s="2">
        <f>IFERROR(__xludf.DUMMYFUNCTION("""COMPUTED_VALUE"""),42096.64583333333)</f>
        <v>42096.64583</v>
      </c>
      <c r="B801" s="1">
        <f>IFERROR(__xludf.DUMMYFUNCTION("""COMPUTED_VALUE"""),5530.0)</f>
        <v>5530</v>
      </c>
      <c r="C801" s="1">
        <f>IFERROR(__xludf.DUMMYFUNCTION("""COMPUTED_VALUE"""),5710.0)</f>
        <v>5710</v>
      </c>
      <c r="D801" s="1">
        <f>IFERROR(__xludf.DUMMYFUNCTION("""COMPUTED_VALUE"""),5530.0)</f>
        <v>5530</v>
      </c>
      <c r="E801" s="1">
        <f>IFERROR(__xludf.DUMMYFUNCTION("""COMPUTED_VALUE"""),5710.0)</f>
        <v>5710</v>
      </c>
      <c r="F801" s="1">
        <f>IFERROR(__xludf.DUMMYFUNCTION("""COMPUTED_VALUE"""),46937.0)</f>
        <v>46937</v>
      </c>
    </row>
    <row r="802">
      <c r="A802" s="2">
        <f>IFERROR(__xludf.DUMMYFUNCTION("""COMPUTED_VALUE"""),42097.64583333333)</f>
        <v>42097.64583</v>
      </c>
      <c r="B802" s="1">
        <f>IFERROR(__xludf.DUMMYFUNCTION("""COMPUTED_VALUE"""),5900.0)</f>
        <v>5900</v>
      </c>
      <c r="C802" s="1">
        <f>IFERROR(__xludf.DUMMYFUNCTION("""COMPUTED_VALUE"""),5900.0)</f>
        <v>5900</v>
      </c>
      <c r="D802" s="1">
        <f>IFERROR(__xludf.DUMMYFUNCTION("""COMPUTED_VALUE"""),5750.0)</f>
        <v>5750</v>
      </c>
      <c r="E802" s="1">
        <f>IFERROR(__xludf.DUMMYFUNCTION("""COMPUTED_VALUE"""),5810.0)</f>
        <v>5810</v>
      </c>
      <c r="F802" s="1">
        <f>IFERROR(__xludf.DUMMYFUNCTION("""COMPUTED_VALUE"""),30738.0)</f>
        <v>30738</v>
      </c>
    </row>
    <row r="803">
      <c r="A803" s="2">
        <f>IFERROR(__xludf.DUMMYFUNCTION("""COMPUTED_VALUE"""),42100.64583333333)</f>
        <v>42100.64583</v>
      </c>
      <c r="B803" s="1">
        <f>IFERROR(__xludf.DUMMYFUNCTION("""COMPUTED_VALUE"""),5780.0)</f>
        <v>5780</v>
      </c>
      <c r="C803" s="1">
        <f>IFERROR(__xludf.DUMMYFUNCTION("""COMPUTED_VALUE"""),5860.0)</f>
        <v>5860</v>
      </c>
      <c r="D803" s="1">
        <f>IFERROR(__xludf.DUMMYFUNCTION("""COMPUTED_VALUE"""),5690.0)</f>
        <v>5690</v>
      </c>
      <c r="E803" s="1">
        <f>IFERROR(__xludf.DUMMYFUNCTION("""COMPUTED_VALUE"""),5800.0)</f>
        <v>5800</v>
      </c>
      <c r="F803" s="1">
        <f>IFERROR(__xludf.DUMMYFUNCTION("""COMPUTED_VALUE"""),34107.0)</f>
        <v>34107</v>
      </c>
    </row>
    <row r="804">
      <c r="A804" s="2">
        <f>IFERROR(__xludf.DUMMYFUNCTION("""COMPUTED_VALUE"""),42101.64583333333)</f>
        <v>42101.64583</v>
      </c>
      <c r="B804" s="1">
        <f>IFERROR(__xludf.DUMMYFUNCTION("""COMPUTED_VALUE"""),5710.0)</f>
        <v>5710</v>
      </c>
      <c r="C804" s="1">
        <f>IFERROR(__xludf.DUMMYFUNCTION("""COMPUTED_VALUE"""),5830.0)</f>
        <v>5830</v>
      </c>
      <c r="D804" s="1">
        <f>IFERROR(__xludf.DUMMYFUNCTION("""COMPUTED_VALUE"""),5680.0)</f>
        <v>5680</v>
      </c>
      <c r="E804" s="1">
        <f>IFERROR(__xludf.DUMMYFUNCTION("""COMPUTED_VALUE"""),5790.0)</f>
        <v>5790</v>
      </c>
      <c r="F804" s="1">
        <f>IFERROR(__xludf.DUMMYFUNCTION("""COMPUTED_VALUE"""),42685.0)</f>
        <v>42685</v>
      </c>
    </row>
    <row r="805">
      <c r="A805" s="2">
        <f>IFERROR(__xludf.DUMMYFUNCTION("""COMPUTED_VALUE"""),42102.64583333333)</f>
        <v>42102.64583</v>
      </c>
      <c r="B805" s="1">
        <f>IFERROR(__xludf.DUMMYFUNCTION("""COMPUTED_VALUE"""),5790.0)</f>
        <v>5790</v>
      </c>
      <c r="C805" s="1">
        <f>IFERROR(__xludf.DUMMYFUNCTION("""COMPUTED_VALUE"""),5850.0)</f>
        <v>5850</v>
      </c>
      <c r="D805" s="1">
        <f>IFERROR(__xludf.DUMMYFUNCTION("""COMPUTED_VALUE"""),5740.0)</f>
        <v>5740</v>
      </c>
      <c r="E805" s="1">
        <f>IFERROR(__xludf.DUMMYFUNCTION("""COMPUTED_VALUE"""),5800.0)</f>
        <v>5800</v>
      </c>
      <c r="F805" s="1">
        <f>IFERROR(__xludf.DUMMYFUNCTION("""COMPUTED_VALUE"""),34702.0)</f>
        <v>34702</v>
      </c>
    </row>
    <row r="806">
      <c r="A806" s="2">
        <f>IFERROR(__xludf.DUMMYFUNCTION("""COMPUTED_VALUE"""),42103.64583333333)</f>
        <v>42103.64583</v>
      </c>
      <c r="B806" s="1">
        <f>IFERROR(__xludf.DUMMYFUNCTION("""COMPUTED_VALUE"""),5800.0)</f>
        <v>5800</v>
      </c>
      <c r="C806" s="1">
        <f>IFERROR(__xludf.DUMMYFUNCTION("""COMPUTED_VALUE"""),5800.0)</f>
        <v>5800</v>
      </c>
      <c r="D806" s="1">
        <f>IFERROR(__xludf.DUMMYFUNCTION("""COMPUTED_VALUE"""),5710.0)</f>
        <v>5710</v>
      </c>
      <c r="E806" s="1">
        <f>IFERROR(__xludf.DUMMYFUNCTION("""COMPUTED_VALUE"""),5750.0)</f>
        <v>5750</v>
      </c>
      <c r="F806" s="1">
        <f>IFERROR(__xludf.DUMMYFUNCTION("""COMPUTED_VALUE"""),40239.0)</f>
        <v>40239</v>
      </c>
    </row>
    <row r="807">
      <c r="A807" s="2">
        <f>IFERROR(__xludf.DUMMYFUNCTION("""COMPUTED_VALUE"""),42104.64583333333)</f>
        <v>42104.64583</v>
      </c>
      <c r="B807" s="1">
        <f>IFERROR(__xludf.DUMMYFUNCTION("""COMPUTED_VALUE"""),5740.0)</f>
        <v>5740</v>
      </c>
      <c r="C807" s="1">
        <f>IFERROR(__xludf.DUMMYFUNCTION("""COMPUTED_VALUE"""),5810.0)</f>
        <v>5810</v>
      </c>
      <c r="D807" s="1">
        <f>IFERROR(__xludf.DUMMYFUNCTION("""COMPUTED_VALUE"""),5690.0)</f>
        <v>5690</v>
      </c>
      <c r="E807" s="1">
        <f>IFERROR(__xludf.DUMMYFUNCTION("""COMPUTED_VALUE"""),5750.0)</f>
        <v>5750</v>
      </c>
      <c r="F807" s="1">
        <f>IFERROR(__xludf.DUMMYFUNCTION("""COMPUTED_VALUE"""),36773.0)</f>
        <v>36773</v>
      </c>
    </row>
    <row r="808">
      <c r="A808" s="2">
        <f>IFERROR(__xludf.DUMMYFUNCTION("""COMPUTED_VALUE"""),42107.64583333333)</f>
        <v>42107.64583</v>
      </c>
      <c r="B808" s="1">
        <f>IFERROR(__xludf.DUMMYFUNCTION("""COMPUTED_VALUE"""),5750.0)</f>
        <v>5750</v>
      </c>
      <c r="C808" s="1">
        <f>IFERROR(__xludf.DUMMYFUNCTION("""COMPUTED_VALUE"""),5760.0)</f>
        <v>5760</v>
      </c>
      <c r="D808" s="1">
        <f>IFERROR(__xludf.DUMMYFUNCTION("""COMPUTED_VALUE"""),5600.0)</f>
        <v>5600</v>
      </c>
      <c r="E808" s="1">
        <f>IFERROR(__xludf.DUMMYFUNCTION("""COMPUTED_VALUE"""),5750.0)</f>
        <v>5750</v>
      </c>
      <c r="F808" s="1">
        <f>IFERROR(__xludf.DUMMYFUNCTION("""COMPUTED_VALUE"""),24643.0)</f>
        <v>24643</v>
      </c>
    </row>
    <row r="809">
      <c r="A809" s="2">
        <f>IFERROR(__xludf.DUMMYFUNCTION("""COMPUTED_VALUE"""),42108.64583333333)</f>
        <v>42108.64583</v>
      </c>
      <c r="B809" s="1">
        <f>IFERROR(__xludf.DUMMYFUNCTION("""COMPUTED_VALUE"""),5750.0)</f>
        <v>5750</v>
      </c>
      <c r="C809" s="1">
        <f>IFERROR(__xludf.DUMMYFUNCTION("""COMPUTED_VALUE"""),5870.0)</f>
        <v>5870</v>
      </c>
      <c r="D809" s="1">
        <f>IFERROR(__xludf.DUMMYFUNCTION("""COMPUTED_VALUE"""),5750.0)</f>
        <v>5750</v>
      </c>
      <c r="E809" s="1">
        <f>IFERROR(__xludf.DUMMYFUNCTION("""COMPUTED_VALUE"""),5800.0)</f>
        <v>5800</v>
      </c>
      <c r="F809" s="1">
        <f>IFERROR(__xludf.DUMMYFUNCTION("""COMPUTED_VALUE"""),31539.0)</f>
        <v>31539</v>
      </c>
    </row>
    <row r="810">
      <c r="A810" s="2">
        <f>IFERROR(__xludf.DUMMYFUNCTION("""COMPUTED_VALUE"""),42109.64583333333)</f>
        <v>42109.64583</v>
      </c>
      <c r="B810" s="1">
        <f>IFERROR(__xludf.DUMMYFUNCTION("""COMPUTED_VALUE"""),5850.0)</f>
        <v>5850</v>
      </c>
      <c r="C810" s="1">
        <f>IFERROR(__xludf.DUMMYFUNCTION("""COMPUTED_VALUE"""),5880.0)</f>
        <v>5880</v>
      </c>
      <c r="D810" s="1">
        <f>IFERROR(__xludf.DUMMYFUNCTION("""COMPUTED_VALUE"""),5750.0)</f>
        <v>5750</v>
      </c>
      <c r="E810" s="1">
        <f>IFERROR(__xludf.DUMMYFUNCTION("""COMPUTED_VALUE"""),5840.0)</f>
        <v>5840</v>
      </c>
      <c r="F810" s="1">
        <f>IFERROR(__xludf.DUMMYFUNCTION("""COMPUTED_VALUE"""),47939.0)</f>
        <v>47939</v>
      </c>
    </row>
    <row r="811">
      <c r="A811" s="2">
        <f>IFERROR(__xludf.DUMMYFUNCTION("""COMPUTED_VALUE"""),42110.64583333333)</f>
        <v>42110.64583</v>
      </c>
      <c r="B811" s="1">
        <f>IFERROR(__xludf.DUMMYFUNCTION("""COMPUTED_VALUE"""),5810.0)</f>
        <v>5810</v>
      </c>
      <c r="C811" s="1">
        <f>IFERROR(__xludf.DUMMYFUNCTION("""COMPUTED_VALUE"""),5990.0)</f>
        <v>5990</v>
      </c>
      <c r="D811" s="1">
        <f>IFERROR(__xludf.DUMMYFUNCTION("""COMPUTED_VALUE"""),5790.0)</f>
        <v>5790</v>
      </c>
      <c r="E811" s="1">
        <f>IFERROR(__xludf.DUMMYFUNCTION("""COMPUTED_VALUE"""),5810.0)</f>
        <v>5810</v>
      </c>
      <c r="F811" s="1">
        <f>IFERROR(__xludf.DUMMYFUNCTION("""COMPUTED_VALUE"""),14187.0)</f>
        <v>14187</v>
      </c>
    </row>
    <row r="812">
      <c r="A812" s="2">
        <f>IFERROR(__xludf.DUMMYFUNCTION("""COMPUTED_VALUE"""),42111.64583333333)</f>
        <v>42111.64583</v>
      </c>
      <c r="B812" s="1">
        <f>IFERROR(__xludf.DUMMYFUNCTION("""COMPUTED_VALUE"""),5870.0)</f>
        <v>5870</v>
      </c>
      <c r="C812" s="1">
        <f>IFERROR(__xludf.DUMMYFUNCTION("""COMPUTED_VALUE"""),5900.0)</f>
        <v>5900</v>
      </c>
      <c r="D812" s="1">
        <f>IFERROR(__xludf.DUMMYFUNCTION("""COMPUTED_VALUE"""),5750.0)</f>
        <v>5750</v>
      </c>
      <c r="E812" s="1">
        <f>IFERROR(__xludf.DUMMYFUNCTION("""COMPUTED_VALUE"""),5890.0)</f>
        <v>5890</v>
      </c>
      <c r="F812" s="1">
        <f>IFERROR(__xludf.DUMMYFUNCTION("""COMPUTED_VALUE"""),23201.0)</f>
        <v>23201</v>
      </c>
    </row>
    <row r="813">
      <c r="A813" s="2">
        <f>IFERROR(__xludf.DUMMYFUNCTION("""COMPUTED_VALUE"""),42114.64583333333)</f>
        <v>42114.64583</v>
      </c>
      <c r="B813" s="1">
        <f>IFERROR(__xludf.DUMMYFUNCTION("""COMPUTED_VALUE"""),5890.0)</f>
        <v>5890</v>
      </c>
      <c r="C813" s="1">
        <f>IFERROR(__xludf.DUMMYFUNCTION("""COMPUTED_VALUE"""),5890.0)</f>
        <v>5890</v>
      </c>
      <c r="D813" s="1">
        <f>IFERROR(__xludf.DUMMYFUNCTION("""COMPUTED_VALUE"""),5800.0)</f>
        <v>5800</v>
      </c>
      <c r="E813" s="1">
        <f>IFERROR(__xludf.DUMMYFUNCTION("""COMPUTED_VALUE"""),5880.0)</f>
        <v>5880</v>
      </c>
      <c r="F813" s="1">
        <f>IFERROR(__xludf.DUMMYFUNCTION("""COMPUTED_VALUE"""),9520.0)</f>
        <v>9520</v>
      </c>
    </row>
    <row r="814">
      <c r="A814" s="2">
        <f>IFERROR(__xludf.DUMMYFUNCTION("""COMPUTED_VALUE"""),42115.64583333333)</f>
        <v>42115.64583</v>
      </c>
      <c r="B814" s="1">
        <f>IFERROR(__xludf.DUMMYFUNCTION("""COMPUTED_VALUE"""),5930.0)</f>
        <v>5930</v>
      </c>
      <c r="C814" s="1">
        <f>IFERROR(__xludf.DUMMYFUNCTION("""COMPUTED_VALUE"""),5930.0)</f>
        <v>5930</v>
      </c>
      <c r="D814" s="1">
        <f>IFERROR(__xludf.DUMMYFUNCTION("""COMPUTED_VALUE"""),5770.0)</f>
        <v>5770</v>
      </c>
      <c r="E814" s="1">
        <f>IFERROR(__xludf.DUMMYFUNCTION("""COMPUTED_VALUE"""),5830.0)</f>
        <v>5830</v>
      </c>
      <c r="F814" s="1">
        <f>IFERROR(__xludf.DUMMYFUNCTION("""COMPUTED_VALUE"""),11629.0)</f>
        <v>11629</v>
      </c>
    </row>
    <row r="815">
      <c r="A815" s="2">
        <f>IFERROR(__xludf.DUMMYFUNCTION("""COMPUTED_VALUE"""),42116.64583333333)</f>
        <v>42116.64583</v>
      </c>
      <c r="B815" s="1">
        <f>IFERROR(__xludf.DUMMYFUNCTION("""COMPUTED_VALUE"""),5780.0)</f>
        <v>5780</v>
      </c>
      <c r="C815" s="1">
        <f>IFERROR(__xludf.DUMMYFUNCTION("""COMPUTED_VALUE"""),5820.0)</f>
        <v>5820</v>
      </c>
      <c r="D815" s="1">
        <f>IFERROR(__xludf.DUMMYFUNCTION("""COMPUTED_VALUE"""),5100.0)</f>
        <v>5100</v>
      </c>
      <c r="E815" s="1">
        <f>IFERROR(__xludf.DUMMYFUNCTION("""COMPUTED_VALUE"""),5740.0)</f>
        <v>5740</v>
      </c>
      <c r="F815" s="1">
        <f>IFERROR(__xludf.DUMMYFUNCTION("""COMPUTED_VALUE"""),40020.0)</f>
        <v>40020</v>
      </c>
    </row>
    <row r="816">
      <c r="A816" s="2">
        <f>IFERROR(__xludf.DUMMYFUNCTION("""COMPUTED_VALUE"""),42117.64583333333)</f>
        <v>42117.64583</v>
      </c>
      <c r="B816" s="1">
        <f>IFERROR(__xludf.DUMMYFUNCTION("""COMPUTED_VALUE"""),5740.0)</f>
        <v>5740</v>
      </c>
      <c r="C816" s="1">
        <f>IFERROR(__xludf.DUMMYFUNCTION("""COMPUTED_VALUE"""),5760.0)</f>
        <v>5760</v>
      </c>
      <c r="D816" s="1">
        <f>IFERROR(__xludf.DUMMYFUNCTION("""COMPUTED_VALUE"""),5480.0)</f>
        <v>5480</v>
      </c>
      <c r="E816" s="1">
        <f>IFERROR(__xludf.DUMMYFUNCTION("""COMPUTED_VALUE"""),5500.0)</f>
        <v>5500</v>
      </c>
      <c r="F816" s="1">
        <f>IFERROR(__xludf.DUMMYFUNCTION("""COMPUTED_VALUE"""),24311.0)</f>
        <v>24311</v>
      </c>
    </row>
    <row r="817">
      <c r="A817" s="2">
        <f>IFERROR(__xludf.DUMMYFUNCTION("""COMPUTED_VALUE"""),42118.64583333333)</f>
        <v>42118.64583</v>
      </c>
      <c r="B817" s="1">
        <f>IFERROR(__xludf.DUMMYFUNCTION("""COMPUTED_VALUE"""),5500.0)</f>
        <v>5500</v>
      </c>
      <c r="C817" s="1">
        <f>IFERROR(__xludf.DUMMYFUNCTION("""COMPUTED_VALUE"""),5630.0)</f>
        <v>5630</v>
      </c>
      <c r="D817" s="1">
        <f>IFERROR(__xludf.DUMMYFUNCTION("""COMPUTED_VALUE"""),5330.0)</f>
        <v>5330</v>
      </c>
      <c r="E817" s="1">
        <f>IFERROR(__xludf.DUMMYFUNCTION("""COMPUTED_VALUE"""),5410.0)</f>
        <v>5410</v>
      </c>
      <c r="F817" s="1">
        <f>IFERROR(__xludf.DUMMYFUNCTION("""COMPUTED_VALUE"""),32015.0)</f>
        <v>32015</v>
      </c>
    </row>
    <row r="818">
      <c r="A818" s="2">
        <f>IFERROR(__xludf.DUMMYFUNCTION("""COMPUTED_VALUE"""),42121.64583333333)</f>
        <v>42121.64583</v>
      </c>
      <c r="B818" s="1">
        <f>IFERROR(__xludf.DUMMYFUNCTION("""COMPUTED_VALUE"""),5570.0)</f>
        <v>5570</v>
      </c>
      <c r="C818" s="1">
        <f>IFERROR(__xludf.DUMMYFUNCTION("""COMPUTED_VALUE"""),5600.0)</f>
        <v>5600</v>
      </c>
      <c r="D818" s="1">
        <f>IFERROR(__xludf.DUMMYFUNCTION("""COMPUTED_VALUE"""),5480.0)</f>
        <v>5480</v>
      </c>
      <c r="E818" s="1">
        <f>IFERROR(__xludf.DUMMYFUNCTION("""COMPUTED_VALUE"""),5600.0)</f>
        <v>5600</v>
      </c>
      <c r="F818" s="1">
        <f>IFERROR(__xludf.DUMMYFUNCTION("""COMPUTED_VALUE"""),32872.0)</f>
        <v>32872</v>
      </c>
    </row>
    <row r="819">
      <c r="A819" s="2">
        <f>IFERROR(__xludf.DUMMYFUNCTION("""COMPUTED_VALUE"""),42122.64583333333)</f>
        <v>42122.64583</v>
      </c>
      <c r="B819" s="1">
        <f>IFERROR(__xludf.DUMMYFUNCTION("""COMPUTED_VALUE"""),5600.0)</f>
        <v>5600</v>
      </c>
      <c r="C819" s="1">
        <f>IFERROR(__xludf.DUMMYFUNCTION("""COMPUTED_VALUE"""),5600.0)</f>
        <v>5600</v>
      </c>
      <c r="D819" s="1">
        <f>IFERROR(__xludf.DUMMYFUNCTION("""COMPUTED_VALUE"""),5430.0)</f>
        <v>5430</v>
      </c>
      <c r="E819" s="1">
        <f>IFERROR(__xludf.DUMMYFUNCTION("""COMPUTED_VALUE"""),5480.0)</f>
        <v>5480</v>
      </c>
      <c r="F819" s="1">
        <f>IFERROR(__xludf.DUMMYFUNCTION("""COMPUTED_VALUE"""),17059.0)</f>
        <v>17059</v>
      </c>
    </row>
    <row r="820">
      <c r="A820" s="2">
        <f>IFERROR(__xludf.DUMMYFUNCTION("""COMPUTED_VALUE"""),42123.64583333333)</f>
        <v>42123.64583</v>
      </c>
      <c r="B820" s="1">
        <f>IFERROR(__xludf.DUMMYFUNCTION("""COMPUTED_VALUE"""),5420.0)</f>
        <v>5420</v>
      </c>
      <c r="C820" s="1">
        <f>IFERROR(__xludf.DUMMYFUNCTION("""COMPUTED_VALUE"""),5470.0)</f>
        <v>5470</v>
      </c>
      <c r="D820" s="1">
        <f>IFERROR(__xludf.DUMMYFUNCTION("""COMPUTED_VALUE"""),5320.0)</f>
        <v>5320</v>
      </c>
      <c r="E820" s="1">
        <f>IFERROR(__xludf.DUMMYFUNCTION("""COMPUTED_VALUE"""),5400.0)</f>
        <v>5400</v>
      </c>
      <c r="F820" s="1">
        <f>IFERROR(__xludf.DUMMYFUNCTION("""COMPUTED_VALUE"""),18642.0)</f>
        <v>18642</v>
      </c>
    </row>
    <row r="821">
      <c r="A821" s="2">
        <f>IFERROR(__xludf.DUMMYFUNCTION("""COMPUTED_VALUE"""),42124.64583333333)</f>
        <v>42124.64583</v>
      </c>
      <c r="B821" s="1">
        <f>IFERROR(__xludf.DUMMYFUNCTION("""COMPUTED_VALUE"""),5600.0)</f>
        <v>5600</v>
      </c>
      <c r="C821" s="1">
        <f>IFERROR(__xludf.DUMMYFUNCTION("""COMPUTED_VALUE"""),5600.0)</f>
        <v>5600</v>
      </c>
      <c r="D821" s="1">
        <f>IFERROR(__xludf.DUMMYFUNCTION("""COMPUTED_VALUE"""),5400.0)</f>
        <v>5400</v>
      </c>
      <c r="E821" s="1">
        <f>IFERROR(__xludf.DUMMYFUNCTION("""COMPUTED_VALUE"""),5500.0)</f>
        <v>5500</v>
      </c>
      <c r="F821" s="1">
        <f>IFERROR(__xludf.DUMMYFUNCTION("""COMPUTED_VALUE"""),10408.0)</f>
        <v>10408</v>
      </c>
    </row>
    <row r="822">
      <c r="A822" s="2">
        <f>IFERROR(__xludf.DUMMYFUNCTION("""COMPUTED_VALUE"""),42128.64583333333)</f>
        <v>42128.64583</v>
      </c>
      <c r="B822" s="1">
        <f>IFERROR(__xludf.DUMMYFUNCTION("""COMPUTED_VALUE"""),5500.0)</f>
        <v>5500</v>
      </c>
      <c r="C822" s="1">
        <f>IFERROR(__xludf.DUMMYFUNCTION("""COMPUTED_VALUE"""),5520.0)</f>
        <v>5520</v>
      </c>
      <c r="D822" s="1">
        <f>IFERROR(__xludf.DUMMYFUNCTION("""COMPUTED_VALUE"""),5270.0)</f>
        <v>5270</v>
      </c>
      <c r="E822" s="1">
        <f>IFERROR(__xludf.DUMMYFUNCTION("""COMPUTED_VALUE"""),5300.0)</f>
        <v>5300</v>
      </c>
      <c r="F822" s="1">
        <f>IFERROR(__xludf.DUMMYFUNCTION("""COMPUTED_VALUE"""),27005.0)</f>
        <v>27005</v>
      </c>
    </row>
    <row r="823">
      <c r="A823" s="2">
        <f>IFERROR(__xludf.DUMMYFUNCTION("""COMPUTED_VALUE"""),42130.64583333333)</f>
        <v>42130.64583</v>
      </c>
      <c r="B823" s="1">
        <f>IFERROR(__xludf.DUMMYFUNCTION("""COMPUTED_VALUE"""),5300.0)</f>
        <v>5300</v>
      </c>
      <c r="C823" s="1">
        <f>IFERROR(__xludf.DUMMYFUNCTION("""COMPUTED_VALUE"""),5350.0)</f>
        <v>5350</v>
      </c>
      <c r="D823" s="1">
        <f>IFERROR(__xludf.DUMMYFUNCTION("""COMPUTED_VALUE"""),5090.0)</f>
        <v>5090</v>
      </c>
      <c r="E823" s="1">
        <f>IFERROR(__xludf.DUMMYFUNCTION("""COMPUTED_VALUE"""),5200.0)</f>
        <v>5200</v>
      </c>
      <c r="F823" s="1">
        <f>IFERROR(__xludf.DUMMYFUNCTION("""COMPUTED_VALUE"""),40930.0)</f>
        <v>40930</v>
      </c>
    </row>
    <row r="824">
      <c r="A824" s="2">
        <f>IFERROR(__xludf.DUMMYFUNCTION("""COMPUTED_VALUE"""),42131.64583333333)</f>
        <v>42131.64583</v>
      </c>
      <c r="B824" s="1">
        <f>IFERROR(__xludf.DUMMYFUNCTION("""COMPUTED_VALUE"""),5150.0)</f>
        <v>5150</v>
      </c>
      <c r="C824" s="1">
        <f>IFERROR(__xludf.DUMMYFUNCTION("""COMPUTED_VALUE"""),5220.0)</f>
        <v>5220</v>
      </c>
      <c r="D824" s="1">
        <f>IFERROR(__xludf.DUMMYFUNCTION("""COMPUTED_VALUE"""),5070.0)</f>
        <v>5070</v>
      </c>
      <c r="E824" s="1">
        <f>IFERROR(__xludf.DUMMYFUNCTION("""COMPUTED_VALUE"""),5190.0)</f>
        <v>5190</v>
      </c>
      <c r="F824" s="1">
        <f>IFERROR(__xludf.DUMMYFUNCTION("""COMPUTED_VALUE"""),30598.0)</f>
        <v>30598</v>
      </c>
    </row>
    <row r="825">
      <c r="A825" s="2">
        <f>IFERROR(__xludf.DUMMYFUNCTION("""COMPUTED_VALUE"""),42132.64583333333)</f>
        <v>42132.64583</v>
      </c>
      <c r="B825" s="1">
        <f>IFERROR(__xludf.DUMMYFUNCTION("""COMPUTED_VALUE"""),5190.0)</f>
        <v>5190</v>
      </c>
      <c r="C825" s="1">
        <f>IFERROR(__xludf.DUMMYFUNCTION("""COMPUTED_VALUE"""),5230.0)</f>
        <v>5230</v>
      </c>
      <c r="D825" s="1">
        <f>IFERROR(__xludf.DUMMYFUNCTION("""COMPUTED_VALUE"""),5140.0)</f>
        <v>5140</v>
      </c>
      <c r="E825" s="1">
        <f>IFERROR(__xludf.DUMMYFUNCTION("""COMPUTED_VALUE"""),5190.0)</f>
        <v>5190</v>
      </c>
      <c r="F825" s="1">
        <f>IFERROR(__xludf.DUMMYFUNCTION("""COMPUTED_VALUE"""),23850.0)</f>
        <v>23850</v>
      </c>
    </row>
    <row r="826">
      <c r="A826" s="2">
        <f>IFERROR(__xludf.DUMMYFUNCTION("""COMPUTED_VALUE"""),42135.64583333333)</f>
        <v>42135.64583</v>
      </c>
      <c r="B826" s="1">
        <f>IFERROR(__xludf.DUMMYFUNCTION("""COMPUTED_VALUE"""),5200.0)</f>
        <v>5200</v>
      </c>
      <c r="C826" s="1">
        <f>IFERROR(__xludf.DUMMYFUNCTION("""COMPUTED_VALUE"""),5240.0)</f>
        <v>5240</v>
      </c>
      <c r="D826" s="1">
        <f>IFERROR(__xludf.DUMMYFUNCTION("""COMPUTED_VALUE"""),5190.0)</f>
        <v>5190</v>
      </c>
      <c r="E826" s="1">
        <f>IFERROR(__xludf.DUMMYFUNCTION("""COMPUTED_VALUE"""),5190.0)</f>
        <v>5190</v>
      </c>
      <c r="F826" s="1">
        <f>IFERROR(__xludf.DUMMYFUNCTION("""COMPUTED_VALUE"""),23379.0)</f>
        <v>23379</v>
      </c>
    </row>
    <row r="827">
      <c r="A827" s="2">
        <f>IFERROR(__xludf.DUMMYFUNCTION("""COMPUTED_VALUE"""),42136.64583333333)</f>
        <v>42136.64583</v>
      </c>
      <c r="B827" s="1">
        <f>IFERROR(__xludf.DUMMYFUNCTION("""COMPUTED_VALUE"""),5220.0)</f>
        <v>5220</v>
      </c>
      <c r="C827" s="1">
        <f>IFERROR(__xludf.DUMMYFUNCTION("""COMPUTED_VALUE"""),5340.0)</f>
        <v>5340</v>
      </c>
      <c r="D827" s="1">
        <f>IFERROR(__xludf.DUMMYFUNCTION("""COMPUTED_VALUE"""),5180.0)</f>
        <v>5180</v>
      </c>
      <c r="E827" s="1">
        <f>IFERROR(__xludf.DUMMYFUNCTION("""COMPUTED_VALUE"""),5180.0)</f>
        <v>5180</v>
      </c>
      <c r="F827" s="1">
        <f>IFERROR(__xludf.DUMMYFUNCTION("""COMPUTED_VALUE"""),23215.0)</f>
        <v>23215</v>
      </c>
    </row>
    <row r="828">
      <c r="A828" s="2">
        <f>IFERROR(__xludf.DUMMYFUNCTION("""COMPUTED_VALUE"""),42137.64583333333)</f>
        <v>42137.64583</v>
      </c>
      <c r="B828" s="1">
        <f>IFERROR(__xludf.DUMMYFUNCTION("""COMPUTED_VALUE"""),5210.0)</f>
        <v>5210</v>
      </c>
      <c r="C828" s="1">
        <f>IFERROR(__xludf.DUMMYFUNCTION("""COMPUTED_VALUE"""),5400.0)</f>
        <v>5400</v>
      </c>
      <c r="D828" s="1">
        <f>IFERROR(__xludf.DUMMYFUNCTION("""COMPUTED_VALUE"""),5210.0)</f>
        <v>5210</v>
      </c>
      <c r="E828" s="1">
        <f>IFERROR(__xludf.DUMMYFUNCTION("""COMPUTED_VALUE"""),5400.0)</f>
        <v>5400</v>
      </c>
      <c r="F828" s="1">
        <f>IFERROR(__xludf.DUMMYFUNCTION("""COMPUTED_VALUE"""),23004.0)</f>
        <v>23004</v>
      </c>
    </row>
    <row r="829">
      <c r="A829" s="2">
        <f>IFERROR(__xludf.DUMMYFUNCTION("""COMPUTED_VALUE"""),42138.64583333333)</f>
        <v>42138.64583</v>
      </c>
      <c r="B829" s="1">
        <f>IFERROR(__xludf.DUMMYFUNCTION("""COMPUTED_VALUE"""),5400.0)</f>
        <v>5400</v>
      </c>
      <c r="C829" s="1">
        <f>IFERROR(__xludf.DUMMYFUNCTION("""COMPUTED_VALUE"""),5550.0)</f>
        <v>5550</v>
      </c>
      <c r="D829" s="1">
        <f>IFERROR(__xludf.DUMMYFUNCTION("""COMPUTED_VALUE"""),5380.0)</f>
        <v>5380</v>
      </c>
      <c r="E829" s="1">
        <f>IFERROR(__xludf.DUMMYFUNCTION("""COMPUTED_VALUE"""),5500.0)</f>
        <v>5500</v>
      </c>
      <c r="F829" s="1">
        <f>IFERROR(__xludf.DUMMYFUNCTION("""COMPUTED_VALUE"""),26841.0)</f>
        <v>26841</v>
      </c>
    </row>
    <row r="830">
      <c r="A830" s="2">
        <f>IFERROR(__xludf.DUMMYFUNCTION("""COMPUTED_VALUE"""),42139.64583333333)</f>
        <v>42139.64583</v>
      </c>
      <c r="B830" s="1">
        <f>IFERROR(__xludf.DUMMYFUNCTION("""COMPUTED_VALUE"""),5650.0)</f>
        <v>5650</v>
      </c>
      <c r="C830" s="1">
        <f>IFERROR(__xludf.DUMMYFUNCTION("""COMPUTED_VALUE"""),5650.0)</f>
        <v>5650</v>
      </c>
      <c r="D830" s="1">
        <f>IFERROR(__xludf.DUMMYFUNCTION("""COMPUTED_VALUE"""),5540.0)</f>
        <v>5540</v>
      </c>
      <c r="E830" s="1">
        <f>IFERROR(__xludf.DUMMYFUNCTION("""COMPUTED_VALUE"""),5600.0)</f>
        <v>5600</v>
      </c>
      <c r="F830" s="1">
        <f>IFERROR(__xludf.DUMMYFUNCTION("""COMPUTED_VALUE"""),29958.0)</f>
        <v>29958</v>
      </c>
    </row>
    <row r="831">
      <c r="A831" s="2">
        <f>IFERROR(__xludf.DUMMYFUNCTION("""COMPUTED_VALUE"""),42142.64583333333)</f>
        <v>42142.64583</v>
      </c>
      <c r="B831" s="1">
        <f>IFERROR(__xludf.DUMMYFUNCTION("""COMPUTED_VALUE"""),5600.0)</f>
        <v>5600</v>
      </c>
      <c r="C831" s="1">
        <f>IFERROR(__xludf.DUMMYFUNCTION("""COMPUTED_VALUE"""),5620.0)</f>
        <v>5620</v>
      </c>
      <c r="D831" s="1">
        <f>IFERROR(__xludf.DUMMYFUNCTION("""COMPUTED_VALUE"""),5440.0)</f>
        <v>5440</v>
      </c>
      <c r="E831" s="1">
        <f>IFERROR(__xludf.DUMMYFUNCTION("""COMPUTED_VALUE"""),5460.0)</f>
        <v>5460</v>
      </c>
      <c r="F831" s="1">
        <f>IFERROR(__xludf.DUMMYFUNCTION("""COMPUTED_VALUE"""),27564.0)</f>
        <v>27564</v>
      </c>
    </row>
    <row r="832">
      <c r="A832" s="2">
        <f>IFERROR(__xludf.DUMMYFUNCTION("""COMPUTED_VALUE"""),42143.64583333333)</f>
        <v>42143.64583</v>
      </c>
      <c r="B832" s="1">
        <f>IFERROR(__xludf.DUMMYFUNCTION("""COMPUTED_VALUE"""),5380.0)</f>
        <v>5380</v>
      </c>
      <c r="C832" s="1">
        <f>IFERROR(__xludf.DUMMYFUNCTION("""COMPUTED_VALUE"""),5460.0)</f>
        <v>5460</v>
      </c>
      <c r="D832" s="1">
        <f>IFERROR(__xludf.DUMMYFUNCTION("""COMPUTED_VALUE"""),5350.0)</f>
        <v>5350</v>
      </c>
      <c r="E832" s="1">
        <f>IFERROR(__xludf.DUMMYFUNCTION("""COMPUTED_VALUE"""),5380.0)</f>
        <v>5380</v>
      </c>
      <c r="F832" s="1">
        <f>IFERROR(__xludf.DUMMYFUNCTION("""COMPUTED_VALUE"""),11756.0)</f>
        <v>11756</v>
      </c>
    </row>
    <row r="833">
      <c r="A833" s="2">
        <f>IFERROR(__xludf.DUMMYFUNCTION("""COMPUTED_VALUE"""),42144.64583333333)</f>
        <v>42144.64583</v>
      </c>
      <c r="B833" s="1">
        <f>IFERROR(__xludf.DUMMYFUNCTION("""COMPUTED_VALUE"""),5450.0)</f>
        <v>5450</v>
      </c>
      <c r="C833" s="1">
        <f>IFERROR(__xludf.DUMMYFUNCTION("""COMPUTED_VALUE"""),5530.0)</f>
        <v>5530</v>
      </c>
      <c r="D833" s="1">
        <f>IFERROR(__xludf.DUMMYFUNCTION("""COMPUTED_VALUE"""),5360.0)</f>
        <v>5360</v>
      </c>
      <c r="E833" s="1">
        <f>IFERROR(__xludf.DUMMYFUNCTION("""COMPUTED_VALUE"""),5400.0)</f>
        <v>5400</v>
      </c>
      <c r="F833" s="1">
        <f>IFERROR(__xludf.DUMMYFUNCTION("""COMPUTED_VALUE"""),8638.0)</f>
        <v>8638</v>
      </c>
    </row>
    <row r="834">
      <c r="A834" s="2">
        <f>IFERROR(__xludf.DUMMYFUNCTION("""COMPUTED_VALUE"""),42145.64583333333)</f>
        <v>42145.64583</v>
      </c>
      <c r="B834" s="1">
        <f>IFERROR(__xludf.DUMMYFUNCTION("""COMPUTED_VALUE"""),5400.0)</f>
        <v>5400</v>
      </c>
      <c r="C834" s="1">
        <f>IFERROR(__xludf.DUMMYFUNCTION("""COMPUTED_VALUE"""),5420.0)</f>
        <v>5420</v>
      </c>
      <c r="D834" s="1">
        <f>IFERROR(__xludf.DUMMYFUNCTION("""COMPUTED_VALUE"""),5100.0)</f>
        <v>5100</v>
      </c>
      <c r="E834" s="1">
        <f>IFERROR(__xludf.DUMMYFUNCTION("""COMPUTED_VALUE"""),5280.0)</f>
        <v>5280</v>
      </c>
      <c r="F834" s="1">
        <f>IFERROR(__xludf.DUMMYFUNCTION("""COMPUTED_VALUE"""),39912.0)</f>
        <v>39912</v>
      </c>
    </row>
    <row r="835">
      <c r="A835" s="2">
        <f>IFERROR(__xludf.DUMMYFUNCTION("""COMPUTED_VALUE"""),42146.64583333333)</f>
        <v>42146.64583</v>
      </c>
      <c r="B835" s="1">
        <f>IFERROR(__xludf.DUMMYFUNCTION("""COMPUTED_VALUE"""),5280.0)</f>
        <v>5280</v>
      </c>
      <c r="C835" s="1">
        <f>IFERROR(__xludf.DUMMYFUNCTION("""COMPUTED_VALUE"""),5500.0)</f>
        <v>5500</v>
      </c>
      <c r="D835" s="1">
        <f>IFERROR(__xludf.DUMMYFUNCTION("""COMPUTED_VALUE"""),5210.0)</f>
        <v>5210</v>
      </c>
      <c r="E835" s="1">
        <f>IFERROR(__xludf.DUMMYFUNCTION("""COMPUTED_VALUE"""),5500.0)</f>
        <v>5500</v>
      </c>
      <c r="F835" s="1">
        <f>IFERROR(__xludf.DUMMYFUNCTION("""COMPUTED_VALUE"""),30075.0)</f>
        <v>30075</v>
      </c>
    </row>
    <row r="836">
      <c r="A836" s="2">
        <f>IFERROR(__xludf.DUMMYFUNCTION("""COMPUTED_VALUE"""),42150.64583333333)</f>
        <v>42150.64583</v>
      </c>
      <c r="B836" s="1">
        <f>IFERROR(__xludf.DUMMYFUNCTION("""COMPUTED_VALUE"""),5550.0)</f>
        <v>5550</v>
      </c>
      <c r="C836" s="1">
        <f>IFERROR(__xludf.DUMMYFUNCTION("""COMPUTED_VALUE"""),5660.0)</f>
        <v>5660</v>
      </c>
      <c r="D836" s="1">
        <f>IFERROR(__xludf.DUMMYFUNCTION("""COMPUTED_VALUE"""),5520.0)</f>
        <v>5520</v>
      </c>
      <c r="E836" s="1">
        <f>IFERROR(__xludf.DUMMYFUNCTION("""COMPUTED_VALUE"""),5590.0)</f>
        <v>5590</v>
      </c>
      <c r="F836" s="1">
        <f>IFERROR(__xludf.DUMMYFUNCTION("""COMPUTED_VALUE"""),61622.0)</f>
        <v>61622</v>
      </c>
    </row>
    <row r="837">
      <c r="A837" s="2">
        <f>IFERROR(__xludf.DUMMYFUNCTION("""COMPUTED_VALUE"""),42151.64583333333)</f>
        <v>42151.64583</v>
      </c>
      <c r="B837" s="1">
        <f>IFERROR(__xludf.DUMMYFUNCTION("""COMPUTED_VALUE"""),5500.0)</f>
        <v>5500</v>
      </c>
      <c r="C837" s="1">
        <f>IFERROR(__xludf.DUMMYFUNCTION("""COMPUTED_VALUE"""),5720.0)</f>
        <v>5720</v>
      </c>
      <c r="D837" s="1">
        <f>IFERROR(__xludf.DUMMYFUNCTION("""COMPUTED_VALUE"""),5450.0)</f>
        <v>5450</v>
      </c>
      <c r="E837" s="1">
        <f>IFERROR(__xludf.DUMMYFUNCTION("""COMPUTED_VALUE"""),5600.0)</f>
        <v>5600</v>
      </c>
      <c r="F837" s="1">
        <f>IFERROR(__xludf.DUMMYFUNCTION("""COMPUTED_VALUE"""),23077.0)</f>
        <v>23077</v>
      </c>
    </row>
    <row r="838">
      <c r="A838" s="2">
        <f>IFERROR(__xludf.DUMMYFUNCTION("""COMPUTED_VALUE"""),42152.64583333333)</f>
        <v>42152.64583</v>
      </c>
      <c r="B838" s="1">
        <f>IFERROR(__xludf.DUMMYFUNCTION("""COMPUTED_VALUE"""),5600.0)</f>
        <v>5600</v>
      </c>
      <c r="C838" s="1">
        <f>IFERROR(__xludf.DUMMYFUNCTION("""COMPUTED_VALUE"""),5670.0)</f>
        <v>5670</v>
      </c>
      <c r="D838" s="1">
        <f>IFERROR(__xludf.DUMMYFUNCTION("""COMPUTED_VALUE"""),5560.0)</f>
        <v>5560</v>
      </c>
      <c r="E838" s="1">
        <f>IFERROR(__xludf.DUMMYFUNCTION("""COMPUTED_VALUE"""),5590.0)</f>
        <v>5590</v>
      </c>
      <c r="F838" s="1">
        <f>IFERROR(__xludf.DUMMYFUNCTION("""COMPUTED_VALUE"""),7529.0)</f>
        <v>7529</v>
      </c>
    </row>
    <row r="839">
      <c r="A839" s="2">
        <f>IFERROR(__xludf.DUMMYFUNCTION("""COMPUTED_VALUE"""),42153.64583333333)</f>
        <v>42153.64583</v>
      </c>
      <c r="B839" s="1">
        <f>IFERROR(__xludf.DUMMYFUNCTION("""COMPUTED_VALUE"""),5540.0)</f>
        <v>5540</v>
      </c>
      <c r="C839" s="1">
        <f>IFERROR(__xludf.DUMMYFUNCTION("""COMPUTED_VALUE"""),5610.0)</f>
        <v>5610</v>
      </c>
      <c r="D839" s="1">
        <f>IFERROR(__xludf.DUMMYFUNCTION("""COMPUTED_VALUE"""),5530.0)</f>
        <v>5530</v>
      </c>
      <c r="E839" s="1">
        <f>IFERROR(__xludf.DUMMYFUNCTION("""COMPUTED_VALUE"""),5610.0)</f>
        <v>5610</v>
      </c>
      <c r="F839" s="1">
        <f>IFERROR(__xludf.DUMMYFUNCTION("""COMPUTED_VALUE"""),16668.0)</f>
        <v>16668</v>
      </c>
    </row>
    <row r="840">
      <c r="A840" s="2">
        <f>IFERROR(__xludf.DUMMYFUNCTION("""COMPUTED_VALUE"""),42156.64583333333)</f>
        <v>42156.64583</v>
      </c>
      <c r="B840" s="1">
        <f>IFERROR(__xludf.DUMMYFUNCTION("""COMPUTED_VALUE"""),5570.0)</f>
        <v>5570</v>
      </c>
      <c r="C840" s="1">
        <f>IFERROR(__xludf.DUMMYFUNCTION("""COMPUTED_VALUE"""),5620.0)</f>
        <v>5620</v>
      </c>
      <c r="D840" s="1">
        <f>IFERROR(__xludf.DUMMYFUNCTION("""COMPUTED_VALUE"""),5520.0)</f>
        <v>5520</v>
      </c>
      <c r="E840" s="1">
        <f>IFERROR(__xludf.DUMMYFUNCTION("""COMPUTED_VALUE"""),5610.0)</f>
        <v>5610</v>
      </c>
      <c r="F840" s="1">
        <f>IFERROR(__xludf.DUMMYFUNCTION("""COMPUTED_VALUE"""),20430.0)</f>
        <v>20430</v>
      </c>
    </row>
    <row r="841">
      <c r="A841" s="2">
        <f>IFERROR(__xludf.DUMMYFUNCTION("""COMPUTED_VALUE"""),42157.64583333333)</f>
        <v>42157.64583</v>
      </c>
      <c r="B841" s="1">
        <f>IFERROR(__xludf.DUMMYFUNCTION("""COMPUTED_VALUE"""),5650.0)</f>
        <v>5650</v>
      </c>
      <c r="C841" s="1">
        <f>IFERROR(__xludf.DUMMYFUNCTION("""COMPUTED_VALUE"""),5650.0)</f>
        <v>5650</v>
      </c>
      <c r="D841" s="1">
        <f>IFERROR(__xludf.DUMMYFUNCTION("""COMPUTED_VALUE"""),5470.0)</f>
        <v>5470</v>
      </c>
      <c r="E841" s="1">
        <f>IFERROR(__xludf.DUMMYFUNCTION("""COMPUTED_VALUE"""),5580.0)</f>
        <v>5580</v>
      </c>
      <c r="F841" s="1">
        <f>IFERROR(__xludf.DUMMYFUNCTION("""COMPUTED_VALUE"""),22773.0)</f>
        <v>22773</v>
      </c>
    </row>
    <row r="842">
      <c r="A842" s="2">
        <f>IFERROR(__xludf.DUMMYFUNCTION("""COMPUTED_VALUE"""),42158.64583333333)</f>
        <v>42158.64583</v>
      </c>
      <c r="B842" s="1">
        <f>IFERROR(__xludf.DUMMYFUNCTION("""COMPUTED_VALUE"""),5580.0)</f>
        <v>5580</v>
      </c>
      <c r="C842" s="1">
        <f>IFERROR(__xludf.DUMMYFUNCTION("""COMPUTED_VALUE"""),5730.0)</f>
        <v>5730</v>
      </c>
      <c r="D842" s="1">
        <f>IFERROR(__xludf.DUMMYFUNCTION("""COMPUTED_VALUE"""),5520.0)</f>
        <v>5520</v>
      </c>
      <c r="E842" s="1">
        <f>IFERROR(__xludf.DUMMYFUNCTION("""COMPUTED_VALUE"""),5620.0)</f>
        <v>5620</v>
      </c>
      <c r="F842" s="1">
        <f>IFERROR(__xludf.DUMMYFUNCTION("""COMPUTED_VALUE"""),36366.0)</f>
        <v>36366</v>
      </c>
    </row>
    <row r="843">
      <c r="A843" s="2">
        <f>IFERROR(__xludf.DUMMYFUNCTION("""COMPUTED_VALUE"""),42159.64583333333)</f>
        <v>42159.64583</v>
      </c>
      <c r="B843" s="1">
        <f>IFERROR(__xludf.DUMMYFUNCTION("""COMPUTED_VALUE"""),5580.0)</f>
        <v>5580</v>
      </c>
      <c r="C843" s="1">
        <f>IFERROR(__xludf.DUMMYFUNCTION("""COMPUTED_VALUE"""),5890.0)</f>
        <v>5890</v>
      </c>
      <c r="D843" s="1">
        <f>IFERROR(__xludf.DUMMYFUNCTION("""COMPUTED_VALUE"""),5580.0)</f>
        <v>5580</v>
      </c>
      <c r="E843" s="1">
        <f>IFERROR(__xludf.DUMMYFUNCTION("""COMPUTED_VALUE"""),5870.0)</f>
        <v>5870</v>
      </c>
      <c r="F843" s="1">
        <f>IFERROR(__xludf.DUMMYFUNCTION("""COMPUTED_VALUE"""),56256.0)</f>
        <v>56256</v>
      </c>
    </row>
    <row r="844">
      <c r="A844" s="2">
        <f>IFERROR(__xludf.DUMMYFUNCTION("""COMPUTED_VALUE"""),42160.64583333333)</f>
        <v>42160.64583</v>
      </c>
      <c r="B844" s="1">
        <f>IFERROR(__xludf.DUMMYFUNCTION("""COMPUTED_VALUE"""),5760.0)</f>
        <v>5760</v>
      </c>
      <c r="C844" s="1">
        <f>IFERROR(__xludf.DUMMYFUNCTION("""COMPUTED_VALUE"""),5950.0)</f>
        <v>5950</v>
      </c>
      <c r="D844" s="1">
        <f>IFERROR(__xludf.DUMMYFUNCTION("""COMPUTED_VALUE"""),5730.0)</f>
        <v>5730</v>
      </c>
      <c r="E844" s="1">
        <f>IFERROR(__xludf.DUMMYFUNCTION("""COMPUTED_VALUE"""),5800.0)</f>
        <v>5800</v>
      </c>
      <c r="F844" s="1">
        <f>IFERROR(__xludf.DUMMYFUNCTION("""COMPUTED_VALUE"""),54266.0)</f>
        <v>54266</v>
      </c>
    </row>
    <row r="845">
      <c r="A845" s="2">
        <f>IFERROR(__xludf.DUMMYFUNCTION("""COMPUTED_VALUE"""),42163.64583333333)</f>
        <v>42163.64583</v>
      </c>
      <c r="B845" s="1">
        <f>IFERROR(__xludf.DUMMYFUNCTION("""COMPUTED_VALUE"""),5800.0)</f>
        <v>5800</v>
      </c>
      <c r="C845" s="1">
        <f>IFERROR(__xludf.DUMMYFUNCTION("""COMPUTED_VALUE"""),5860.0)</f>
        <v>5860</v>
      </c>
      <c r="D845" s="1">
        <f>IFERROR(__xludf.DUMMYFUNCTION("""COMPUTED_VALUE"""),5600.0)</f>
        <v>5600</v>
      </c>
      <c r="E845" s="1">
        <f>IFERROR(__xludf.DUMMYFUNCTION("""COMPUTED_VALUE"""),5760.0)</f>
        <v>5760</v>
      </c>
      <c r="F845" s="1">
        <f>IFERROR(__xludf.DUMMYFUNCTION("""COMPUTED_VALUE"""),29535.0)</f>
        <v>29535</v>
      </c>
    </row>
    <row r="846">
      <c r="A846" s="2">
        <f>IFERROR(__xludf.DUMMYFUNCTION("""COMPUTED_VALUE"""),42164.64583333333)</f>
        <v>42164.64583</v>
      </c>
      <c r="B846" s="1">
        <f>IFERROR(__xludf.DUMMYFUNCTION("""COMPUTED_VALUE"""),5800.0)</f>
        <v>5800</v>
      </c>
      <c r="C846" s="1">
        <f>IFERROR(__xludf.DUMMYFUNCTION("""COMPUTED_VALUE"""),5870.0)</f>
        <v>5870</v>
      </c>
      <c r="D846" s="1">
        <f>IFERROR(__xludf.DUMMYFUNCTION("""COMPUTED_VALUE"""),5740.0)</f>
        <v>5740</v>
      </c>
      <c r="E846" s="1">
        <f>IFERROR(__xludf.DUMMYFUNCTION("""COMPUTED_VALUE"""),5810.0)</f>
        <v>5810</v>
      </c>
      <c r="F846" s="1">
        <f>IFERROR(__xludf.DUMMYFUNCTION("""COMPUTED_VALUE"""),27480.0)</f>
        <v>27480</v>
      </c>
    </row>
    <row r="847">
      <c r="A847" s="2">
        <f>IFERROR(__xludf.DUMMYFUNCTION("""COMPUTED_VALUE"""),42165.64583333333)</f>
        <v>42165.64583</v>
      </c>
      <c r="B847" s="1">
        <f>IFERROR(__xludf.DUMMYFUNCTION("""COMPUTED_VALUE"""),5780.0)</f>
        <v>5780</v>
      </c>
      <c r="C847" s="1">
        <f>IFERROR(__xludf.DUMMYFUNCTION("""COMPUTED_VALUE"""),6200.0)</f>
        <v>6200</v>
      </c>
      <c r="D847" s="1">
        <f>IFERROR(__xludf.DUMMYFUNCTION("""COMPUTED_VALUE"""),5780.0)</f>
        <v>5780</v>
      </c>
      <c r="E847" s="1">
        <f>IFERROR(__xludf.DUMMYFUNCTION("""COMPUTED_VALUE"""),6190.0)</f>
        <v>6190</v>
      </c>
      <c r="F847" s="1">
        <f>IFERROR(__xludf.DUMMYFUNCTION("""COMPUTED_VALUE"""),214534.0)</f>
        <v>214534</v>
      </c>
    </row>
    <row r="848">
      <c r="A848" s="2">
        <f>IFERROR(__xludf.DUMMYFUNCTION("""COMPUTED_VALUE"""),42166.64583333333)</f>
        <v>42166.64583</v>
      </c>
      <c r="B848" s="1">
        <f>IFERROR(__xludf.DUMMYFUNCTION("""COMPUTED_VALUE"""),6230.0)</f>
        <v>6230</v>
      </c>
      <c r="C848" s="1">
        <f>IFERROR(__xludf.DUMMYFUNCTION("""COMPUTED_VALUE"""),6230.0)</f>
        <v>6230</v>
      </c>
      <c r="D848" s="1">
        <f>IFERROR(__xludf.DUMMYFUNCTION("""COMPUTED_VALUE"""),5590.0)</f>
        <v>5590</v>
      </c>
      <c r="E848" s="1">
        <f>IFERROR(__xludf.DUMMYFUNCTION("""COMPUTED_VALUE"""),5910.0)</f>
        <v>5910</v>
      </c>
      <c r="F848" s="1">
        <f>IFERROR(__xludf.DUMMYFUNCTION("""COMPUTED_VALUE"""),81808.0)</f>
        <v>81808</v>
      </c>
    </row>
    <row r="849">
      <c r="A849" s="2">
        <f>IFERROR(__xludf.DUMMYFUNCTION("""COMPUTED_VALUE"""),42167.64583333333)</f>
        <v>42167.64583</v>
      </c>
      <c r="B849" s="1">
        <f>IFERROR(__xludf.DUMMYFUNCTION("""COMPUTED_VALUE"""),5980.0)</f>
        <v>5980</v>
      </c>
      <c r="C849" s="1">
        <f>IFERROR(__xludf.DUMMYFUNCTION("""COMPUTED_VALUE"""),5990.0)</f>
        <v>5990</v>
      </c>
      <c r="D849" s="1">
        <f>IFERROR(__xludf.DUMMYFUNCTION("""COMPUTED_VALUE"""),5820.0)</f>
        <v>5820</v>
      </c>
      <c r="E849" s="1">
        <f>IFERROR(__xludf.DUMMYFUNCTION("""COMPUTED_VALUE"""),5920.0)</f>
        <v>5920</v>
      </c>
      <c r="F849" s="1">
        <f>IFERROR(__xludf.DUMMYFUNCTION("""COMPUTED_VALUE"""),46996.0)</f>
        <v>46996</v>
      </c>
    </row>
    <row r="850">
      <c r="A850" s="2">
        <f>IFERROR(__xludf.DUMMYFUNCTION("""COMPUTED_VALUE"""),42170.64583333333)</f>
        <v>42170.64583</v>
      </c>
      <c r="B850" s="1">
        <f>IFERROR(__xludf.DUMMYFUNCTION("""COMPUTED_VALUE"""),5920.0)</f>
        <v>5920</v>
      </c>
      <c r="C850" s="1">
        <f>IFERROR(__xludf.DUMMYFUNCTION("""COMPUTED_VALUE"""),5940.0)</f>
        <v>5940</v>
      </c>
      <c r="D850" s="1">
        <f>IFERROR(__xludf.DUMMYFUNCTION("""COMPUTED_VALUE"""),5750.0)</f>
        <v>5750</v>
      </c>
      <c r="E850" s="1">
        <f>IFERROR(__xludf.DUMMYFUNCTION("""COMPUTED_VALUE"""),5770.0)</f>
        <v>5770</v>
      </c>
      <c r="F850" s="1">
        <f>IFERROR(__xludf.DUMMYFUNCTION("""COMPUTED_VALUE"""),32004.0)</f>
        <v>32004</v>
      </c>
    </row>
    <row r="851">
      <c r="A851" s="2">
        <f>IFERROR(__xludf.DUMMYFUNCTION("""COMPUTED_VALUE"""),42171.64583333333)</f>
        <v>42171.64583</v>
      </c>
      <c r="B851" s="1">
        <f>IFERROR(__xludf.DUMMYFUNCTION("""COMPUTED_VALUE"""),5770.0)</f>
        <v>5770</v>
      </c>
      <c r="C851" s="1">
        <f>IFERROR(__xludf.DUMMYFUNCTION("""COMPUTED_VALUE"""),5860.0)</f>
        <v>5860</v>
      </c>
      <c r="D851" s="1">
        <f>IFERROR(__xludf.DUMMYFUNCTION("""COMPUTED_VALUE"""),5590.0)</f>
        <v>5590</v>
      </c>
      <c r="E851" s="1">
        <f>IFERROR(__xludf.DUMMYFUNCTION("""COMPUTED_VALUE"""),5730.0)</f>
        <v>5730</v>
      </c>
      <c r="F851" s="1">
        <f>IFERROR(__xludf.DUMMYFUNCTION("""COMPUTED_VALUE"""),39908.0)</f>
        <v>39908</v>
      </c>
    </row>
    <row r="852">
      <c r="A852" s="2">
        <f>IFERROR(__xludf.DUMMYFUNCTION("""COMPUTED_VALUE"""),42172.64583333333)</f>
        <v>42172.64583</v>
      </c>
      <c r="B852" s="1">
        <f>IFERROR(__xludf.DUMMYFUNCTION("""COMPUTED_VALUE"""),5770.0)</f>
        <v>5770</v>
      </c>
      <c r="C852" s="1">
        <f>IFERROR(__xludf.DUMMYFUNCTION("""COMPUTED_VALUE"""),6010.0)</f>
        <v>6010</v>
      </c>
      <c r="D852" s="1">
        <f>IFERROR(__xludf.DUMMYFUNCTION("""COMPUTED_VALUE"""),5690.0)</f>
        <v>5690</v>
      </c>
      <c r="E852" s="1">
        <f>IFERROR(__xludf.DUMMYFUNCTION("""COMPUTED_VALUE"""),5960.0)</f>
        <v>5960</v>
      </c>
      <c r="F852" s="1">
        <f>IFERROR(__xludf.DUMMYFUNCTION("""COMPUTED_VALUE"""),70598.0)</f>
        <v>70598</v>
      </c>
    </row>
    <row r="853">
      <c r="A853" s="2">
        <f>IFERROR(__xludf.DUMMYFUNCTION("""COMPUTED_VALUE"""),42173.64583333333)</f>
        <v>42173.64583</v>
      </c>
      <c r="B853" s="1">
        <f>IFERROR(__xludf.DUMMYFUNCTION("""COMPUTED_VALUE"""),5960.0)</f>
        <v>5960</v>
      </c>
      <c r="C853" s="1">
        <f>IFERROR(__xludf.DUMMYFUNCTION("""COMPUTED_VALUE"""),5980.0)</f>
        <v>5980</v>
      </c>
      <c r="D853" s="1">
        <f>IFERROR(__xludf.DUMMYFUNCTION("""COMPUTED_VALUE"""),5830.0)</f>
        <v>5830</v>
      </c>
      <c r="E853" s="1">
        <f>IFERROR(__xludf.DUMMYFUNCTION("""COMPUTED_VALUE"""),5870.0)</f>
        <v>5870</v>
      </c>
      <c r="F853" s="1">
        <f>IFERROR(__xludf.DUMMYFUNCTION("""COMPUTED_VALUE"""),66882.0)</f>
        <v>66882</v>
      </c>
    </row>
    <row r="854">
      <c r="A854" s="2">
        <f>IFERROR(__xludf.DUMMYFUNCTION("""COMPUTED_VALUE"""),42174.64583333333)</f>
        <v>42174.64583</v>
      </c>
      <c r="B854" s="1">
        <f>IFERROR(__xludf.DUMMYFUNCTION("""COMPUTED_VALUE"""),5950.0)</f>
        <v>5950</v>
      </c>
      <c r="C854" s="1">
        <f>IFERROR(__xludf.DUMMYFUNCTION("""COMPUTED_VALUE"""),5970.0)</f>
        <v>5970</v>
      </c>
      <c r="D854" s="1">
        <f>IFERROR(__xludf.DUMMYFUNCTION("""COMPUTED_VALUE"""),5770.0)</f>
        <v>5770</v>
      </c>
      <c r="E854" s="1">
        <f>IFERROR(__xludf.DUMMYFUNCTION("""COMPUTED_VALUE"""),5810.0)</f>
        <v>5810</v>
      </c>
      <c r="F854" s="1">
        <f>IFERROR(__xludf.DUMMYFUNCTION("""COMPUTED_VALUE"""),44864.0)</f>
        <v>44864</v>
      </c>
    </row>
    <row r="855">
      <c r="A855" s="2">
        <f>IFERROR(__xludf.DUMMYFUNCTION("""COMPUTED_VALUE"""),42177.64583333333)</f>
        <v>42177.64583</v>
      </c>
      <c r="B855" s="1">
        <f>IFERROR(__xludf.DUMMYFUNCTION("""COMPUTED_VALUE"""),5810.0)</f>
        <v>5810</v>
      </c>
      <c r="C855" s="1">
        <f>IFERROR(__xludf.DUMMYFUNCTION("""COMPUTED_VALUE"""),5840.0)</f>
        <v>5840</v>
      </c>
      <c r="D855" s="1">
        <f>IFERROR(__xludf.DUMMYFUNCTION("""COMPUTED_VALUE"""),5650.0)</f>
        <v>5650</v>
      </c>
      <c r="E855" s="1">
        <f>IFERROR(__xludf.DUMMYFUNCTION("""COMPUTED_VALUE"""),5740.0)</f>
        <v>5740</v>
      </c>
      <c r="F855" s="1">
        <f>IFERROR(__xludf.DUMMYFUNCTION("""COMPUTED_VALUE"""),57872.0)</f>
        <v>57872</v>
      </c>
    </row>
    <row r="856">
      <c r="A856" s="2">
        <f>IFERROR(__xludf.DUMMYFUNCTION("""COMPUTED_VALUE"""),42178.64583333333)</f>
        <v>42178.64583</v>
      </c>
      <c r="B856" s="1">
        <f>IFERROR(__xludf.DUMMYFUNCTION("""COMPUTED_VALUE"""),5750.0)</f>
        <v>5750</v>
      </c>
      <c r="C856" s="1">
        <f>IFERROR(__xludf.DUMMYFUNCTION("""COMPUTED_VALUE"""),5750.0)</f>
        <v>5750</v>
      </c>
      <c r="D856" s="1">
        <f>IFERROR(__xludf.DUMMYFUNCTION("""COMPUTED_VALUE"""),5630.0)</f>
        <v>5630</v>
      </c>
      <c r="E856" s="1">
        <f>IFERROR(__xludf.DUMMYFUNCTION("""COMPUTED_VALUE"""),5700.0)</f>
        <v>5700</v>
      </c>
      <c r="F856" s="1">
        <f>IFERROR(__xludf.DUMMYFUNCTION("""COMPUTED_VALUE"""),54854.0)</f>
        <v>54854</v>
      </c>
    </row>
    <row r="857">
      <c r="A857" s="2">
        <f>IFERROR(__xludf.DUMMYFUNCTION("""COMPUTED_VALUE"""),42179.64583333333)</f>
        <v>42179.64583</v>
      </c>
      <c r="B857" s="1">
        <f>IFERROR(__xludf.DUMMYFUNCTION("""COMPUTED_VALUE"""),5710.0)</f>
        <v>5710</v>
      </c>
      <c r="C857" s="1">
        <f>IFERROR(__xludf.DUMMYFUNCTION("""COMPUTED_VALUE"""),5780.0)</f>
        <v>5780</v>
      </c>
      <c r="D857" s="1">
        <f>IFERROR(__xludf.DUMMYFUNCTION("""COMPUTED_VALUE"""),5650.0)</f>
        <v>5650</v>
      </c>
      <c r="E857" s="1">
        <f>IFERROR(__xludf.DUMMYFUNCTION("""COMPUTED_VALUE"""),5720.0)</f>
        <v>5720</v>
      </c>
      <c r="F857" s="1">
        <f>IFERROR(__xludf.DUMMYFUNCTION("""COMPUTED_VALUE"""),62794.0)</f>
        <v>62794</v>
      </c>
    </row>
    <row r="858">
      <c r="A858" s="2">
        <f>IFERROR(__xludf.DUMMYFUNCTION("""COMPUTED_VALUE"""),42180.64583333333)</f>
        <v>42180.64583</v>
      </c>
      <c r="B858" s="1">
        <f>IFERROR(__xludf.DUMMYFUNCTION("""COMPUTED_VALUE"""),5720.0)</f>
        <v>5720</v>
      </c>
      <c r="C858" s="1">
        <f>IFERROR(__xludf.DUMMYFUNCTION("""COMPUTED_VALUE"""),5720.0)</f>
        <v>5720</v>
      </c>
      <c r="D858" s="1">
        <f>IFERROR(__xludf.DUMMYFUNCTION("""COMPUTED_VALUE"""),5640.0)</f>
        <v>5640</v>
      </c>
      <c r="E858" s="1">
        <f>IFERROR(__xludf.DUMMYFUNCTION("""COMPUTED_VALUE"""),5710.0)</f>
        <v>5710</v>
      </c>
      <c r="F858" s="1">
        <f>IFERROR(__xludf.DUMMYFUNCTION("""COMPUTED_VALUE"""),30196.0)</f>
        <v>30196</v>
      </c>
    </row>
    <row r="859">
      <c r="A859" s="2">
        <f>IFERROR(__xludf.DUMMYFUNCTION("""COMPUTED_VALUE"""),42181.64583333333)</f>
        <v>42181.64583</v>
      </c>
      <c r="B859" s="1">
        <f>IFERROR(__xludf.DUMMYFUNCTION("""COMPUTED_VALUE"""),5710.0)</f>
        <v>5710</v>
      </c>
      <c r="C859" s="1">
        <f>IFERROR(__xludf.DUMMYFUNCTION("""COMPUTED_VALUE"""),5750.0)</f>
        <v>5750</v>
      </c>
      <c r="D859" s="1">
        <f>IFERROR(__xludf.DUMMYFUNCTION("""COMPUTED_VALUE"""),5620.0)</f>
        <v>5620</v>
      </c>
      <c r="E859" s="1">
        <f>IFERROR(__xludf.DUMMYFUNCTION("""COMPUTED_VALUE"""),5680.0)</f>
        <v>5680</v>
      </c>
      <c r="F859" s="1">
        <f>IFERROR(__xludf.DUMMYFUNCTION("""COMPUTED_VALUE"""),56600.0)</f>
        <v>56600</v>
      </c>
    </row>
    <row r="860">
      <c r="A860" s="2">
        <f>IFERROR(__xludf.DUMMYFUNCTION("""COMPUTED_VALUE"""),42184.64583333333)</f>
        <v>42184.64583</v>
      </c>
      <c r="B860" s="1">
        <f>IFERROR(__xludf.DUMMYFUNCTION("""COMPUTED_VALUE"""),5590.0)</f>
        <v>5590</v>
      </c>
      <c r="C860" s="1">
        <f>IFERROR(__xludf.DUMMYFUNCTION("""COMPUTED_VALUE"""),5630.0)</f>
        <v>5630</v>
      </c>
      <c r="D860" s="1">
        <f>IFERROR(__xludf.DUMMYFUNCTION("""COMPUTED_VALUE"""),5340.0)</f>
        <v>5340</v>
      </c>
      <c r="E860" s="1">
        <f>IFERROR(__xludf.DUMMYFUNCTION("""COMPUTED_VALUE"""),5370.0)</f>
        <v>5370</v>
      </c>
      <c r="F860" s="1">
        <f>IFERROR(__xludf.DUMMYFUNCTION("""COMPUTED_VALUE"""),52670.0)</f>
        <v>52670</v>
      </c>
    </row>
    <row r="861">
      <c r="A861" s="2">
        <f>IFERROR(__xludf.DUMMYFUNCTION("""COMPUTED_VALUE"""),42185.64583333333)</f>
        <v>42185.64583</v>
      </c>
      <c r="B861" s="1">
        <f>IFERROR(__xludf.DUMMYFUNCTION("""COMPUTED_VALUE"""),5340.0)</f>
        <v>5340</v>
      </c>
      <c r="C861" s="1">
        <f>IFERROR(__xludf.DUMMYFUNCTION("""COMPUTED_VALUE"""),5490.0)</f>
        <v>5490</v>
      </c>
      <c r="D861" s="1">
        <f>IFERROR(__xludf.DUMMYFUNCTION("""COMPUTED_VALUE"""),5250.0)</f>
        <v>5250</v>
      </c>
      <c r="E861" s="1">
        <f>IFERROR(__xludf.DUMMYFUNCTION("""COMPUTED_VALUE"""),5460.0)</f>
        <v>5460</v>
      </c>
      <c r="F861" s="1">
        <f>IFERROR(__xludf.DUMMYFUNCTION("""COMPUTED_VALUE"""),21514.0)</f>
        <v>21514</v>
      </c>
    </row>
    <row r="862">
      <c r="A862" s="2">
        <f>IFERROR(__xludf.DUMMYFUNCTION("""COMPUTED_VALUE"""),42186.64583333333)</f>
        <v>42186.64583</v>
      </c>
      <c r="B862" s="1">
        <f>IFERROR(__xludf.DUMMYFUNCTION("""COMPUTED_VALUE"""),5410.0)</f>
        <v>5410</v>
      </c>
      <c r="C862" s="1">
        <f>IFERROR(__xludf.DUMMYFUNCTION("""COMPUTED_VALUE"""),5490.0)</f>
        <v>5490</v>
      </c>
      <c r="D862" s="1">
        <f>IFERROR(__xludf.DUMMYFUNCTION("""COMPUTED_VALUE"""),5340.0)</f>
        <v>5340</v>
      </c>
      <c r="E862" s="1">
        <f>IFERROR(__xludf.DUMMYFUNCTION("""COMPUTED_VALUE"""),5410.0)</f>
        <v>5410</v>
      </c>
      <c r="F862" s="1">
        <f>IFERROR(__xludf.DUMMYFUNCTION("""COMPUTED_VALUE"""),79025.0)</f>
        <v>79025</v>
      </c>
    </row>
    <row r="863">
      <c r="A863" s="2">
        <f>IFERROR(__xludf.DUMMYFUNCTION("""COMPUTED_VALUE"""),42187.64583333333)</f>
        <v>42187.64583</v>
      </c>
      <c r="B863" s="1">
        <f>IFERROR(__xludf.DUMMYFUNCTION("""COMPUTED_VALUE"""),5430.0)</f>
        <v>5430</v>
      </c>
      <c r="C863" s="1">
        <f>IFERROR(__xludf.DUMMYFUNCTION("""COMPUTED_VALUE"""),5550.0)</f>
        <v>5550</v>
      </c>
      <c r="D863" s="1">
        <f>IFERROR(__xludf.DUMMYFUNCTION("""COMPUTED_VALUE"""),5410.0)</f>
        <v>5410</v>
      </c>
      <c r="E863" s="1">
        <f>IFERROR(__xludf.DUMMYFUNCTION("""COMPUTED_VALUE"""),5470.0)</f>
        <v>5470</v>
      </c>
      <c r="F863" s="1">
        <f>IFERROR(__xludf.DUMMYFUNCTION("""COMPUTED_VALUE"""),35941.0)</f>
        <v>35941</v>
      </c>
    </row>
    <row r="864">
      <c r="A864" s="2">
        <f>IFERROR(__xludf.DUMMYFUNCTION("""COMPUTED_VALUE"""),42188.64583333333)</f>
        <v>42188.64583</v>
      </c>
      <c r="B864" s="1">
        <f>IFERROR(__xludf.DUMMYFUNCTION("""COMPUTED_VALUE"""),5470.0)</f>
        <v>5470</v>
      </c>
      <c r="C864" s="1">
        <f>IFERROR(__xludf.DUMMYFUNCTION("""COMPUTED_VALUE"""),5520.0)</f>
        <v>5520</v>
      </c>
      <c r="D864" s="1">
        <f>IFERROR(__xludf.DUMMYFUNCTION("""COMPUTED_VALUE"""),5440.0)</f>
        <v>5440</v>
      </c>
      <c r="E864" s="1">
        <f>IFERROR(__xludf.DUMMYFUNCTION("""COMPUTED_VALUE"""),5470.0)</f>
        <v>5470</v>
      </c>
      <c r="F864" s="1">
        <f>IFERROR(__xludf.DUMMYFUNCTION("""COMPUTED_VALUE"""),34193.0)</f>
        <v>34193</v>
      </c>
    </row>
    <row r="865">
      <c r="A865" s="2">
        <f>IFERROR(__xludf.DUMMYFUNCTION("""COMPUTED_VALUE"""),42191.64583333333)</f>
        <v>42191.64583</v>
      </c>
      <c r="B865" s="1">
        <f>IFERROR(__xludf.DUMMYFUNCTION("""COMPUTED_VALUE"""),5470.0)</f>
        <v>5470</v>
      </c>
      <c r="C865" s="1">
        <f>IFERROR(__xludf.DUMMYFUNCTION("""COMPUTED_VALUE"""),5470.0)</f>
        <v>5470</v>
      </c>
      <c r="D865" s="1">
        <f>IFERROR(__xludf.DUMMYFUNCTION("""COMPUTED_VALUE"""),5350.0)</f>
        <v>5350</v>
      </c>
      <c r="E865" s="1">
        <f>IFERROR(__xludf.DUMMYFUNCTION("""COMPUTED_VALUE"""),5350.0)</f>
        <v>5350</v>
      </c>
      <c r="F865" s="1">
        <f>IFERROR(__xludf.DUMMYFUNCTION("""COMPUTED_VALUE"""),28690.0)</f>
        <v>28690</v>
      </c>
    </row>
    <row r="866">
      <c r="A866" s="2">
        <f>IFERROR(__xludf.DUMMYFUNCTION("""COMPUTED_VALUE"""),42192.64583333333)</f>
        <v>42192.64583</v>
      </c>
      <c r="B866" s="1">
        <f>IFERROR(__xludf.DUMMYFUNCTION("""COMPUTED_VALUE"""),5360.0)</f>
        <v>5360</v>
      </c>
      <c r="C866" s="1">
        <f>IFERROR(__xludf.DUMMYFUNCTION("""COMPUTED_VALUE"""),5400.0)</f>
        <v>5400</v>
      </c>
      <c r="D866" s="1">
        <f>IFERROR(__xludf.DUMMYFUNCTION("""COMPUTED_VALUE"""),5260.0)</f>
        <v>5260</v>
      </c>
      <c r="E866" s="1">
        <f>IFERROR(__xludf.DUMMYFUNCTION("""COMPUTED_VALUE"""),5300.0)</f>
        <v>5300</v>
      </c>
      <c r="F866" s="1">
        <f>IFERROR(__xludf.DUMMYFUNCTION("""COMPUTED_VALUE"""),24585.0)</f>
        <v>24585</v>
      </c>
    </row>
    <row r="867">
      <c r="A867" s="2">
        <f>IFERROR(__xludf.DUMMYFUNCTION("""COMPUTED_VALUE"""),42193.64583333333)</f>
        <v>42193.64583</v>
      </c>
      <c r="B867" s="1">
        <f>IFERROR(__xludf.DUMMYFUNCTION("""COMPUTED_VALUE"""),5350.0)</f>
        <v>5350</v>
      </c>
      <c r="C867" s="1">
        <f>IFERROR(__xludf.DUMMYFUNCTION("""COMPUTED_VALUE"""),5360.0)</f>
        <v>5360</v>
      </c>
      <c r="D867" s="1">
        <f>IFERROR(__xludf.DUMMYFUNCTION("""COMPUTED_VALUE"""),5210.0)</f>
        <v>5210</v>
      </c>
      <c r="E867" s="1">
        <f>IFERROR(__xludf.DUMMYFUNCTION("""COMPUTED_VALUE"""),5270.0)</f>
        <v>5270</v>
      </c>
      <c r="F867" s="1">
        <f>IFERROR(__xludf.DUMMYFUNCTION("""COMPUTED_VALUE"""),30403.0)</f>
        <v>30403</v>
      </c>
    </row>
    <row r="868">
      <c r="A868" s="2">
        <f>IFERROR(__xludf.DUMMYFUNCTION("""COMPUTED_VALUE"""),42194.64583333333)</f>
        <v>42194.64583</v>
      </c>
      <c r="B868" s="1">
        <f>IFERROR(__xludf.DUMMYFUNCTION("""COMPUTED_VALUE"""),5280.0)</f>
        <v>5280</v>
      </c>
      <c r="C868" s="1">
        <f>IFERROR(__xludf.DUMMYFUNCTION("""COMPUTED_VALUE"""),5290.0)</f>
        <v>5290</v>
      </c>
      <c r="D868" s="1">
        <f>IFERROR(__xludf.DUMMYFUNCTION("""COMPUTED_VALUE"""),5160.0)</f>
        <v>5160</v>
      </c>
      <c r="E868" s="1">
        <f>IFERROR(__xludf.DUMMYFUNCTION("""COMPUTED_VALUE"""),5270.0)</f>
        <v>5270</v>
      </c>
      <c r="F868" s="1">
        <f>IFERROR(__xludf.DUMMYFUNCTION("""COMPUTED_VALUE"""),30701.0)</f>
        <v>30701</v>
      </c>
    </row>
    <row r="869">
      <c r="A869" s="2">
        <f>IFERROR(__xludf.DUMMYFUNCTION("""COMPUTED_VALUE"""),42195.64583333333)</f>
        <v>42195.64583</v>
      </c>
      <c r="B869" s="1">
        <f>IFERROR(__xludf.DUMMYFUNCTION("""COMPUTED_VALUE"""),5250.0)</f>
        <v>5250</v>
      </c>
      <c r="C869" s="1">
        <f>IFERROR(__xludf.DUMMYFUNCTION("""COMPUTED_VALUE"""),5370.0)</f>
        <v>5370</v>
      </c>
      <c r="D869" s="1">
        <f>IFERROR(__xludf.DUMMYFUNCTION("""COMPUTED_VALUE"""),5230.0)</f>
        <v>5230</v>
      </c>
      <c r="E869" s="1">
        <f>IFERROR(__xludf.DUMMYFUNCTION("""COMPUTED_VALUE"""),5360.0)</f>
        <v>5360</v>
      </c>
      <c r="F869" s="1">
        <f>IFERROR(__xludf.DUMMYFUNCTION("""COMPUTED_VALUE"""),19490.0)</f>
        <v>19490</v>
      </c>
    </row>
    <row r="870">
      <c r="A870" s="2">
        <f>IFERROR(__xludf.DUMMYFUNCTION("""COMPUTED_VALUE"""),42198.64583333333)</f>
        <v>42198.64583</v>
      </c>
      <c r="B870" s="1">
        <f>IFERROR(__xludf.DUMMYFUNCTION("""COMPUTED_VALUE"""),5360.0)</f>
        <v>5360</v>
      </c>
      <c r="C870" s="1">
        <f>IFERROR(__xludf.DUMMYFUNCTION("""COMPUTED_VALUE"""),5490.0)</f>
        <v>5490</v>
      </c>
      <c r="D870" s="1">
        <f>IFERROR(__xludf.DUMMYFUNCTION("""COMPUTED_VALUE"""),5340.0)</f>
        <v>5340</v>
      </c>
      <c r="E870" s="1">
        <f>IFERROR(__xludf.DUMMYFUNCTION("""COMPUTED_VALUE"""),5490.0)</f>
        <v>5490</v>
      </c>
      <c r="F870" s="1">
        <f>IFERROR(__xludf.DUMMYFUNCTION("""COMPUTED_VALUE"""),15850.0)</f>
        <v>15850</v>
      </c>
    </row>
    <row r="871">
      <c r="A871" s="2">
        <f>IFERROR(__xludf.DUMMYFUNCTION("""COMPUTED_VALUE"""),42199.64583333333)</f>
        <v>42199.64583</v>
      </c>
      <c r="B871" s="1">
        <f>IFERROR(__xludf.DUMMYFUNCTION("""COMPUTED_VALUE"""),5510.0)</f>
        <v>5510</v>
      </c>
      <c r="C871" s="1">
        <f>IFERROR(__xludf.DUMMYFUNCTION("""COMPUTED_VALUE"""),5540.0)</f>
        <v>5540</v>
      </c>
      <c r="D871" s="1">
        <f>IFERROR(__xludf.DUMMYFUNCTION("""COMPUTED_VALUE"""),5410.0)</f>
        <v>5410</v>
      </c>
      <c r="E871" s="1">
        <f>IFERROR(__xludf.DUMMYFUNCTION("""COMPUTED_VALUE"""),5540.0)</f>
        <v>5540</v>
      </c>
      <c r="F871" s="1">
        <f>IFERROR(__xludf.DUMMYFUNCTION("""COMPUTED_VALUE"""),25379.0)</f>
        <v>25379</v>
      </c>
    </row>
    <row r="872">
      <c r="A872" s="2">
        <f>IFERROR(__xludf.DUMMYFUNCTION("""COMPUTED_VALUE"""),42200.64583333333)</f>
        <v>42200.64583</v>
      </c>
      <c r="B872" s="1">
        <f>IFERROR(__xludf.DUMMYFUNCTION("""COMPUTED_VALUE"""),5450.0)</f>
        <v>5450</v>
      </c>
      <c r="C872" s="1">
        <f>IFERROR(__xludf.DUMMYFUNCTION("""COMPUTED_VALUE"""),5530.0)</f>
        <v>5530</v>
      </c>
      <c r="D872" s="1">
        <f>IFERROR(__xludf.DUMMYFUNCTION("""COMPUTED_VALUE"""),5430.0)</f>
        <v>5430</v>
      </c>
      <c r="E872" s="1">
        <f>IFERROR(__xludf.DUMMYFUNCTION("""COMPUTED_VALUE"""),5490.0)</f>
        <v>5490</v>
      </c>
      <c r="F872" s="1">
        <f>IFERROR(__xludf.DUMMYFUNCTION("""COMPUTED_VALUE"""),12452.0)</f>
        <v>12452</v>
      </c>
    </row>
    <row r="873">
      <c r="A873" s="2">
        <f>IFERROR(__xludf.DUMMYFUNCTION("""COMPUTED_VALUE"""),42201.64583333333)</f>
        <v>42201.64583</v>
      </c>
      <c r="B873" s="1">
        <f>IFERROR(__xludf.DUMMYFUNCTION("""COMPUTED_VALUE"""),5450.0)</f>
        <v>5450</v>
      </c>
      <c r="C873" s="1">
        <f>IFERROR(__xludf.DUMMYFUNCTION("""COMPUTED_VALUE"""),5530.0)</f>
        <v>5530</v>
      </c>
      <c r="D873" s="1">
        <f>IFERROR(__xludf.DUMMYFUNCTION("""COMPUTED_VALUE"""),5450.0)</f>
        <v>5450</v>
      </c>
      <c r="E873" s="1">
        <f>IFERROR(__xludf.DUMMYFUNCTION("""COMPUTED_VALUE"""),5460.0)</f>
        <v>5460</v>
      </c>
      <c r="F873" s="1">
        <f>IFERROR(__xludf.DUMMYFUNCTION("""COMPUTED_VALUE"""),20306.0)</f>
        <v>20306</v>
      </c>
    </row>
    <row r="874">
      <c r="A874" s="2">
        <f>IFERROR(__xludf.DUMMYFUNCTION("""COMPUTED_VALUE"""),42202.64583333333)</f>
        <v>42202.64583</v>
      </c>
      <c r="B874" s="1">
        <f>IFERROR(__xludf.DUMMYFUNCTION("""COMPUTED_VALUE"""),5430.0)</f>
        <v>5430</v>
      </c>
      <c r="C874" s="1">
        <f>IFERROR(__xludf.DUMMYFUNCTION("""COMPUTED_VALUE"""),5520.0)</f>
        <v>5520</v>
      </c>
      <c r="D874" s="1">
        <f>IFERROR(__xludf.DUMMYFUNCTION("""COMPUTED_VALUE"""),5330.0)</f>
        <v>5330</v>
      </c>
      <c r="E874" s="1">
        <f>IFERROR(__xludf.DUMMYFUNCTION("""COMPUTED_VALUE"""),5390.0)</f>
        <v>5390</v>
      </c>
      <c r="F874" s="1">
        <f>IFERROR(__xludf.DUMMYFUNCTION("""COMPUTED_VALUE"""),32343.0)</f>
        <v>32343</v>
      </c>
    </row>
    <row r="875">
      <c r="A875" s="2">
        <f>IFERROR(__xludf.DUMMYFUNCTION("""COMPUTED_VALUE"""),42205.64583333333)</f>
        <v>42205.64583</v>
      </c>
      <c r="B875" s="1">
        <f>IFERROR(__xludf.DUMMYFUNCTION("""COMPUTED_VALUE"""),5340.0)</f>
        <v>5340</v>
      </c>
      <c r="C875" s="1">
        <f>IFERROR(__xludf.DUMMYFUNCTION("""COMPUTED_VALUE"""),5470.0)</f>
        <v>5470</v>
      </c>
      <c r="D875" s="1">
        <f>IFERROR(__xludf.DUMMYFUNCTION("""COMPUTED_VALUE"""),5340.0)</f>
        <v>5340</v>
      </c>
      <c r="E875" s="1">
        <f>IFERROR(__xludf.DUMMYFUNCTION("""COMPUTED_VALUE"""),5400.0)</f>
        <v>5400</v>
      </c>
      <c r="F875" s="1">
        <f>IFERROR(__xludf.DUMMYFUNCTION("""COMPUTED_VALUE"""),9374.0)</f>
        <v>9374</v>
      </c>
    </row>
    <row r="876">
      <c r="A876" s="2">
        <f>IFERROR(__xludf.DUMMYFUNCTION("""COMPUTED_VALUE"""),42206.64583333333)</f>
        <v>42206.64583</v>
      </c>
      <c r="B876" s="1">
        <f>IFERROR(__xludf.DUMMYFUNCTION("""COMPUTED_VALUE"""),5450.0)</f>
        <v>5450</v>
      </c>
      <c r="C876" s="1">
        <f>IFERROR(__xludf.DUMMYFUNCTION("""COMPUTED_VALUE"""),5470.0)</f>
        <v>5470</v>
      </c>
      <c r="D876" s="1">
        <f>IFERROR(__xludf.DUMMYFUNCTION("""COMPUTED_VALUE"""),5390.0)</f>
        <v>5390</v>
      </c>
      <c r="E876" s="1">
        <f>IFERROR(__xludf.DUMMYFUNCTION("""COMPUTED_VALUE"""),5460.0)</f>
        <v>5460</v>
      </c>
      <c r="F876" s="1">
        <f>IFERROR(__xludf.DUMMYFUNCTION("""COMPUTED_VALUE"""),21826.0)</f>
        <v>21826</v>
      </c>
    </row>
    <row r="877">
      <c r="A877" s="2">
        <f>IFERROR(__xludf.DUMMYFUNCTION("""COMPUTED_VALUE"""),42207.64583333333)</f>
        <v>42207.64583</v>
      </c>
      <c r="B877" s="1">
        <f>IFERROR(__xludf.DUMMYFUNCTION("""COMPUTED_VALUE"""),5460.0)</f>
        <v>5460</v>
      </c>
      <c r="C877" s="1">
        <f>IFERROR(__xludf.DUMMYFUNCTION("""COMPUTED_VALUE"""),5550.0)</f>
        <v>5550</v>
      </c>
      <c r="D877" s="1">
        <f>IFERROR(__xludf.DUMMYFUNCTION("""COMPUTED_VALUE"""),5430.0)</f>
        <v>5430</v>
      </c>
      <c r="E877" s="1">
        <f>IFERROR(__xludf.DUMMYFUNCTION("""COMPUTED_VALUE"""),5470.0)</f>
        <v>5470</v>
      </c>
      <c r="F877" s="1">
        <f>IFERROR(__xludf.DUMMYFUNCTION("""COMPUTED_VALUE"""),22279.0)</f>
        <v>22279</v>
      </c>
    </row>
    <row r="878">
      <c r="A878" s="2">
        <f>IFERROR(__xludf.DUMMYFUNCTION("""COMPUTED_VALUE"""),42208.64583333333)</f>
        <v>42208.64583</v>
      </c>
      <c r="B878" s="1">
        <f>IFERROR(__xludf.DUMMYFUNCTION("""COMPUTED_VALUE"""),5530.0)</f>
        <v>5530</v>
      </c>
      <c r="C878" s="1">
        <f>IFERROR(__xludf.DUMMYFUNCTION("""COMPUTED_VALUE"""),5530.0)</f>
        <v>5530</v>
      </c>
      <c r="D878" s="1">
        <f>IFERROR(__xludf.DUMMYFUNCTION("""COMPUTED_VALUE"""),5440.0)</f>
        <v>5440</v>
      </c>
      <c r="E878" s="1">
        <f>IFERROR(__xludf.DUMMYFUNCTION("""COMPUTED_VALUE"""),5500.0)</f>
        <v>5500</v>
      </c>
      <c r="F878" s="1">
        <f>IFERROR(__xludf.DUMMYFUNCTION("""COMPUTED_VALUE"""),20396.0)</f>
        <v>20396</v>
      </c>
    </row>
    <row r="879">
      <c r="A879" s="2">
        <f>IFERROR(__xludf.DUMMYFUNCTION("""COMPUTED_VALUE"""),42209.64583333333)</f>
        <v>42209.64583</v>
      </c>
      <c r="B879" s="1">
        <f>IFERROR(__xludf.DUMMYFUNCTION("""COMPUTED_VALUE"""),5470.0)</f>
        <v>5470</v>
      </c>
      <c r="C879" s="1">
        <f>IFERROR(__xludf.DUMMYFUNCTION("""COMPUTED_VALUE"""),5550.0)</f>
        <v>5550</v>
      </c>
      <c r="D879" s="1">
        <f>IFERROR(__xludf.DUMMYFUNCTION("""COMPUTED_VALUE"""),5440.0)</f>
        <v>5440</v>
      </c>
      <c r="E879" s="1">
        <f>IFERROR(__xludf.DUMMYFUNCTION("""COMPUTED_VALUE"""),5500.0)</f>
        <v>5500</v>
      </c>
      <c r="F879" s="1">
        <f>IFERROR(__xludf.DUMMYFUNCTION("""COMPUTED_VALUE"""),14925.0)</f>
        <v>14925</v>
      </c>
    </row>
    <row r="880">
      <c r="A880" s="2">
        <f>IFERROR(__xludf.DUMMYFUNCTION("""COMPUTED_VALUE"""),42212.64583333333)</f>
        <v>42212.64583</v>
      </c>
      <c r="B880" s="1">
        <f>IFERROR(__xludf.DUMMYFUNCTION("""COMPUTED_VALUE"""),5490.0)</f>
        <v>5490</v>
      </c>
      <c r="C880" s="1">
        <f>IFERROR(__xludf.DUMMYFUNCTION("""COMPUTED_VALUE"""),5490.0)</f>
        <v>5490</v>
      </c>
      <c r="D880" s="1">
        <f>IFERROR(__xludf.DUMMYFUNCTION("""COMPUTED_VALUE"""),5390.0)</f>
        <v>5390</v>
      </c>
      <c r="E880" s="1">
        <f>IFERROR(__xludf.DUMMYFUNCTION("""COMPUTED_VALUE"""),5400.0)</f>
        <v>5400</v>
      </c>
      <c r="F880" s="1">
        <f>IFERROR(__xludf.DUMMYFUNCTION("""COMPUTED_VALUE"""),13957.0)</f>
        <v>13957</v>
      </c>
    </row>
    <row r="881">
      <c r="A881" s="2">
        <f>IFERROR(__xludf.DUMMYFUNCTION("""COMPUTED_VALUE"""),42213.64583333333)</f>
        <v>42213.64583</v>
      </c>
      <c r="B881" s="1">
        <f>IFERROR(__xludf.DUMMYFUNCTION("""COMPUTED_VALUE"""),5400.0)</f>
        <v>5400</v>
      </c>
      <c r="C881" s="1">
        <f>IFERROR(__xludf.DUMMYFUNCTION("""COMPUTED_VALUE"""),5450.0)</f>
        <v>5450</v>
      </c>
      <c r="D881" s="1">
        <f>IFERROR(__xludf.DUMMYFUNCTION("""COMPUTED_VALUE"""),5240.0)</f>
        <v>5240</v>
      </c>
      <c r="E881" s="1">
        <f>IFERROR(__xludf.DUMMYFUNCTION("""COMPUTED_VALUE"""),5330.0)</f>
        <v>5330</v>
      </c>
      <c r="F881" s="1">
        <f>IFERROR(__xludf.DUMMYFUNCTION("""COMPUTED_VALUE"""),15515.0)</f>
        <v>15515</v>
      </c>
    </row>
    <row r="882">
      <c r="A882" s="2">
        <f>IFERROR(__xludf.DUMMYFUNCTION("""COMPUTED_VALUE"""),42214.64583333333)</f>
        <v>42214.64583</v>
      </c>
      <c r="B882" s="1">
        <f>IFERROR(__xludf.DUMMYFUNCTION("""COMPUTED_VALUE"""),5340.0)</f>
        <v>5340</v>
      </c>
      <c r="C882" s="1">
        <f>IFERROR(__xludf.DUMMYFUNCTION("""COMPUTED_VALUE"""),5450.0)</f>
        <v>5450</v>
      </c>
      <c r="D882" s="1">
        <f>IFERROR(__xludf.DUMMYFUNCTION("""COMPUTED_VALUE"""),5320.0)</f>
        <v>5320</v>
      </c>
      <c r="E882" s="1">
        <f>IFERROR(__xludf.DUMMYFUNCTION("""COMPUTED_VALUE"""),5420.0)</f>
        <v>5420</v>
      </c>
      <c r="F882" s="1">
        <f>IFERROR(__xludf.DUMMYFUNCTION("""COMPUTED_VALUE"""),13483.0)</f>
        <v>13483</v>
      </c>
    </row>
    <row r="883">
      <c r="A883" s="2">
        <f>IFERROR(__xludf.DUMMYFUNCTION("""COMPUTED_VALUE"""),42215.64583333333)</f>
        <v>42215.64583</v>
      </c>
      <c r="B883" s="1">
        <f>IFERROR(__xludf.DUMMYFUNCTION("""COMPUTED_VALUE"""),5470.0)</f>
        <v>5470</v>
      </c>
      <c r="C883" s="1">
        <f>IFERROR(__xludf.DUMMYFUNCTION("""COMPUTED_VALUE"""),5470.0)</f>
        <v>5470</v>
      </c>
      <c r="D883" s="1">
        <f>IFERROR(__xludf.DUMMYFUNCTION("""COMPUTED_VALUE"""),5300.0)</f>
        <v>5300</v>
      </c>
      <c r="E883" s="1">
        <f>IFERROR(__xludf.DUMMYFUNCTION("""COMPUTED_VALUE"""),5330.0)</f>
        <v>5330</v>
      </c>
      <c r="F883" s="1">
        <f>IFERROR(__xludf.DUMMYFUNCTION("""COMPUTED_VALUE"""),18642.0)</f>
        <v>18642</v>
      </c>
    </row>
    <row r="884">
      <c r="A884" s="2">
        <f>IFERROR(__xludf.DUMMYFUNCTION("""COMPUTED_VALUE"""),42216.64583333333)</f>
        <v>42216.64583</v>
      </c>
      <c r="B884" s="1">
        <f>IFERROR(__xludf.DUMMYFUNCTION("""COMPUTED_VALUE"""),5390.0)</f>
        <v>5390</v>
      </c>
      <c r="C884" s="1">
        <f>IFERROR(__xludf.DUMMYFUNCTION("""COMPUTED_VALUE"""),5430.0)</f>
        <v>5430</v>
      </c>
      <c r="D884" s="1">
        <f>IFERROR(__xludf.DUMMYFUNCTION("""COMPUTED_VALUE"""),5300.0)</f>
        <v>5300</v>
      </c>
      <c r="E884" s="1">
        <f>IFERROR(__xludf.DUMMYFUNCTION("""COMPUTED_VALUE"""),5380.0)</f>
        <v>5380</v>
      </c>
      <c r="F884" s="1">
        <f>IFERROR(__xludf.DUMMYFUNCTION("""COMPUTED_VALUE"""),7397.0)</f>
        <v>7397</v>
      </c>
    </row>
    <row r="885">
      <c r="A885" s="2">
        <f>IFERROR(__xludf.DUMMYFUNCTION("""COMPUTED_VALUE"""),42219.64583333333)</f>
        <v>42219.64583</v>
      </c>
      <c r="B885" s="1">
        <f>IFERROR(__xludf.DUMMYFUNCTION("""COMPUTED_VALUE"""),5380.0)</f>
        <v>5380</v>
      </c>
      <c r="C885" s="1">
        <f>IFERROR(__xludf.DUMMYFUNCTION("""COMPUTED_VALUE"""),5380.0)</f>
        <v>5380</v>
      </c>
      <c r="D885" s="1">
        <f>IFERROR(__xludf.DUMMYFUNCTION("""COMPUTED_VALUE"""),5290.0)</f>
        <v>5290</v>
      </c>
      <c r="E885" s="1">
        <f>IFERROR(__xludf.DUMMYFUNCTION("""COMPUTED_VALUE"""),5360.0)</f>
        <v>5360</v>
      </c>
      <c r="F885" s="1">
        <f>IFERROR(__xludf.DUMMYFUNCTION("""COMPUTED_VALUE"""),11935.0)</f>
        <v>11935</v>
      </c>
    </row>
    <row r="886">
      <c r="A886" s="2">
        <f>IFERROR(__xludf.DUMMYFUNCTION("""COMPUTED_VALUE"""),42220.64583333333)</f>
        <v>42220.64583</v>
      </c>
      <c r="B886" s="1">
        <f>IFERROR(__xludf.DUMMYFUNCTION("""COMPUTED_VALUE"""),5360.0)</f>
        <v>5360</v>
      </c>
      <c r="C886" s="1">
        <f>IFERROR(__xludf.DUMMYFUNCTION("""COMPUTED_VALUE"""),5400.0)</f>
        <v>5400</v>
      </c>
      <c r="D886" s="1">
        <f>IFERROR(__xludf.DUMMYFUNCTION("""COMPUTED_VALUE"""),5300.0)</f>
        <v>5300</v>
      </c>
      <c r="E886" s="1">
        <f>IFERROR(__xludf.DUMMYFUNCTION("""COMPUTED_VALUE"""),5350.0)</f>
        <v>5350</v>
      </c>
      <c r="F886" s="1">
        <f>IFERROR(__xludf.DUMMYFUNCTION("""COMPUTED_VALUE"""),17129.0)</f>
        <v>17129</v>
      </c>
    </row>
    <row r="887">
      <c r="A887" s="2">
        <f>IFERROR(__xludf.DUMMYFUNCTION("""COMPUTED_VALUE"""),42221.64583333333)</f>
        <v>42221.64583</v>
      </c>
      <c r="B887" s="1">
        <f>IFERROR(__xludf.DUMMYFUNCTION("""COMPUTED_VALUE"""),5410.0)</f>
        <v>5410</v>
      </c>
      <c r="C887" s="1">
        <f>IFERROR(__xludf.DUMMYFUNCTION("""COMPUTED_VALUE"""),5530.0)</f>
        <v>5530</v>
      </c>
      <c r="D887" s="1">
        <f>IFERROR(__xludf.DUMMYFUNCTION("""COMPUTED_VALUE"""),5260.0)</f>
        <v>5260</v>
      </c>
      <c r="E887" s="1">
        <f>IFERROR(__xludf.DUMMYFUNCTION("""COMPUTED_VALUE"""),5340.0)</f>
        <v>5340</v>
      </c>
      <c r="F887" s="1">
        <f>IFERROR(__xludf.DUMMYFUNCTION("""COMPUTED_VALUE"""),18695.0)</f>
        <v>18695</v>
      </c>
    </row>
    <row r="888">
      <c r="A888" s="2">
        <f>IFERROR(__xludf.DUMMYFUNCTION("""COMPUTED_VALUE"""),42222.64583333333)</f>
        <v>42222.64583</v>
      </c>
      <c r="B888" s="1">
        <f>IFERROR(__xludf.DUMMYFUNCTION("""COMPUTED_VALUE"""),5340.0)</f>
        <v>5340</v>
      </c>
      <c r="C888" s="1">
        <f>IFERROR(__xludf.DUMMYFUNCTION("""COMPUTED_VALUE"""),5430.0)</f>
        <v>5430</v>
      </c>
      <c r="D888" s="1">
        <f>IFERROR(__xludf.DUMMYFUNCTION("""COMPUTED_VALUE"""),5340.0)</f>
        <v>5340</v>
      </c>
      <c r="E888" s="1">
        <f>IFERROR(__xludf.DUMMYFUNCTION("""COMPUTED_VALUE"""),5380.0)</f>
        <v>5380</v>
      </c>
      <c r="F888" s="1">
        <f>IFERROR(__xludf.DUMMYFUNCTION("""COMPUTED_VALUE"""),7206.0)</f>
        <v>7206</v>
      </c>
    </row>
    <row r="889">
      <c r="A889" s="2">
        <f>IFERROR(__xludf.DUMMYFUNCTION("""COMPUTED_VALUE"""),42223.64583333333)</f>
        <v>42223.64583</v>
      </c>
      <c r="B889" s="1">
        <f>IFERROR(__xludf.DUMMYFUNCTION("""COMPUTED_VALUE"""),5320.0)</f>
        <v>5320</v>
      </c>
      <c r="C889" s="1">
        <f>IFERROR(__xludf.DUMMYFUNCTION("""COMPUTED_VALUE"""),5430.0)</f>
        <v>5430</v>
      </c>
      <c r="D889" s="1">
        <f>IFERROR(__xludf.DUMMYFUNCTION("""COMPUTED_VALUE"""),5320.0)</f>
        <v>5320</v>
      </c>
      <c r="E889" s="1">
        <f>IFERROR(__xludf.DUMMYFUNCTION("""COMPUTED_VALUE"""),5410.0)</f>
        <v>5410</v>
      </c>
      <c r="F889" s="1">
        <f>IFERROR(__xludf.DUMMYFUNCTION("""COMPUTED_VALUE"""),10371.0)</f>
        <v>10371</v>
      </c>
    </row>
    <row r="890">
      <c r="A890" s="2">
        <f>IFERROR(__xludf.DUMMYFUNCTION("""COMPUTED_VALUE"""),42226.64583333333)</f>
        <v>42226.64583</v>
      </c>
      <c r="B890" s="1">
        <f>IFERROR(__xludf.DUMMYFUNCTION("""COMPUTED_VALUE"""),5470.0)</f>
        <v>5470</v>
      </c>
      <c r="C890" s="1">
        <f>IFERROR(__xludf.DUMMYFUNCTION("""COMPUTED_VALUE"""),5470.0)</f>
        <v>5470</v>
      </c>
      <c r="D890" s="1">
        <f>IFERROR(__xludf.DUMMYFUNCTION("""COMPUTED_VALUE"""),5350.0)</f>
        <v>5350</v>
      </c>
      <c r="E890" s="1">
        <f>IFERROR(__xludf.DUMMYFUNCTION("""COMPUTED_VALUE"""),5410.0)</f>
        <v>5410</v>
      </c>
      <c r="F890" s="1">
        <f>IFERROR(__xludf.DUMMYFUNCTION("""COMPUTED_VALUE"""),7488.0)</f>
        <v>7488</v>
      </c>
    </row>
    <row r="891">
      <c r="A891" s="2">
        <f>IFERROR(__xludf.DUMMYFUNCTION("""COMPUTED_VALUE"""),42227.64583333333)</f>
        <v>42227.64583</v>
      </c>
      <c r="B891" s="1">
        <f>IFERROR(__xludf.DUMMYFUNCTION("""COMPUTED_VALUE"""),5370.0)</f>
        <v>5370</v>
      </c>
      <c r="C891" s="1">
        <f>IFERROR(__xludf.DUMMYFUNCTION("""COMPUTED_VALUE"""),5470.0)</f>
        <v>5470</v>
      </c>
      <c r="D891" s="1">
        <f>IFERROR(__xludf.DUMMYFUNCTION("""COMPUTED_VALUE"""),5370.0)</f>
        <v>5370</v>
      </c>
      <c r="E891" s="1">
        <f>IFERROR(__xludf.DUMMYFUNCTION("""COMPUTED_VALUE"""),5380.0)</f>
        <v>5380</v>
      </c>
      <c r="F891" s="1">
        <f>IFERROR(__xludf.DUMMYFUNCTION("""COMPUTED_VALUE"""),16525.0)</f>
        <v>16525</v>
      </c>
    </row>
    <row r="892">
      <c r="A892" s="2">
        <f>IFERROR(__xludf.DUMMYFUNCTION("""COMPUTED_VALUE"""),42228.64583333333)</f>
        <v>42228.64583</v>
      </c>
      <c r="B892" s="1">
        <f>IFERROR(__xludf.DUMMYFUNCTION("""COMPUTED_VALUE"""),5400.0)</f>
        <v>5400</v>
      </c>
      <c r="C892" s="1">
        <f>IFERROR(__xludf.DUMMYFUNCTION("""COMPUTED_VALUE"""),5450.0)</f>
        <v>5450</v>
      </c>
      <c r="D892" s="1">
        <f>IFERROR(__xludf.DUMMYFUNCTION("""COMPUTED_VALUE"""),5300.0)</f>
        <v>5300</v>
      </c>
      <c r="E892" s="1">
        <f>IFERROR(__xludf.DUMMYFUNCTION("""COMPUTED_VALUE"""),5370.0)</f>
        <v>5370</v>
      </c>
      <c r="F892" s="1">
        <f>IFERROR(__xludf.DUMMYFUNCTION("""COMPUTED_VALUE"""),19022.0)</f>
        <v>19022</v>
      </c>
    </row>
    <row r="893">
      <c r="A893" s="2">
        <f>IFERROR(__xludf.DUMMYFUNCTION("""COMPUTED_VALUE"""),42229.64583333333)</f>
        <v>42229.64583</v>
      </c>
      <c r="B893" s="1">
        <f>IFERROR(__xludf.DUMMYFUNCTION("""COMPUTED_VALUE"""),5390.0)</f>
        <v>5390</v>
      </c>
      <c r="C893" s="1">
        <f>IFERROR(__xludf.DUMMYFUNCTION("""COMPUTED_VALUE"""),5400.0)</f>
        <v>5400</v>
      </c>
      <c r="D893" s="1">
        <f>IFERROR(__xludf.DUMMYFUNCTION("""COMPUTED_VALUE"""),5330.0)</f>
        <v>5330</v>
      </c>
      <c r="E893" s="1">
        <f>IFERROR(__xludf.DUMMYFUNCTION("""COMPUTED_VALUE"""),5340.0)</f>
        <v>5340</v>
      </c>
      <c r="F893" s="1">
        <f>IFERROR(__xludf.DUMMYFUNCTION("""COMPUTED_VALUE"""),30139.0)</f>
        <v>30139</v>
      </c>
    </row>
    <row r="894">
      <c r="A894" s="2">
        <f>IFERROR(__xludf.DUMMYFUNCTION("""COMPUTED_VALUE"""),42233.64583333333)</f>
        <v>42233.64583</v>
      </c>
      <c r="B894" s="1">
        <f>IFERROR(__xludf.DUMMYFUNCTION("""COMPUTED_VALUE"""),5400.0)</f>
        <v>5400</v>
      </c>
      <c r="C894" s="1">
        <f>IFERROR(__xludf.DUMMYFUNCTION("""COMPUTED_VALUE"""),5460.0)</f>
        <v>5460</v>
      </c>
      <c r="D894" s="1">
        <f>IFERROR(__xludf.DUMMYFUNCTION("""COMPUTED_VALUE"""),5280.0)</f>
        <v>5280</v>
      </c>
      <c r="E894" s="1">
        <f>IFERROR(__xludf.DUMMYFUNCTION("""COMPUTED_VALUE"""),5280.0)</f>
        <v>5280</v>
      </c>
      <c r="F894" s="1">
        <f>IFERROR(__xludf.DUMMYFUNCTION("""COMPUTED_VALUE"""),23493.0)</f>
        <v>23493</v>
      </c>
    </row>
    <row r="895">
      <c r="A895" s="2">
        <f>IFERROR(__xludf.DUMMYFUNCTION("""COMPUTED_VALUE"""),42234.64583333333)</f>
        <v>42234.64583</v>
      </c>
      <c r="B895" s="1">
        <f>IFERROR(__xludf.DUMMYFUNCTION("""COMPUTED_VALUE"""),5380.0)</f>
        <v>5380</v>
      </c>
      <c r="C895" s="1">
        <f>IFERROR(__xludf.DUMMYFUNCTION("""COMPUTED_VALUE"""),5390.0)</f>
        <v>5390</v>
      </c>
      <c r="D895" s="1">
        <f>IFERROR(__xludf.DUMMYFUNCTION("""COMPUTED_VALUE"""),5320.0)</f>
        <v>5320</v>
      </c>
      <c r="E895" s="1">
        <f>IFERROR(__xludf.DUMMYFUNCTION("""COMPUTED_VALUE"""),5350.0)</f>
        <v>5350</v>
      </c>
      <c r="F895" s="1">
        <f>IFERROR(__xludf.DUMMYFUNCTION("""COMPUTED_VALUE"""),12811.0)</f>
        <v>12811</v>
      </c>
    </row>
    <row r="896">
      <c r="A896" s="2">
        <f>IFERROR(__xludf.DUMMYFUNCTION("""COMPUTED_VALUE"""),42235.64583333333)</f>
        <v>42235.64583</v>
      </c>
      <c r="B896" s="1">
        <f>IFERROR(__xludf.DUMMYFUNCTION("""COMPUTED_VALUE"""),5280.0)</f>
        <v>5280</v>
      </c>
      <c r="C896" s="1">
        <f>IFERROR(__xludf.DUMMYFUNCTION("""COMPUTED_VALUE"""),5340.0)</f>
        <v>5340</v>
      </c>
      <c r="D896" s="1">
        <f>IFERROR(__xludf.DUMMYFUNCTION("""COMPUTED_VALUE"""),5200.0)</f>
        <v>5200</v>
      </c>
      <c r="E896" s="1">
        <f>IFERROR(__xludf.DUMMYFUNCTION("""COMPUTED_VALUE"""),5300.0)</f>
        <v>5300</v>
      </c>
      <c r="F896" s="1">
        <f>IFERROR(__xludf.DUMMYFUNCTION("""COMPUTED_VALUE"""),28983.0)</f>
        <v>28983</v>
      </c>
    </row>
    <row r="897">
      <c r="A897" s="2">
        <f>IFERROR(__xludf.DUMMYFUNCTION("""COMPUTED_VALUE"""),42236.64583333333)</f>
        <v>42236.64583</v>
      </c>
      <c r="B897" s="1">
        <f>IFERROR(__xludf.DUMMYFUNCTION("""COMPUTED_VALUE"""),5320.0)</f>
        <v>5320</v>
      </c>
      <c r="C897" s="1">
        <f>IFERROR(__xludf.DUMMYFUNCTION("""COMPUTED_VALUE"""),5350.0)</f>
        <v>5350</v>
      </c>
      <c r="D897" s="1">
        <f>IFERROR(__xludf.DUMMYFUNCTION("""COMPUTED_VALUE"""),5270.0)</f>
        <v>5270</v>
      </c>
      <c r="E897" s="1">
        <f>IFERROR(__xludf.DUMMYFUNCTION("""COMPUTED_VALUE"""),5310.0)</f>
        <v>5310</v>
      </c>
      <c r="F897" s="1">
        <f>IFERROR(__xludf.DUMMYFUNCTION("""COMPUTED_VALUE"""),8137.0)</f>
        <v>8137</v>
      </c>
    </row>
    <row r="898">
      <c r="A898" s="2">
        <f>IFERROR(__xludf.DUMMYFUNCTION("""COMPUTED_VALUE"""),42237.64583333333)</f>
        <v>42237.64583</v>
      </c>
      <c r="B898" s="1">
        <f>IFERROR(__xludf.DUMMYFUNCTION("""COMPUTED_VALUE"""),5190.0)</f>
        <v>5190</v>
      </c>
      <c r="C898" s="1">
        <f>IFERROR(__xludf.DUMMYFUNCTION("""COMPUTED_VALUE"""),5230.0)</f>
        <v>5230</v>
      </c>
      <c r="D898" s="1">
        <f>IFERROR(__xludf.DUMMYFUNCTION("""COMPUTED_VALUE"""),5000.0)</f>
        <v>5000</v>
      </c>
      <c r="E898" s="1">
        <f>IFERROR(__xludf.DUMMYFUNCTION("""COMPUTED_VALUE"""),5050.0)</f>
        <v>5050</v>
      </c>
      <c r="F898" s="1">
        <f>IFERROR(__xludf.DUMMYFUNCTION("""COMPUTED_VALUE"""),58668.0)</f>
        <v>58668</v>
      </c>
    </row>
    <row r="899">
      <c r="A899" s="2">
        <f>IFERROR(__xludf.DUMMYFUNCTION("""COMPUTED_VALUE"""),42240.64583333333)</f>
        <v>42240.64583</v>
      </c>
      <c r="B899" s="1">
        <f>IFERROR(__xludf.DUMMYFUNCTION("""COMPUTED_VALUE"""),5010.0)</f>
        <v>5010</v>
      </c>
      <c r="C899" s="1">
        <f>IFERROR(__xludf.DUMMYFUNCTION("""COMPUTED_VALUE"""),5180.0)</f>
        <v>5180</v>
      </c>
      <c r="D899" s="1">
        <f>IFERROR(__xludf.DUMMYFUNCTION("""COMPUTED_VALUE"""),5000.0)</f>
        <v>5000</v>
      </c>
      <c r="E899" s="1">
        <f>IFERROR(__xludf.DUMMYFUNCTION("""COMPUTED_VALUE"""),5050.0)</f>
        <v>5050</v>
      </c>
      <c r="F899" s="1">
        <f>IFERROR(__xludf.DUMMYFUNCTION("""COMPUTED_VALUE"""),24363.0)</f>
        <v>24363</v>
      </c>
    </row>
    <row r="900">
      <c r="A900" s="2">
        <f>IFERROR(__xludf.DUMMYFUNCTION("""COMPUTED_VALUE"""),42241.64583333333)</f>
        <v>42241.64583</v>
      </c>
      <c r="B900" s="1">
        <f>IFERROR(__xludf.DUMMYFUNCTION("""COMPUTED_VALUE"""),5180.0)</f>
        <v>5180</v>
      </c>
      <c r="C900" s="1">
        <f>IFERROR(__xludf.DUMMYFUNCTION("""COMPUTED_VALUE"""),5230.0)</f>
        <v>5230</v>
      </c>
      <c r="D900" s="1">
        <f>IFERROR(__xludf.DUMMYFUNCTION("""COMPUTED_VALUE"""),5070.0)</f>
        <v>5070</v>
      </c>
      <c r="E900" s="1">
        <f>IFERROR(__xludf.DUMMYFUNCTION("""COMPUTED_VALUE"""),5100.0)</f>
        <v>5100</v>
      </c>
      <c r="F900" s="1">
        <f>IFERROR(__xludf.DUMMYFUNCTION("""COMPUTED_VALUE"""),31788.0)</f>
        <v>31788</v>
      </c>
    </row>
    <row r="901">
      <c r="A901" s="2">
        <f>IFERROR(__xludf.DUMMYFUNCTION("""COMPUTED_VALUE"""),42242.64583333333)</f>
        <v>42242.64583</v>
      </c>
      <c r="B901" s="1">
        <f>IFERROR(__xludf.DUMMYFUNCTION("""COMPUTED_VALUE"""),5190.0)</f>
        <v>5190</v>
      </c>
      <c r="C901" s="1">
        <f>IFERROR(__xludf.DUMMYFUNCTION("""COMPUTED_VALUE"""),5230.0)</f>
        <v>5230</v>
      </c>
      <c r="D901" s="1">
        <f>IFERROR(__xludf.DUMMYFUNCTION("""COMPUTED_VALUE"""),5080.0)</f>
        <v>5080</v>
      </c>
      <c r="E901" s="1">
        <f>IFERROR(__xludf.DUMMYFUNCTION("""COMPUTED_VALUE"""),5220.0)</f>
        <v>5220</v>
      </c>
      <c r="F901" s="1">
        <f>IFERROR(__xludf.DUMMYFUNCTION("""COMPUTED_VALUE"""),28236.0)</f>
        <v>28236</v>
      </c>
    </row>
    <row r="902">
      <c r="A902" s="2">
        <f>IFERROR(__xludf.DUMMYFUNCTION("""COMPUTED_VALUE"""),42243.64583333333)</f>
        <v>42243.64583</v>
      </c>
      <c r="B902" s="1">
        <f>IFERROR(__xludf.DUMMYFUNCTION("""COMPUTED_VALUE"""),5230.0)</f>
        <v>5230</v>
      </c>
      <c r="C902" s="1">
        <f>IFERROR(__xludf.DUMMYFUNCTION("""COMPUTED_VALUE"""),5250.0)</f>
        <v>5250</v>
      </c>
      <c r="D902" s="1">
        <f>IFERROR(__xludf.DUMMYFUNCTION("""COMPUTED_VALUE"""),5140.0)</f>
        <v>5140</v>
      </c>
      <c r="E902" s="1">
        <f>IFERROR(__xludf.DUMMYFUNCTION("""COMPUTED_VALUE"""),5200.0)</f>
        <v>5200</v>
      </c>
      <c r="F902" s="1">
        <f>IFERROR(__xludf.DUMMYFUNCTION("""COMPUTED_VALUE"""),20802.0)</f>
        <v>20802</v>
      </c>
    </row>
    <row r="903">
      <c r="A903" s="2">
        <f>IFERROR(__xludf.DUMMYFUNCTION("""COMPUTED_VALUE"""),42244.64583333333)</f>
        <v>42244.64583</v>
      </c>
      <c r="B903" s="1">
        <f>IFERROR(__xludf.DUMMYFUNCTION("""COMPUTED_VALUE"""),5200.0)</f>
        <v>5200</v>
      </c>
      <c r="C903" s="1">
        <f>IFERROR(__xludf.DUMMYFUNCTION("""COMPUTED_VALUE"""),5250.0)</f>
        <v>5250</v>
      </c>
      <c r="D903" s="1">
        <f>IFERROR(__xludf.DUMMYFUNCTION("""COMPUTED_VALUE"""),5190.0)</f>
        <v>5190</v>
      </c>
      <c r="E903" s="1">
        <f>IFERROR(__xludf.DUMMYFUNCTION("""COMPUTED_VALUE"""),5200.0)</f>
        <v>5200</v>
      </c>
      <c r="F903" s="1">
        <f>IFERROR(__xludf.DUMMYFUNCTION("""COMPUTED_VALUE"""),16725.0)</f>
        <v>16725</v>
      </c>
    </row>
    <row r="904">
      <c r="A904" s="2">
        <f>IFERROR(__xludf.DUMMYFUNCTION("""COMPUTED_VALUE"""),42247.64583333333)</f>
        <v>42247.64583</v>
      </c>
      <c r="B904" s="1">
        <f>IFERROR(__xludf.DUMMYFUNCTION("""COMPUTED_VALUE"""),5210.0)</f>
        <v>5210</v>
      </c>
      <c r="C904" s="1">
        <f>IFERROR(__xludf.DUMMYFUNCTION("""COMPUTED_VALUE"""),5390.0)</f>
        <v>5390</v>
      </c>
      <c r="D904" s="1">
        <f>IFERROR(__xludf.DUMMYFUNCTION("""COMPUTED_VALUE"""),5200.0)</f>
        <v>5200</v>
      </c>
      <c r="E904" s="1">
        <f>IFERROR(__xludf.DUMMYFUNCTION("""COMPUTED_VALUE"""),5330.0)</f>
        <v>5330</v>
      </c>
      <c r="F904" s="1">
        <f>IFERROR(__xludf.DUMMYFUNCTION("""COMPUTED_VALUE"""),39351.0)</f>
        <v>39351</v>
      </c>
    </row>
    <row r="905">
      <c r="A905" s="2">
        <f>IFERROR(__xludf.DUMMYFUNCTION("""COMPUTED_VALUE"""),42248.64583333333)</f>
        <v>42248.64583</v>
      </c>
      <c r="B905" s="1">
        <f>IFERROR(__xludf.DUMMYFUNCTION("""COMPUTED_VALUE"""),5370.0)</f>
        <v>5370</v>
      </c>
      <c r="C905" s="1">
        <f>IFERROR(__xludf.DUMMYFUNCTION("""COMPUTED_VALUE"""),5450.0)</f>
        <v>5450</v>
      </c>
      <c r="D905" s="1">
        <f>IFERROR(__xludf.DUMMYFUNCTION("""COMPUTED_VALUE"""),5330.0)</f>
        <v>5330</v>
      </c>
      <c r="E905" s="1">
        <f>IFERROR(__xludf.DUMMYFUNCTION("""COMPUTED_VALUE"""),5370.0)</f>
        <v>5370</v>
      </c>
      <c r="F905" s="1">
        <f>IFERROR(__xludf.DUMMYFUNCTION("""COMPUTED_VALUE"""),24065.0)</f>
        <v>24065</v>
      </c>
    </row>
    <row r="906">
      <c r="A906" s="2">
        <f>IFERROR(__xludf.DUMMYFUNCTION("""COMPUTED_VALUE"""),42249.64583333333)</f>
        <v>42249.64583</v>
      </c>
      <c r="B906" s="1">
        <f>IFERROR(__xludf.DUMMYFUNCTION("""COMPUTED_VALUE"""),5330.0)</f>
        <v>5330</v>
      </c>
      <c r="C906" s="1">
        <f>IFERROR(__xludf.DUMMYFUNCTION("""COMPUTED_VALUE"""),5390.0)</f>
        <v>5390</v>
      </c>
      <c r="D906" s="1">
        <f>IFERROR(__xludf.DUMMYFUNCTION("""COMPUTED_VALUE"""),5290.0)</f>
        <v>5290</v>
      </c>
      <c r="E906" s="1">
        <f>IFERROR(__xludf.DUMMYFUNCTION("""COMPUTED_VALUE"""),5310.0)</f>
        <v>5310</v>
      </c>
      <c r="F906" s="1">
        <f>IFERROR(__xludf.DUMMYFUNCTION("""COMPUTED_VALUE"""),11558.0)</f>
        <v>11558</v>
      </c>
    </row>
    <row r="907">
      <c r="A907" s="2">
        <f>IFERROR(__xludf.DUMMYFUNCTION("""COMPUTED_VALUE"""),42250.64583333333)</f>
        <v>42250.64583</v>
      </c>
      <c r="B907" s="1">
        <f>IFERROR(__xludf.DUMMYFUNCTION("""COMPUTED_VALUE"""),5310.0)</f>
        <v>5310</v>
      </c>
      <c r="C907" s="1">
        <f>IFERROR(__xludf.DUMMYFUNCTION("""COMPUTED_VALUE"""),5430.0)</f>
        <v>5430</v>
      </c>
      <c r="D907" s="1">
        <f>IFERROR(__xludf.DUMMYFUNCTION("""COMPUTED_VALUE"""),5300.0)</f>
        <v>5300</v>
      </c>
      <c r="E907" s="1">
        <f>IFERROR(__xludf.DUMMYFUNCTION("""COMPUTED_VALUE"""),5320.0)</f>
        <v>5320</v>
      </c>
      <c r="F907" s="1">
        <f>IFERROR(__xludf.DUMMYFUNCTION("""COMPUTED_VALUE"""),30636.0)</f>
        <v>30636</v>
      </c>
    </row>
    <row r="908">
      <c r="A908" s="2">
        <f>IFERROR(__xludf.DUMMYFUNCTION("""COMPUTED_VALUE"""),42251.64583333333)</f>
        <v>42251.64583</v>
      </c>
      <c r="B908" s="1">
        <f>IFERROR(__xludf.DUMMYFUNCTION("""COMPUTED_VALUE"""),5320.0)</f>
        <v>5320</v>
      </c>
      <c r="C908" s="1">
        <f>IFERROR(__xludf.DUMMYFUNCTION("""COMPUTED_VALUE"""),5390.0)</f>
        <v>5390</v>
      </c>
      <c r="D908" s="1">
        <f>IFERROR(__xludf.DUMMYFUNCTION("""COMPUTED_VALUE"""),5260.0)</f>
        <v>5260</v>
      </c>
      <c r="E908" s="1">
        <f>IFERROR(__xludf.DUMMYFUNCTION("""COMPUTED_VALUE"""),5280.0)</f>
        <v>5280</v>
      </c>
      <c r="F908" s="1">
        <f>IFERROR(__xludf.DUMMYFUNCTION("""COMPUTED_VALUE"""),20082.0)</f>
        <v>20082</v>
      </c>
    </row>
    <row r="909">
      <c r="A909" s="2">
        <f>IFERROR(__xludf.DUMMYFUNCTION("""COMPUTED_VALUE"""),42254.64583333333)</f>
        <v>42254.64583</v>
      </c>
      <c r="B909" s="1">
        <f>IFERROR(__xludf.DUMMYFUNCTION("""COMPUTED_VALUE"""),5250.0)</f>
        <v>5250</v>
      </c>
      <c r="C909" s="1">
        <f>IFERROR(__xludf.DUMMYFUNCTION("""COMPUTED_VALUE"""),5360.0)</f>
        <v>5360</v>
      </c>
      <c r="D909" s="1">
        <f>IFERROR(__xludf.DUMMYFUNCTION("""COMPUTED_VALUE"""),5210.0)</f>
        <v>5210</v>
      </c>
      <c r="E909" s="1">
        <f>IFERROR(__xludf.DUMMYFUNCTION("""COMPUTED_VALUE"""),5300.0)</f>
        <v>5300</v>
      </c>
      <c r="F909" s="1">
        <f>IFERROR(__xludf.DUMMYFUNCTION("""COMPUTED_VALUE"""),26575.0)</f>
        <v>26575</v>
      </c>
    </row>
    <row r="910">
      <c r="A910" s="2">
        <f>IFERROR(__xludf.DUMMYFUNCTION("""COMPUTED_VALUE"""),42255.64583333333)</f>
        <v>42255.64583</v>
      </c>
      <c r="B910" s="1">
        <f>IFERROR(__xludf.DUMMYFUNCTION("""COMPUTED_VALUE"""),5300.0)</f>
        <v>5300</v>
      </c>
      <c r="C910" s="1">
        <f>IFERROR(__xludf.DUMMYFUNCTION("""COMPUTED_VALUE"""),5380.0)</f>
        <v>5380</v>
      </c>
      <c r="D910" s="1">
        <f>IFERROR(__xludf.DUMMYFUNCTION("""COMPUTED_VALUE"""),5280.0)</f>
        <v>5280</v>
      </c>
      <c r="E910" s="1">
        <f>IFERROR(__xludf.DUMMYFUNCTION("""COMPUTED_VALUE"""),5340.0)</f>
        <v>5340</v>
      </c>
      <c r="F910" s="1">
        <f>IFERROR(__xludf.DUMMYFUNCTION("""COMPUTED_VALUE"""),18464.0)</f>
        <v>18464</v>
      </c>
    </row>
    <row r="911">
      <c r="A911" s="2">
        <f>IFERROR(__xludf.DUMMYFUNCTION("""COMPUTED_VALUE"""),42256.64583333333)</f>
        <v>42256.64583</v>
      </c>
      <c r="B911" s="1">
        <f>IFERROR(__xludf.DUMMYFUNCTION("""COMPUTED_VALUE"""),5320.0)</f>
        <v>5320</v>
      </c>
      <c r="C911" s="1">
        <f>IFERROR(__xludf.DUMMYFUNCTION("""COMPUTED_VALUE"""),5400.0)</f>
        <v>5400</v>
      </c>
      <c r="D911" s="1">
        <f>IFERROR(__xludf.DUMMYFUNCTION("""COMPUTED_VALUE"""),5300.0)</f>
        <v>5300</v>
      </c>
      <c r="E911" s="1">
        <f>IFERROR(__xludf.DUMMYFUNCTION("""COMPUTED_VALUE"""),5400.0)</f>
        <v>5400</v>
      </c>
      <c r="F911" s="1">
        <f>IFERROR(__xludf.DUMMYFUNCTION("""COMPUTED_VALUE"""),26711.0)</f>
        <v>26711</v>
      </c>
    </row>
    <row r="912">
      <c r="A912" s="2">
        <f>IFERROR(__xludf.DUMMYFUNCTION("""COMPUTED_VALUE"""),42257.64583333333)</f>
        <v>42257.64583</v>
      </c>
      <c r="B912" s="1">
        <f>IFERROR(__xludf.DUMMYFUNCTION("""COMPUTED_VALUE"""),5320.0)</f>
        <v>5320</v>
      </c>
      <c r="C912" s="1">
        <f>IFERROR(__xludf.DUMMYFUNCTION("""COMPUTED_VALUE"""),5410.0)</f>
        <v>5410</v>
      </c>
      <c r="D912" s="1">
        <f>IFERROR(__xludf.DUMMYFUNCTION("""COMPUTED_VALUE"""),5320.0)</f>
        <v>5320</v>
      </c>
      <c r="E912" s="1">
        <f>IFERROR(__xludf.DUMMYFUNCTION("""COMPUTED_VALUE"""),5400.0)</f>
        <v>5400</v>
      </c>
      <c r="F912" s="1">
        <f>IFERROR(__xludf.DUMMYFUNCTION("""COMPUTED_VALUE"""),8595.0)</f>
        <v>8595</v>
      </c>
    </row>
    <row r="913">
      <c r="A913" s="2">
        <f>IFERROR(__xludf.DUMMYFUNCTION("""COMPUTED_VALUE"""),42258.64583333333)</f>
        <v>42258.64583</v>
      </c>
      <c r="B913" s="1">
        <f>IFERROR(__xludf.DUMMYFUNCTION("""COMPUTED_VALUE"""),5410.0)</f>
        <v>5410</v>
      </c>
      <c r="C913" s="1">
        <f>IFERROR(__xludf.DUMMYFUNCTION("""COMPUTED_VALUE"""),5410.0)</f>
        <v>5410</v>
      </c>
      <c r="D913" s="1">
        <f>IFERROR(__xludf.DUMMYFUNCTION("""COMPUTED_VALUE"""),5360.0)</f>
        <v>5360</v>
      </c>
      <c r="E913" s="1">
        <f>IFERROR(__xludf.DUMMYFUNCTION("""COMPUTED_VALUE"""),5400.0)</f>
        <v>5400</v>
      </c>
      <c r="F913" s="1">
        <f>IFERROR(__xludf.DUMMYFUNCTION("""COMPUTED_VALUE"""),10859.0)</f>
        <v>10859</v>
      </c>
    </row>
    <row r="914">
      <c r="A914" s="2">
        <f>IFERROR(__xludf.DUMMYFUNCTION("""COMPUTED_VALUE"""),42261.64583333333)</f>
        <v>42261.64583</v>
      </c>
      <c r="B914" s="1">
        <f>IFERROR(__xludf.DUMMYFUNCTION("""COMPUTED_VALUE"""),5360.0)</f>
        <v>5360</v>
      </c>
      <c r="C914" s="1">
        <f>IFERROR(__xludf.DUMMYFUNCTION("""COMPUTED_VALUE"""),5430.0)</f>
        <v>5430</v>
      </c>
      <c r="D914" s="1">
        <f>IFERROR(__xludf.DUMMYFUNCTION("""COMPUTED_VALUE"""),5360.0)</f>
        <v>5360</v>
      </c>
      <c r="E914" s="1">
        <f>IFERROR(__xludf.DUMMYFUNCTION("""COMPUTED_VALUE"""),5400.0)</f>
        <v>5400</v>
      </c>
      <c r="F914" s="1">
        <f>IFERROR(__xludf.DUMMYFUNCTION("""COMPUTED_VALUE"""),4534.0)</f>
        <v>4534</v>
      </c>
    </row>
    <row r="915">
      <c r="A915" s="2">
        <f>IFERROR(__xludf.DUMMYFUNCTION("""COMPUTED_VALUE"""),42262.64583333333)</f>
        <v>42262.64583</v>
      </c>
      <c r="B915" s="1">
        <f>IFERROR(__xludf.DUMMYFUNCTION("""COMPUTED_VALUE"""),5400.0)</f>
        <v>5400</v>
      </c>
      <c r="C915" s="1">
        <f>IFERROR(__xludf.DUMMYFUNCTION("""COMPUTED_VALUE"""),5440.0)</f>
        <v>5440</v>
      </c>
      <c r="D915" s="1">
        <f>IFERROR(__xludf.DUMMYFUNCTION("""COMPUTED_VALUE"""),5380.0)</f>
        <v>5380</v>
      </c>
      <c r="E915" s="1">
        <f>IFERROR(__xludf.DUMMYFUNCTION("""COMPUTED_VALUE"""),5420.0)</f>
        <v>5420</v>
      </c>
      <c r="F915" s="1">
        <f>IFERROR(__xludf.DUMMYFUNCTION("""COMPUTED_VALUE"""),7301.0)</f>
        <v>7301</v>
      </c>
    </row>
    <row r="916">
      <c r="A916" s="2">
        <f>IFERROR(__xludf.DUMMYFUNCTION("""COMPUTED_VALUE"""),42263.64583333333)</f>
        <v>42263.64583</v>
      </c>
      <c r="B916" s="1">
        <f>IFERROR(__xludf.DUMMYFUNCTION("""COMPUTED_VALUE"""),5430.0)</f>
        <v>5430</v>
      </c>
      <c r="C916" s="1">
        <f>IFERROR(__xludf.DUMMYFUNCTION("""COMPUTED_VALUE"""),5430.0)</f>
        <v>5430</v>
      </c>
      <c r="D916" s="1">
        <f>IFERROR(__xludf.DUMMYFUNCTION("""COMPUTED_VALUE"""),5370.0)</f>
        <v>5370</v>
      </c>
      <c r="E916" s="1">
        <f>IFERROR(__xludf.DUMMYFUNCTION("""COMPUTED_VALUE"""),5410.0)</f>
        <v>5410</v>
      </c>
      <c r="F916" s="1">
        <f>IFERROR(__xludf.DUMMYFUNCTION("""COMPUTED_VALUE"""),6293.0)</f>
        <v>6293</v>
      </c>
    </row>
    <row r="917">
      <c r="A917" s="2">
        <f>IFERROR(__xludf.DUMMYFUNCTION("""COMPUTED_VALUE"""),42264.64583333333)</f>
        <v>42264.64583</v>
      </c>
      <c r="B917" s="1">
        <f>IFERROR(__xludf.DUMMYFUNCTION("""COMPUTED_VALUE"""),5410.0)</f>
        <v>5410</v>
      </c>
      <c r="C917" s="1">
        <f>IFERROR(__xludf.DUMMYFUNCTION("""COMPUTED_VALUE"""),5430.0)</f>
        <v>5430</v>
      </c>
      <c r="D917" s="1">
        <f>IFERROR(__xludf.DUMMYFUNCTION("""COMPUTED_VALUE"""),5330.0)</f>
        <v>5330</v>
      </c>
      <c r="E917" s="1">
        <f>IFERROR(__xludf.DUMMYFUNCTION("""COMPUTED_VALUE"""),5330.0)</f>
        <v>5330</v>
      </c>
      <c r="F917" s="1">
        <f>IFERROR(__xludf.DUMMYFUNCTION("""COMPUTED_VALUE"""),7339.0)</f>
        <v>7339</v>
      </c>
    </row>
    <row r="918">
      <c r="A918" s="2">
        <f>IFERROR(__xludf.DUMMYFUNCTION("""COMPUTED_VALUE"""),42265.64583333333)</f>
        <v>42265.64583</v>
      </c>
      <c r="B918" s="1">
        <f>IFERROR(__xludf.DUMMYFUNCTION("""COMPUTED_VALUE"""),5390.0)</f>
        <v>5390</v>
      </c>
      <c r="C918" s="1">
        <f>IFERROR(__xludf.DUMMYFUNCTION("""COMPUTED_VALUE"""),5390.0)</f>
        <v>5390</v>
      </c>
      <c r="D918" s="1">
        <f>IFERROR(__xludf.DUMMYFUNCTION("""COMPUTED_VALUE"""),5290.0)</f>
        <v>5290</v>
      </c>
      <c r="E918" s="1">
        <f>IFERROR(__xludf.DUMMYFUNCTION("""COMPUTED_VALUE"""),5370.0)</f>
        <v>5370</v>
      </c>
      <c r="F918" s="1">
        <f>IFERROR(__xludf.DUMMYFUNCTION("""COMPUTED_VALUE"""),11825.0)</f>
        <v>11825</v>
      </c>
    </row>
    <row r="919">
      <c r="A919" s="2">
        <f>IFERROR(__xludf.DUMMYFUNCTION("""COMPUTED_VALUE"""),42268.64583333333)</f>
        <v>42268.64583</v>
      </c>
      <c r="B919" s="1">
        <f>IFERROR(__xludf.DUMMYFUNCTION("""COMPUTED_VALUE"""),5280.0)</f>
        <v>5280</v>
      </c>
      <c r="C919" s="1">
        <f>IFERROR(__xludf.DUMMYFUNCTION("""COMPUTED_VALUE"""),5370.0)</f>
        <v>5370</v>
      </c>
      <c r="D919" s="1">
        <f>IFERROR(__xludf.DUMMYFUNCTION("""COMPUTED_VALUE"""),5280.0)</f>
        <v>5280</v>
      </c>
      <c r="E919" s="1">
        <f>IFERROR(__xludf.DUMMYFUNCTION("""COMPUTED_VALUE"""),5360.0)</f>
        <v>5360</v>
      </c>
      <c r="F919" s="1">
        <f>IFERROR(__xludf.DUMMYFUNCTION("""COMPUTED_VALUE"""),5000.0)</f>
        <v>5000</v>
      </c>
    </row>
    <row r="920">
      <c r="A920" s="2">
        <f>IFERROR(__xludf.DUMMYFUNCTION("""COMPUTED_VALUE"""),42269.64583333333)</f>
        <v>42269.64583</v>
      </c>
      <c r="B920" s="1">
        <f>IFERROR(__xludf.DUMMYFUNCTION("""COMPUTED_VALUE"""),5360.0)</f>
        <v>5360</v>
      </c>
      <c r="C920" s="1">
        <f>IFERROR(__xludf.DUMMYFUNCTION("""COMPUTED_VALUE"""),5400.0)</f>
        <v>5400</v>
      </c>
      <c r="D920" s="1">
        <f>IFERROR(__xludf.DUMMYFUNCTION("""COMPUTED_VALUE"""),5300.0)</f>
        <v>5300</v>
      </c>
      <c r="E920" s="1">
        <f>IFERROR(__xludf.DUMMYFUNCTION("""COMPUTED_VALUE"""),5360.0)</f>
        <v>5360</v>
      </c>
      <c r="F920" s="1">
        <f>IFERROR(__xludf.DUMMYFUNCTION("""COMPUTED_VALUE"""),9769.0)</f>
        <v>9769</v>
      </c>
    </row>
    <row r="921">
      <c r="A921" s="2">
        <f>IFERROR(__xludf.DUMMYFUNCTION("""COMPUTED_VALUE"""),42270.64583333333)</f>
        <v>42270.64583</v>
      </c>
      <c r="B921" s="1">
        <f>IFERROR(__xludf.DUMMYFUNCTION("""COMPUTED_VALUE"""),5360.0)</f>
        <v>5360</v>
      </c>
      <c r="C921" s="1">
        <f>IFERROR(__xludf.DUMMYFUNCTION("""COMPUTED_VALUE"""),5360.0)</f>
        <v>5360</v>
      </c>
      <c r="D921" s="1">
        <f>IFERROR(__xludf.DUMMYFUNCTION("""COMPUTED_VALUE"""),5290.0)</f>
        <v>5290</v>
      </c>
      <c r="E921" s="1">
        <f>IFERROR(__xludf.DUMMYFUNCTION("""COMPUTED_VALUE"""),5330.0)</f>
        <v>5330</v>
      </c>
      <c r="F921" s="1">
        <f>IFERROR(__xludf.DUMMYFUNCTION("""COMPUTED_VALUE"""),4568.0)</f>
        <v>4568</v>
      </c>
    </row>
    <row r="922">
      <c r="A922" s="2">
        <f>IFERROR(__xludf.DUMMYFUNCTION("""COMPUTED_VALUE"""),42271.64583333333)</f>
        <v>42271.64583</v>
      </c>
      <c r="B922" s="1">
        <f>IFERROR(__xludf.DUMMYFUNCTION("""COMPUTED_VALUE"""),5360.0)</f>
        <v>5360</v>
      </c>
      <c r="C922" s="1">
        <f>IFERROR(__xludf.DUMMYFUNCTION("""COMPUTED_VALUE"""),5370.0)</f>
        <v>5370</v>
      </c>
      <c r="D922" s="1">
        <f>IFERROR(__xludf.DUMMYFUNCTION("""COMPUTED_VALUE"""),5310.0)</f>
        <v>5310</v>
      </c>
      <c r="E922" s="1">
        <f>IFERROR(__xludf.DUMMYFUNCTION("""COMPUTED_VALUE"""),5350.0)</f>
        <v>5350</v>
      </c>
      <c r="F922" s="1">
        <f>IFERROR(__xludf.DUMMYFUNCTION("""COMPUTED_VALUE"""),10671.0)</f>
        <v>10671</v>
      </c>
    </row>
    <row r="923">
      <c r="A923" s="2">
        <f>IFERROR(__xludf.DUMMYFUNCTION("""COMPUTED_VALUE"""),42272.64583333333)</f>
        <v>42272.64583</v>
      </c>
      <c r="B923" s="1">
        <f>IFERROR(__xludf.DUMMYFUNCTION("""COMPUTED_VALUE"""),5360.0)</f>
        <v>5360</v>
      </c>
      <c r="C923" s="1">
        <f>IFERROR(__xludf.DUMMYFUNCTION("""COMPUTED_VALUE"""),5380.0)</f>
        <v>5380</v>
      </c>
      <c r="D923" s="1">
        <f>IFERROR(__xludf.DUMMYFUNCTION("""COMPUTED_VALUE"""),5290.0)</f>
        <v>5290</v>
      </c>
      <c r="E923" s="1">
        <f>IFERROR(__xludf.DUMMYFUNCTION("""COMPUTED_VALUE"""),5340.0)</f>
        <v>5340</v>
      </c>
      <c r="F923" s="1">
        <f>IFERROR(__xludf.DUMMYFUNCTION("""COMPUTED_VALUE"""),2543.0)</f>
        <v>2543</v>
      </c>
    </row>
    <row r="924">
      <c r="A924" s="2">
        <f>IFERROR(__xludf.DUMMYFUNCTION("""COMPUTED_VALUE"""),42277.64583333333)</f>
        <v>42277.64583</v>
      </c>
      <c r="B924" s="1">
        <f>IFERROR(__xludf.DUMMYFUNCTION("""COMPUTED_VALUE"""),5320.0)</f>
        <v>5320</v>
      </c>
      <c r="C924" s="1">
        <f>IFERROR(__xludf.DUMMYFUNCTION("""COMPUTED_VALUE"""),5340.0)</f>
        <v>5340</v>
      </c>
      <c r="D924" s="1">
        <f>IFERROR(__xludf.DUMMYFUNCTION("""COMPUTED_VALUE"""),5270.0)</f>
        <v>5270</v>
      </c>
      <c r="E924" s="1">
        <f>IFERROR(__xludf.DUMMYFUNCTION("""COMPUTED_VALUE"""),5320.0)</f>
        <v>5320</v>
      </c>
      <c r="F924" s="1">
        <f>IFERROR(__xludf.DUMMYFUNCTION("""COMPUTED_VALUE"""),12436.0)</f>
        <v>12436</v>
      </c>
    </row>
    <row r="925">
      <c r="A925" s="2">
        <f>IFERROR(__xludf.DUMMYFUNCTION("""COMPUTED_VALUE"""),42278.64583333333)</f>
        <v>42278.64583</v>
      </c>
      <c r="B925" s="1">
        <f>IFERROR(__xludf.DUMMYFUNCTION("""COMPUTED_VALUE"""),5410.0)</f>
        <v>5410</v>
      </c>
      <c r="C925" s="1">
        <f>IFERROR(__xludf.DUMMYFUNCTION("""COMPUTED_VALUE"""),5410.0)</f>
        <v>5410</v>
      </c>
      <c r="D925" s="1">
        <f>IFERROR(__xludf.DUMMYFUNCTION("""COMPUTED_VALUE"""),5320.0)</f>
        <v>5320</v>
      </c>
      <c r="E925" s="1">
        <f>IFERROR(__xludf.DUMMYFUNCTION("""COMPUTED_VALUE"""),5380.0)</f>
        <v>5380</v>
      </c>
      <c r="F925" s="1">
        <f>IFERROR(__xludf.DUMMYFUNCTION("""COMPUTED_VALUE"""),7285.0)</f>
        <v>7285</v>
      </c>
    </row>
    <row r="926">
      <c r="A926" s="2">
        <f>IFERROR(__xludf.DUMMYFUNCTION("""COMPUTED_VALUE"""),42279.64583333333)</f>
        <v>42279.64583</v>
      </c>
      <c r="B926" s="1">
        <f>IFERROR(__xludf.DUMMYFUNCTION("""COMPUTED_VALUE"""),5410.0)</f>
        <v>5410</v>
      </c>
      <c r="C926" s="1">
        <f>IFERROR(__xludf.DUMMYFUNCTION("""COMPUTED_VALUE"""),5410.0)</f>
        <v>5410</v>
      </c>
      <c r="D926" s="1">
        <f>IFERROR(__xludf.DUMMYFUNCTION("""COMPUTED_VALUE"""),5350.0)</f>
        <v>5350</v>
      </c>
      <c r="E926" s="1">
        <f>IFERROR(__xludf.DUMMYFUNCTION("""COMPUTED_VALUE"""),5400.0)</f>
        <v>5400</v>
      </c>
      <c r="F926" s="1">
        <f>IFERROR(__xludf.DUMMYFUNCTION("""COMPUTED_VALUE"""),4918.0)</f>
        <v>4918</v>
      </c>
    </row>
    <row r="927">
      <c r="A927" s="2">
        <f>IFERROR(__xludf.DUMMYFUNCTION("""COMPUTED_VALUE"""),42282.64583333333)</f>
        <v>42282.64583</v>
      </c>
      <c r="B927" s="1">
        <f>IFERROR(__xludf.DUMMYFUNCTION("""COMPUTED_VALUE"""),5430.0)</f>
        <v>5430</v>
      </c>
      <c r="C927" s="1">
        <f>IFERROR(__xludf.DUMMYFUNCTION("""COMPUTED_VALUE"""),5430.0)</f>
        <v>5430</v>
      </c>
      <c r="D927" s="1">
        <f>IFERROR(__xludf.DUMMYFUNCTION("""COMPUTED_VALUE"""),5350.0)</f>
        <v>5350</v>
      </c>
      <c r="E927" s="1">
        <f>IFERROR(__xludf.DUMMYFUNCTION("""COMPUTED_VALUE"""),5400.0)</f>
        <v>5400</v>
      </c>
      <c r="F927" s="1">
        <f>IFERROR(__xludf.DUMMYFUNCTION("""COMPUTED_VALUE"""),4712.0)</f>
        <v>4712</v>
      </c>
    </row>
    <row r="928">
      <c r="A928" s="2">
        <f>IFERROR(__xludf.DUMMYFUNCTION("""COMPUTED_VALUE"""),42283.64583333333)</f>
        <v>42283.64583</v>
      </c>
      <c r="B928" s="1">
        <f>IFERROR(__xludf.DUMMYFUNCTION("""COMPUTED_VALUE"""),5380.0)</f>
        <v>5380</v>
      </c>
      <c r="C928" s="1">
        <f>IFERROR(__xludf.DUMMYFUNCTION("""COMPUTED_VALUE"""),5420.0)</f>
        <v>5420</v>
      </c>
      <c r="D928" s="1">
        <f>IFERROR(__xludf.DUMMYFUNCTION("""COMPUTED_VALUE"""),5270.0)</f>
        <v>5270</v>
      </c>
      <c r="E928" s="1">
        <f>IFERROR(__xludf.DUMMYFUNCTION("""COMPUTED_VALUE"""),5290.0)</f>
        <v>5290</v>
      </c>
      <c r="F928" s="1">
        <f>IFERROR(__xludf.DUMMYFUNCTION("""COMPUTED_VALUE"""),15139.0)</f>
        <v>15139</v>
      </c>
    </row>
    <row r="929">
      <c r="A929" s="2">
        <f>IFERROR(__xludf.DUMMYFUNCTION("""COMPUTED_VALUE"""),42284.64583333333)</f>
        <v>42284.64583</v>
      </c>
      <c r="B929" s="1">
        <f>IFERROR(__xludf.DUMMYFUNCTION("""COMPUTED_VALUE"""),5310.0)</f>
        <v>5310</v>
      </c>
      <c r="C929" s="1">
        <f>IFERROR(__xludf.DUMMYFUNCTION("""COMPUTED_VALUE"""),5380.0)</f>
        <v>5380</v>
      </c>
      <c r="D929" s="1">
        <f>IFERROR(__xludf.DUMMYFUNCTION("""COMPUTED_VALUE"""),5310.0)</f>
        <v>5310</v>
      </c>
      <c r="E929" s="1">
        <f>IFERROR(__xludf.DUMMYFUNCTION("""COMPUTED_VALUE"""),5360.0)</f>
        <v>5360</v>
      </c>
      <c r="F929" s="1">
        <f>IFERROR(__xludf.DUMMYFUNCTION("""COMPUTED_VALUE"""),13351.0)</f>
        <v>13351</v>
      </c>
    </row>
    <row r="930">
      <c r="A930" s="2">
        <f>IFERROR(__xludf.DUMMYFUNCTION("""COMPUTED_VALUE"""),42285.64583333333)</f>
        <v>42285.64583</v>
      </c>
      <c r="B930" s="1">
        <f>IFERROR(__xludf.DUMMYFUNCTION("""COMPUTED_VALUE"""),5400.0)</f>
        <v>5400</v>
      </c>
      <c r="C930" s="1">
        <f>IFERROR(__xludf.DUMMYFUNCTION("""COMPUTED_VALUE"""),5430.0)</f>
        <v>5430</v>
      </c>
      <c r="D930" s="1">
        <f>IFERROR(__xludf.DUMMYFUNCTION("""COMPUTED_VALUE"""),5330.0)</f>
        <v>5330</v>
      </c>
      <c r="E930" s="1">
        <f>IFERROR(__xludf.DUMMYFUNCTION("""COMPUTED_VALUE"""),5400.0)</f>
        <v>5400</v>
      </c>
      <c r="F930" s="1">
        <f>IFERROR(__xludf.DUMMYFUNCTION("""COMPUTED_VALUE"""),9049.0)</f>
        <v>9049</v>
      </c>
    </row>
    <row r="931">
      <c r="A931" s="2">
        <f>IFERROR(__xludf.DUMMYFUNCTION("""COMPUTED_VALUE"""),42289.64583333333)</f>
        <v>42289.64583</v>
      </c>
      <c r="B931" s="1">
        <f>IFERROR(__xludf.DUMMYFUNCTION("""COMPUTED_VALUE"""),5440.0)</f>
        <v>5440</v>
      </c>
      <c r="C931" s="1">
        <f>IFERROR(__xludf.DUMMYFUNCTION("""COMPUTED_VALUE"""),5450.0)</f>
        <v>5450</v>
      </c>
      <c r="D931" s="1">
        <f>IFERROR(__xludf.DUMMYFUNCTION("""COMPUTED_VALUE"""),5380.0)</f>
        <v>5380</v>
      </c>
      <c r="E931" s="1">
        <f>IFERROR(__xludf.DUMMYFUNCTION("""COMPUTED_VALUE"""),5410.0)</f>
        <v>5410</v>
      </c>
      <c r="F931" s="1">
        <f>IFERROR(__xludf.DUMMYFUNCTION("""COMPUTED_VALUE"""),9427.0)</f>
        <v>9427</v>
      </c>
    </row>
    <row r="932">
      <c r="A932" s="2">
        <f>IFERROR(__xludf.DUMMYFUNCTION("""COMPUTED_VALUE"""),42290.64583333333)</f>
        <v>42290.64583</v>
      </c>
      <c r="B932" s="1">
        <f>IFERROR(__xludf.DUMMYFUNCTION("""COMPUTED_VALUE"""),5430.0)</f>
        <v>5430</v>
      </c>
      <c r="C932" s="1">
        <f>IFERROR(__xludf.DUMMYFUNCTION("""COMPUTED_VALUE"""),5430.0)</f>
        <v>5430</v>
      </c>
      <c r="D932" s="1">
        <f>IFERROR(__xludf.DUMMYFUNCTION("""COMPUTED_VALUE"""),5340.0)</f>
        <v>5340</v>
      </c>
      <c r="E932" s="1">
        <f>IFERROR(__xludf.DUMMYFUNCTION("""COMPUTED_VALUE"""),5400.0)</f>
        <v>5400</v>
      </c>
      <c r="F932" s="1">
        <f>IFERROR(__xludf.DUMMYFUNCTION("""COMPUTED_VALUE"""),5691.0)</f>
        <v>5691</v>
      </c>
    </row>
    <row r="933">
      <c r="A933" s="2">
        <f>IFERROR(__xludf.DUMMYFUNCTION("""COMPUTED_VALUE"""),42291.64583333333)</f>
        <v>42291.64583</v>
      </c>
      <c r="B933" s="1">
        <f>IFERROR(__xludf.DUMMYFUNCTION("""COMPUTED_VALUE"""),5410.0)</f>
        <v>5410</v>
      </c>
      <c r="C933" s="1">
        <f>IFERROR(__xludf.DUMMYFUNCTION("""COMPUTED_VALUE"""),5480.0)</f>
        <v>5480</v>
      </c>
      <c r="D933" s="1">
        <f>IFERROR(__xludf.DUMMYFUNCTION("""COMPUTED_VALUE"""),5390.0)</f>
        <v>5390</v>
      </c>
      <c r="E933" s="1">
        <f>IFERROR(__xludf.DUMMYFUNCTION("""COMPUTED_VALUE"""),5450.0)</f>
        <v>5450</v>
      </c>
      <c r="F933" s="1">
        <f>IFERROR(__xludf.DUMMYFUNCTION("""COMPUTED_VALUE"""),23468.0)</f>
        <v>23468</v>
      </c>
    </row>
    <row r="934">
      <c r="A934" s="2">
        <f>IFERROR(__xludf.DUMMYFUNCTION("""COMPUTED_VALUE"""),42292.64583333333)</f>
        <v>42292.64583</v>
      </c>
      <c r="B934" s="1">
        <f>IFERROR(__xludf.DUMMYFUNCTION("""COMPUTED_VALUE"""),5460.0)</f>
        <v>5460</v>
      </c>
      <c r="C934" s="1">
        <f>IFERROR(__xludf.DUMMYFUNCTION("""COMPUTED_VALUE"""),5460.0)</f>
        <v>5460</v>
      </c>
      <c r="D934" s="1">
        <f>IFERROR(__xludf.DUMMYFUNCTION("""COMPUTED_VALUE"""),5410.0)</f>
        <v>5410</v>
      </c>
      <c r="E934" s="1">
        <f>IFERROR(__xludf.DUMMYFUNCTION("""COMPUTED_VALUE"""),5440.0)</f>
        <v>5440</v>
      </c>
      <c r="F934" s="1">
        <f>IFERROR(__xludf.DUMMYFUNCTION("""COMPUTED_VALUE"""),17470.0)</f>
        <v>17470</v>
      </c>
    </row>
    <row r="935">
      <c r="A935" s="2">
        <f>IFERROR(__xludf.DUMMYFUNCTION("""COMPUTED_VALUE"""),42293.64583333333)</f>
        <v>42293.64583</v>
      </c>
      <c r="B935" s="1">
        <f>IFERROR(__xludf.DUMMYFUNCTION("""COMPUTED_VALUE"""),5480.0)</f>
        <v>5480</v>
      </c>
      <c r="C935" s="1">
        <f>IFERROR(__xludf.DUMMYFUNCTION("""COMPUTED_VALUE"""),5490.0)</f>
        <v>5490</v>
      </c>
      <c r="D935" s="1">
        <f>IFERROR(__xludf.DUMMYFUNCTION("""COMPUTED_VALUE"""),5400.0)</f>
        <v>5400</v>
      </c>
      <c r="E935" s="1">
        <f>IFERROR(__xludf.DUMMYFUNCTION("""COMPUTED_VALUE"""),5460.0)</f>
        <v>5460</v>
      </c>
      <c r="F935" s="1">
        <f>IFERROR(__xludf.DUMMYFUNCTION("""COMPUTED_VALUE"""),13529.0)</f>
        <v>13529</v>
      </c>
    </row>
    <row r="936">
      <c r="A936" s="2">
        <f>IFERROR(__xludf.DUMMYFUNCTION("""COMPUTED_VALUE"""),42296.64583333333)</f>
        <v>42296.64583</v>
      </c>
      <c r="B936" s="1">
        <f>IFERROR(__xludf.DUMMYFUNCTION("""COMPUTED_VALUE"""),5460.0)</f>
        <v>5460</v>
      </c>
      <c r="C936" s="1">
        <f>IFERROR(__xludf.DUMMYFUNCTION("""COMPUTED_VALUE"""),5460.0)</f>
        <v>5460</v>
      </c>
      <c r="D936" s="1">
        <f>IFERROR(__xludf.DUMMYFUNCTION("""COMPUTED_VALUE"""),5390.0)</f>
        <v>5390</v>
      </c>
      <c r="E936" s="1">
        <f>IFERROR(__xludf.DUMMYFUNCTION("""COMPUTED_VALUE"""),5390.0)</f>
        <v>5390</v>
      </c>
      <c r="F936" s="1">
        <f>IFERROR(__xludf.DUMMYFUNCTION("""COMPUTED_VALUE"""),7566.0)</f>
        <v>7566</v>
      </c>
    </row>
    <row r="937">
      <c r="A937" s="2">
        <f>IFERROR(__xludf.DUMMYFUNCTION("""COMPUTED_VALUE"""),42297.64583333333)</f>
        <v>42297.64583</v>
      </c>
      <c r="B937" s="1">
        <f>IFERROR(__xludf.DUMMYFUNCTION("""COMPUTED_VALUE"""),5390.0)</f>
        <v>5390</v>
      </c>
      <c r="C937" s="1">
        <f>IFERROR(__xludf.DUMMYFUNCTION("""COMPUTED_VALUE"""),5450.0)</f>
        <v>5450</v>
      </c>
      <c r="D937" s="1">
        <f>IFERROR(__xludf.DUMMYFUNCTION("""COMPUTED_VALUE"""),5390.0)</f>
        <v>5390</v>
      </c>
      <c r="E937" s="1">
        <f>IFERROR(__xludf.DUMMYFUNCTION("""COMPUTED_VALUE"""),5450.0)</f>
        <v>5450</v>
      </c>
      <c r="F937" s="1">
        <f>IFERROR(__xludf.DUMMYFUNCTION("""COMPUTED_VALUE"""),7537.0)</f>
        <v>7537</v>
      </c>
    </row>
    <row r="938">
      <c r="A938" s="2">
        <f>IFERROR(__xludf.DUMMYFUNCTION("""COMPUTED_VALUE"""),42298.64583333333)</f>
        <v>42298.64583</v>
      </c>
      <c r="B938" s="1">
        <f>IFERROR(__xludf.DUMMYFUNCTION("""COMPUTED_VALUE"""),5430.0)</f>
        <v>5430</v>
      </c>
      <c r="C938" s="1">
        <f>IFERROR(__xludf.DUMMYFUNCTION("""COMPUTED_VALUE"""),5440.0)</f>
        <v>5440</v>
      </c>
      <c r="D938" s="1">
        <f>IFERROR(__xludf.DUMMYFUNCTION("""COMPUTED_VALUE"""),5390.0)</f>
        <v>5390</v>
      </c>
      <c r="E938" s="1">
        <f>IFERROR(__xludf.DUMMYFUNCTION("""COMPUTED_VALUE"""),5390.0)</f>
        <v>5390</v>
      </c>
      <c r="F938" s="1">
        <f>IFERROR(__xludf.DUMMYFUNCTION("""COMPUTED_VALUE"""),7766.0)</f>
        <v>7766</v>
      </c>
    </row>
    <row r="939">
      <c r="A939" s="2">
        <f>IFERROR(__xludf.DUMMYFUNCTION("""COMPUTED_VALUE"""),42299.64583333333)</f>
        <v>42299.64583</v>
      </c>
      <c r="B939" s="1">
        <f>IFERROR(__xludf.DUMMYFUNCTION("""COMPUTED_VALUE"""),5390.0)</f>
        <v>5390</v>
      </c>
      <c r="C939" s="1">
        <f>IFERROR(__xludf.DUMMYFUNCTION("""COMPUTED_VALUE"""),5420.0)</f>
        <v>5420</v>
      </c>
      <c r="D939" s="1">
        <f>IFERROR(__xludf.DUMMYFUNCTION("""COMPUTED_VALUE"""),5220.0)</f>
        <v>5220</v>
      </c>
      <c r="E939" s="1">
        <f>IFERROR(__xludf.DUMMYFUNCTION("""COMPUTED_VALUE"""),5340.0)</f>
        <v>5340</v>
      </c>
      <c r="F939" s="1">
        <f>IFERROR(__xludf.DUMMYFUNCTION("""COMPUTED_VALUE"""),18340.0)</f>
        <v>18340</v>
      </c>
    </row>
    <row r="940">
      <c r="A940" s="2">
        <f>IFERROR(__xludf.DUMMYFUNCTION("""COMPUTED_VALUE"""),42300.64583333333)</f>
        <v>42300.64583</v>
      </c>
      <c r="B940" s="1">
        <f>IFERROR(__xludf.DUMMYFUNCTION("""COMPUTED_VALUE"""),5330.0)</f>
        <v>5330</v>
      </c>
      <c r="C940" s="1">
        <f>IFERROR(__xludf.DUMMYFUNCTION("""COMPUTED_VALUE"""),5370.0)</f>
        <v>5370</v>
      </c>
      <c r="D940" s="1">
        <f>IFERROR(__xludf.DUMMYFUNCTION("""COMPUTED_VALUE"""),5240.0)</f>
        <v>5240</v>
      </c>
      <c r="E940" s="1">
        <f>IFERROR(__xludf.DUMMYFUNCTION("""COMPUTED_VALUE"""),5280.0)</f>
        <v>5280</v>
      </c>
      <c r="F940" s="1">
        <f>IFERROR(__xludf.DUMMYFUNCTION("""COMPUTED_VALUE"""),18371.0)</f>
        <v>18371</v>
      </c>
    </row>
    <row r="941">
      <c r="A941" s="2">
        <f>IFERROR(__xludf.DUMMYFUNCTION("""COMPUTED_VALUE"""),42303.64583333333)</f>
        <v>42303.64583</v>
      </c>
      <c r="B941" s="1">
        <f>IFERROR(__xludf.DUMMYFUNCTION("""COMPUTED_VALUE"""),5280.0)</f>
        <v>5280</v>
      </c>
      <c r="C941" s="1">
        <f>IFERROR(__xludf.DUMMYFUNCTION("""COMPUTED_VALUE"""),5380.0)</f>
        <v>5380</v>
      </c>
      <c r="D941" s="1">
        <f>IFERROR(__xludf.DUMMYFUNCTION("""COMPUTED_VALUE"""),5230.0)</f>
        <v>5230</v>
      </c>
      <c r="E941" s="1">
        <f>IFERROR(__xludf.DUMMYFUNCTION("""COMPUTED_VALUE"""),5310.0)</f>
        <v>5310</v>
      </c>
      <c r="F941" s="1">
        <f>IFERROR(__xludf.DUMMYFUNCTION("""COMPUTED_VALUE"""),7976.0)</f>
        <v>7976</v>
      </c>
    </row>
    <row r="942">
      <c r="A942" s="2">
        <f>IFERROR(__xludf.DUMMYFUNCTION("""COMPUTED_VALUE"""),42304.64583333333)</f>
        <v>42304.64583</v>
      </c>
      <c r="B942" s="1">
        <f>IFERROR(__xludf.DUMMYFUNCTION("""COMPUTED_VALUE"""),5380.0)</f>
        <v>5380</v>
      </c>
      <c r="C942" s="1">
        <f>IFERROR(__xludf.DUMMYFUNCTION("""COMPUTED_VALUE"""),5380.0)</f>
        <v>5380</v>
      </c>
      <c r="D942" s="1">
        <f>IFERROR(__xludf.DUMMYFUNCTION("""COMPUTED_VALUE"""),5220.0)</f>
        <v>5220</v>
      </c>
      <c r="E942" s="1">
        <f>IFERROR(__xludf.DUMMYFUNCTION("""COMPUTED_VALUE"""),5230.0)</f>
        <v>5230</v>
      </c>
      <c r="F942" s="1">
        <f>IFERROR(__xludf.DUMMYFUNCTION("""COMPUTED_VALUE"""),13445.0)</f>
        <v>13445</v>
      </c>
    </row>
    <row r="943">
      <c r="A943" s="2">
        <f>IFERROR(__xludf.DUMMYFUNCTION("""COMPUTED_VALUE"""),42305.64583333333)</f>
        <v>42305.64583</v>
      </c>
      <c r="B943" s="1">
        <f>IFERROR(__xludf.DUMMYFUNCTION("""COMPUTED_VALUE"""),5260.0)</f>
        <v>5260</v>
      </c>
      <c r="C943" s="1">
        <f>IFERROR(__xludf.DUMMYFUNCTION("""COMPUTED_VALUE"""),5260.0)</f>
        <v>5260</v>
      </c>
      <c r="D943" s="1">
        <f>IFERROR(__xludf.DUMMYFUNCTION("""COMPUTED_VALUE"""),5060.0)</f>
        <v>5060</v>
      </c>
      <c r="E943" s="1">
        <f>IFERROR(__xludf.DUMMYFUNCTION("""COMPUTED_VALUE"""),5150.0)</f>
        <v>5150</v>
      </c>
      <c r="F943" s="1">
        <f>IFERROR(__xludf.DUMMYFUNCTION("""COMPUTED_VALUE"""),24224.0)</f>
        <v>24224</v>
      </c>
    </row>
    <row r="944">
      <c r="A944" s="2">
        <f>IFERROR(__xludf.DUMMYFUNCTION("""COMPUTED_VALUE"""),42306.64583333333)</f>
        <v>42306.64583</v>
      </c>
      <c r="B944" s="1">
        <f>IFERROR(__xludf.DUMMYFUNCTION("""COMPUTED_VALUE"""),5200.0)</f>
        <v>5200</v>
      </c>
      <c r="C944" s="1">
        <f>IFERROR(__xludf.DUMMYFUNCTION("""COMPUTED_VALUE"""),5200.0)</f>
        <v>5200</v>
      </c>
      <c r="D944" s="1">
        <f>IFERROR(__xludf.DUMMYFUNCTION("""COMPUTED_VALUE"""),5090.0)</f>
        <v>5090</v>
      </c>
      <c r="E944" s="1">
        <f>IFERROR(__xludf.DUMMYFUNCTION("""COMPUTED_VALUE"""),5170.0)</f>
        <v>5170</v>
      </c>
      <c r="F944" s="1">
        <f>IFERROR(__xludf.DUMMYFUNCTION("""COMPUTED_VALUE"""),13464.0)</f>
        <v>13464</v>
      </c>
    </row>
    <row r="945">
      <c r="A945" s="2">
        <f>IFERROR(__xludf.DUMMYFUNCTION("""COMPUTED_VALUE"""),42307.64583333333)</f>
        <v>42307.64583</v>
      </c>
      <c r="B945" s="1">
        <f>IFERROR(__xludf.DUMMYFUNCTION("""COMPUTED_VALUE"""),5170.0)</f>
        <v>5170</v>
      </c>
      <c r="C945" s="1">
        <f>IFERROR(__xludf.DUMMYFUNCTION("""COMPUTED_VALUE"""),5190.0)</f>
        <v>5190</v>
      </c>
      <c r="D945" s="1">
        <f>IFERROR(__xludf.DUMMYFUNCTION("""COMPUTED_VALUE"""),5120.0)</f>
        <v>5120</v>
      </c>
      <c r="E945" s="1">
        <f>IFERROR(__xludf.DUMMYFUNCTION("""COMPUTED_VALUE"""),5170.0)</f>
        <v>5170</v>
      </c>
      <c r="F945" s="1">
        <f>IFERROR(__xludf.DUMMYFUNCTION("""COMPUTED_VALUE"""),9077.0)</f>
        <v>9077</v>
      </c>
    </row>
    <row r="946">
      <c r="A946" s="2">
        <f>IFERROR(__xludf.DUMMYFUNCTION("""COMPUTED_VALUE"""),42310.64583333333)</f>
        <v>42310.64583</v>
      </c>
      <c r="B946" s="1">
        <f>IFERROR(__xludf.DUMMYFUNCTION("""COMPUTED_VALUE"""),5100.0)</f>
        <v>5100</v>
      </c>
      <c r="C946" s="1">
        <f>IFERROR(__xludf.DUMMYFUNCTION("""COMPUTED_VALUE"""),5240.0)</f>
        <v>5240</v>
      </c>
      <c r="D946" s="1">
        <f>IFERROR(__xludf.DUMMYFUNCTION("""COMPUTED_VALUE"""),5100.0)</f>
        <v>5100</v>
      </c>
      <c r="E946" s="1">
        <f>IFERROR(__xludf.DUMMYFUNCTION("""COMPUTED_VALUE"""),5230.0)</f>
        <v>5230</v>
      </c>
      <c r="F946" s="1">
        <f>IFERROR(__xludf.DUMMYFUNCTION("""COMPUTED_VALUE"""),10381.0)</f>
        <v>10381</v>
      </c>
    </row>
    <row r="947">
      <c r="A947" s="2">
        <f>IFERROR(__xludf.DUMMYFUNCTION("""COMPUTED_VALUE"""),42311.64583333333)</f>
        <v>42311.64583</v>
      </c>
      <c r="B947" s="1">
        <f>IFERROR(__xludf.DUMMYFUNCTION("""COMPUTED_VALUE"""),5250.0)</f>
        <v>5250</v>
      </c>
      <c r="C947" s="1">
        <f>IFERROR(__xludf.DUMMYFUNCTION("""COMPUTED_VALUE"""),5380.0)</f>
        <v>5380</v>
      </c>
      <c r="D947" s="1">
        <f>IFERROR(__xludf.DUMMYFUNCTION("""COMPUTED_VALUE"""),5210.0)</f>
        <v>5210</v>
      </c>
      <c r="E947" s="1">
        <f>IFERROR(__xludf.DUMMYFUNCTION("""COMPUTED_VALUE"""),5210.0)</f>
        <v>5210</v>
      </c>
      <c r="F947" s="1">
        <f>IFERROR(__xludf.DUMMYFUNCTION("""COMPUTED_VALUE"""),9135.0)</f>
        <v>9135</v>
      </c>
    </row>
    <row r="948">
      <c r="A948" s="2">
        <f>IFERROR(__xludf.DUMMYFUNCTION("""COMPUTED_VALUE"""),42312.64583333333)</f>
        <v>42312.64583</v>
      </c>
      <c r="B948" s="1">
        <f>IFERROR(__xludf.DUMMYFUNCTION("""COMPUTED_VALUE"""),5230.0)</f>
        <v>5230</v>
      </c>
      <c r="C948" s="1">
        <f>IFERROR(__xludf.DUMMYFUNCTION("""COMPUTED_VALUE"""),5280.0)</f>
        <v>5280</v>
      </c>
      <c r="D948" s="1">
        <f>IFERROR(__xludf.DUMMYFUNCTION("""COMPUTED_VALUE"""),5190.0)</f>
        <v>5190</v>
      </c>
      <c r="E948" s="1">
        <f>IFERROR(__xludf.DUMMYFUNCTION("""COMPUTED_VALUE"""),5260.0)</f>
        <v>5260</v>
      </c>
      <c r="F948" s="1">
        <f>IFERROR(__xludf.DUMMYFUNCTION("""COMPUTED_VALUE"""),3319.0)</f>
        <v>3319</v>
      </c>
    </row>
    <row r="949">
      <c r="A949" s="2">
        <f>IFERROR(__xludf.DUMMYFUNCTION("""COMPUTED_VALUE"""),42313.64583333333)</f>
        <v>42313.64583</v>
      </c>
      <c r="B949" s="1">
        <f>IFERROR(__xludf.DUMMYFUNCTION("""COMPUTED_VALUE"""),5220.0)</f>
        <v>5220</v>
      </c>
      <c r="C949" s="1">
        <f>IFERROR(__xludf.DUMMYFUNCTION("""COMPUTED_VALUE"""),5290.0)</f>
        <v>5290</v>
      </c>
      <c r="D949" s="1">
        <f>IFERROR(__xludf.DUMMYFUNCTION("""COMPUTED_VALUE"""),5180.0)</f>
        <v>5180</v>
      </c>
      <c r="E949" s="1">
        <f>IFERROR(__xludf.DUMMYFUNCTION("""COMPUTED_VALUE"""),5220.0)</f>
        <v>5220</v>
      </c>
      <c r="F949" s="1">
        <f>IFERROR(__xludf.DUMMYFUNCTION("""COMPUTED_VALUE"""),6932.0)</f>
        <v>6932</v>
      </c>
    </row>
    <row r="950">
      <c r="A950" s="2">
        <f>IFERROR(__xludf.DUMMYFUNCTION("""COMPUTED_VALUE"""),42314.64583333333)</f>
        <v>42314.64583</v>
      </c>
      <c r="B950" s="1">
        <f>IFERROR(__xludf.DUMMYFUNCTION("""COMPUTED_VALUE"""),5220.0)</f>
        <v>5220</v>
      </c>
      <c r="C950" s="1">
        <f>IFERROR(__xludf.DUMMYFUNCTION("""COMPUTED_VALUE"""),5220.0)</f>
        <v>5220</v>
      </c>
      <c r="D950" s="1">
        <f>IFERROR(__xludf.DUMMYFUNCTION("""COMPUTED_VALUE"""),5150.0)</f>
        <v>5150</v>
      </c>
      <c r="E950" s="1">
        <f>IFERROR(__xludf.DUMMYFUNCTION("""COMPUTED_VALUE"""),5190.0)</f>
        <v>5190</v>
      </c>
      <c r="F950" s="1">
        <f>IFERROR(__xludf.DUMMYFUNCTION("""COMPUTED_VALUE"""),9765.0)</f>
        <v>9765</v>
      </c>
    </row>
    <row r="951">
      <c r="A951" s="2">
        <f>IFERROR(__xludf.DUMMYFUNCTION("""COMPUTED_VALUE"""),42317.64583333333)</f>
        <v>42317.64583</v>
      </c>
      <c r="B951" s="1">
        <f>IFERROR(__xludf.DUMMYFUNCTION("""COMPUTED_VALUE"""),5230.0)</f>
        <v>5230</v>
      </c>
      <c r="C951" s="1">
        <f>IFERROR(__xludf.DUMMYFUNCTION("""COMPUTED_VALUE"""),5230.0)</f>
        <v>5230</v>
      </c>
      <c r="D951" s="1">
        <f>IFERROR(__xludf.DUMMYFUNCTION("""COMPUTED_VALUE"""),5060.0)</f>
        <v>5060</v>
      </c>
      <c r="E951" s="1">
        <f>IFERROR(__xludf.DUMMYFUNCTION("""COMPUTED_VALUE"""),5140.0)</f>
        <v>5140</v>
      </c>
      <c r="F951" s="1">
        <f>IFERROR(__xludf.DUMMYFUNCTION("""COMPUTED_VALUE"""),15469.0)</f>
        <v>15469</v>
      </c>
    </row>
    <row r="952">
      <c r="A952" s="2">
        <f>IFERROR(__xludf.DUMMYFUNCTION("""COMPUTED_VALUE"""),42318.64583333333)</f>
        <v>42318.64583</v>
      </c>
      <c r="B952" s="1">
        <f>IFERROR(__xludf.DUMMYFUNCTION("""COMPUTED_VALUE"""),5130.0)</f>
        <v>5130</v>
      </c>
      <c r="C952" s="1">
        <f>IFERROR(__xludf.DUMMYFUNCTION("""COMPUTED_VALUE"""),5180.0)</f>
        <v>5180</v>
      </c>
      <c r="D952" s="1">
        <f>IFERROR(__xludf.DUMMYFUNCTION("""COMPUTED_VALUE"""),5040.0)</f>
        <v>5040</v>
      </c>
      <c r="E952" s="1">
        <f>IFERROR(__xludf.DUMMYFUNCTION("""COMPUTED_VALUE"""),5060.0)</f>
        <v>5060</v>
      </c>
      <c r="F952" s="1">
        <f>IFERROR(__xludf.DUMMYFUNCTION("""COMPUTED_VALUE"""),16973.0)</f>
        <v>16973</v>
      </c>
    </row>
    <row r="953">
      <c r="A953" s="2">
        <f>IFERROR(__xludf.DUMMYFUNCTION("""COMPUTED_VALUE"""),42319.64583333333)</f>
        <v>42319.64583</v>
      </c>
      <c r="B953" s="1">
        <f>IFERROR(__xludf.DUMMYFUNCTION("""COMPUTED_VALUE"""),5160.0)</f>
        <v>5160</v>
      </c>
      <c r="C953" s="1">
        <f>IFERROR(__xludf.DUMMYFUNCTION("""COMPUTED_VALUE"""),5160.0)</f>
        <v>5160</v>
      </c>
      <c r="D953" s="1">
        <f>IFERROR(__xludf.DUMMYFUNCTION("""COMPUTED_VALUE"""),5090.0)</f>
        <v>5090</v>
      </c>
      <c r="E953" s="1">
        <f>IFERROR(__xludf.DUMMYFUNCTION("""COMPUTED_VALUE"""),5140.0)</f>
        <v>5140</v>
      </c>
      <c r="F953" s="1">
        <f>IFERROR(__xludf.DUMMYFUNCTION("""COMPUTED_VALUE"""),2199.0)</f>
        <v>2199</v>
      </c>
    </row>
    <row r="954">
      <c r="A954" s="2">
        <f>IFERROR(__xludf.DUMMYFUNCTION("""COMPUTED_VALUE"""),42320.64583333333)</f>
        <v>42320.64583</v>
      </c>
      <c r="B954" s="1">
        <f>IFERROR(__xludf.DUMMYFUNCTION("""COMPUTED_VALUE"""),5190.0)</f>
        <v>5190</v>
      </c>
      <c r="C954" s="1">
        <f>IFERROR(__xludf.DUMMYFUNCTION("""COMPUTED_VALUE"""),5190.0)</f>
        <v>5190</v>
      </c>
      <c r="D954" s="1">
        <f>IFERROR(__xludf.DUMMYFUNCTION("""COMPUTED_VALUE"""),5130.0)</f>
        <v>5130</v>
      </c>
      <c r="E954" s="1">
        <f>IFERROR(__xludf.DUMMYFUNCTION("""COMPUTED_VALUE"""),5170.0)</f>
        <v>5170</v>
      </c>
      <c r="F954" s="1">
        <f>IFERROR(__xludf.DUMMYFUNCTION("""COMPUTED_VALUE"""),4597.0)</f>
        <v>4597</v>
      </c>
    </row>
    <row r="955">
      <c r="A955" s="2">
        <f>IFERROR(__xludf.DUMMYFUNCTION("""COMPUTED_VALUE"""),42321.64583333333)</f>
        <v>42321.64583</v>
      </c>
      <c r="B955" s="1">
        <f>IFERROR(__xludf.DUMMYFUNCTION("""COMPUTED_VALUE"""),5190.0)</f>
        <v>5190</v>
      </c>
      <c r="C955" s="1">
        <f>IFERROR(__xludf.DUMMYFUNCTION("""COMPUTED_VALUE"""),5190.0)</f>
        <v>5190</v>
      </c>
      <c r="D955" s="1">
        <f>IFERROR(__xludf.DUMMYFUNCTION("""COMPUTED_VALUE"""),5130.0)</f>
        <v>5130</v>
      </c>
      <c r="E955" s="1">
        <f>IFERROR(__xludf.DUMMYFUNCTION("""COMPUTED_VALUE"""),5170.0)</f>
        <v>5170</v>
      </c>
      <c r="F955" s="1">
        <f>IFERROR(__xludf.DUMMYFUNCTION("""COMPUTED_VALUE"""),8371.0)</f>
        <v>8371</v>
      </c>
    </row>
    <row r="956">
      <c r="A956" s="2">
        <f>IFERROR(__xludf.DUMMYFUNCTION("""COMPUTED_VALUE"""),42324.64583333333)</f>
        <v>42324.64583</v>
      </c>
      <c r="B956" s="1">
        <f>IFERROR(__xludf.DUMMYFUNCTION("""COMPUTED_VALUE"""),5170.0)</f>
        <v>5170</v>
      </c>
      <c r="C956" s="1">
        <f>IFERROR(__xludf.DUMMYFUNCTION("""COMPUTED_VALUE"""),5170.0)</f>
        <v>5170</v>
      </c>
      <c r="D956" s="1">
        <f>IFERROR(__xludf.DUMMYFUNCTION("""COMPUTED_VALUE"""),5050.0)</f>
        <v>5050</v>
      </c>
      <c r="E956" s="1">
        <f>IFERROR(__xludf.DUMMYFUNCTION("""COMPUTED_VALUE"""),5140.0)</f>
        <v>5140</v>
      </c>
      <c r="F956" s="1">
        <f>IFERROR(__xludf.DUMMYFUNCTION("""COMPUTED_VALUE"""),11986.0)</f>
        <v>11986</v>
      </c>
    </row>
    <row r="957">
      <c r="A957" s="2">
        <f>IFERROR(__xludf.DUMMYFUNCTION("""COMPUTED_VALUE"""),42325.64583333333)</f>
        <v>42325.64583</v>
      </c>
      <c r="B957" s="1">
        <f>IFERROR(__xludf.DUMMYFUNCTION("""COMPUTED_VALUE"""),5070.0)</f>
        <v>5070</v>
      </c>
      <c r="C957" s="1">
        <f>IFERROR(__xludf.DUMMYFUNCTION("""COMPUTED_VALUE"""),5250.0)</f>
        <v>5250</v>
      </c>
      <c r="D957" s="1">
        <f>IFERROR(__xludf.DUMMYFUNCTION("""COMPUTED_VALUE"""),5030.0)</f>
        <v>5030</v>
      </c>
      <c r="E957" s="1">
        <f>IFERROR(__xludf.DUMMYFUNCTION("""COMPUTED_VALUE"""),5200.0)</f>
        <v>5200</v>
      </c>
      <c r="F957" s="1">
        <f>IFERROR(__xludf.DUMMYFUNCTION("""COMPUTED_VALUE"""),15905.0)</f>
        <v>15905</v>
      </c>
    </row>
    <row r="958">
      <c r="A958" s="2">
        <f>IFERROR(__xludf.DUMMYFUNCTION("""COMPUTED_VALUE"""),42326.64583333333)</f>
        <v>42326.64583</v>
      </c>
      <c r="B958" s="1">
        <f>IFERROR(__xludf.DUMMYFUNCTION("""COMPUTED_VALUE"""),5240.0)</f>
        <v>5240</v>
      </c>
      <c r="C958" s="1">
        <f>IFERROR(__xludf.DUMMYFUNCTION("""COMPUTED_VALUE"""),5240.0)</f>
        <v>5240</v>
      </c>
      <c r="D958" s="1">
        <f>IFERROR(__xludf.DUMMYFUNCTION("""COMPUTED_VALUE"""),5100.0)</f>
        <v>5100</v>
      </c>
      <c r="E958" s="1">
        <f>IFERROR(__xludf.DUMMYFUNCTION("""COMPUTED_VALUE"""),5190.0)</f>
        <v>5190</v>
      </c>
      <c r="F958" s="1">
        <f>IFERROR(__xludf.DUMMYFUNCTION("""COMPUTED_VALUE"""),8158.0)</f>
        <v>8158</v>
      </c>
    </row>
    <row r="959">
      <c r="A959" s="2">
        <f>IFERROR(__xludf.DUMMYFUNCTION("""COMPUTED_VALUE"""),42327.64583333333)</f>
        <v>42327.64583</v>
      </c>
      <c r="B959" s="1">
        <f>IFERROR(__xludf.DUMMYFUNCTION("""COMPUTED_VALUE"""),5190.0)</f>
        <v>5190</v>
      </c>
      <c r="C959" s="1">
        <f>IFERROR(__xludf.DUMMYFUNCTION("""COMPUTED_VALUE"""),5190.0)</f>
        <v>5190</v>
      </c>
      <c r="D959" s="1">
        <f>IFERROR(__xludf.DUMMYFUNCTION("""COMPUTED_VALUE"""),5070.0)</f>
        <v>5070</v>
      </c>
      <c r="E959" s="1">
        <f>IFERROR(__xludf.DUMMYFUNCTION("""COMPUTED_VALUE"""),5130.0)</f>
        <v>5130</v>
      </c>
      <c r="F959" s="1">
        <f>IFERROR(__xludf.DUMMYFUNCTION("""COMPUTED_VALUE"""),7059.0)</f>
        <v>7059</v>
      </c>
    </row>
    <row r="960">
      <c r="A960" s="2">
        <f>IFERROR(__xludf.DUMMYFUNCTION("""COMPUTED_VALUE"""),42328.64583333333)</f>
        <v>42328.64583</v>
      </c>
      <c r="B960" s="1">
        <f>IFERROR(__xludf.DUMMYFUNCTION("""COMPUTED_VALUE"""),5120.0)</f>
        <v>5120</v>
      </c>
      <c r="C960" s="1">
        <f>IFERROR(__xludf.DUMMYFUNCTION("""COMPUTED_VALUE"""),5250.0)</f>
        <v>5250</v>
      </c>
      <c r="D960" s="1">
        <f>IFERROR(__xludf.DUMMYFUNCTION("""COMPUTED_VALUE"""),5090.0)</f>
        <v>5090</v>
      </c>
      <c r="E960" s="1">
        <f>IFERROR(__xludf.DUMMYFUNCTION("""COMPUTED_VALUE"""),5140.0)</f>
        <v>5140</v>
      </c>
      <c r="F960" s="1">
        <f>IFERROR(__xludf.DUMMYFUNCTION("""COMPUTED_VALUE"""),7377.0)</f>
        <v>7377</v>
      </c>
    </row>
    <row r="961">
      <c r="A961" s="2">
        <f>IFERROR(__xludf.DUMMYFUNCTION("""COMPUTED_VALUE"""),42331.64583333333)</f>
        <v>42331.64583</v>
      </c>
      <c r="B961" s="1">
        <f>IFERROR(__xludf.DUMMYFUNCTION("""COMPUTED_VALUE"""),5240.0)</f>
        <v>5240</v>
      </c>
      <c r="C961" s="1">
        <f>IFERROR(__xludf.DUMMYFUNCTION("""COMPUTED_VALUE"""),5240.0)</f>
        <v>5240</v>
      </c>
      <c r="D961" s="1">
        <f>IFERROR(__xludf.DUMMYFUNCTION("""COMPUTED_VALUE"""),5150.0)</f>
        <v>5150</v>
      </c>
      <c r="E961" s="1">
        <f>IFERROR(__xludf.DUMMYFUNCTION("""COMPUTED_VALUE"""),5220.0)</f>
        <v>5220</v>
      </c>
      <c r="F961" s="1">
        <f>IFERROR(__xludf.DUMMYFUNCTION("""COMPUTED_VALUE"""),8161.0)</f>
        <v>8161</v>
      </c>
    </row>
    <row r="962">
      <c r="A962" s="2">
        <f>IFERROR(__xludf.DUMMYFUNCTION("""COMPUTED_VALUE"""),42332.64583333333)</f>
        <v>42332.64583</v>
      </c>
      <c r="B962" s="1">
        <f>IFERROR(__xludf.DUMMYFUNCTION("""COMPUTED_VALUE"""),5220.0)</f>
        <v>5220</v>
      </c>
      <c r="C962" s="1">
        <f>IFERROR(__xludf.DUMMYFUNCTION("""COMPUTED_VALUE"""),5230.0)</f>
        <v>5230</v>
      </c>
      <c r="D962" s="1">
        <f>IFERROR(__xludf.DUMMYFUNCTION("""COMPUTED_VALUE"""),5150.0)</f>
        <v>5150</v>
      </c>
      <c r="E962" s="1">
        <f>IFERROR(__xludf.DUMMYFUNCTION("""COMPUTED_VALUE"""),5230.0)</f>
        <v>5230</v>
      </c>
      <c r="F962" s="1">
        <f>IFERROR(__xludf.DUMMYFUNCTION("""COMPUTED_VALUE"""),2722.0)</f>
        <v>2722</v>
      </c>
    </row>
    <row r="963">
      <c r="A963" s="2">
        <f>IFERROR(__xludf.DUMMYFUNCTION("""COMPUTED_VALUE"""),42333.64583333333)</f>
        <v>42333.64583</v>
      </c>
      <c r="B963" s="1">
        <f>IFERROR(__xludf.DUMMYFUNCTION("""COMPUTED_VALUE"""),5250.0)</f>
        <v>5250</v>
      </c>
      <c r="C963" s="1">
        <f>IFERROR(__xludf.DUMMYFUNCTION("""COMPUTED_VALUE"""),5250.0)</f>
        <v>5250</v>
      </c>
      <c r="D963" s="1">
        <f>IFERROR(__xludf.DUMMYFUNCTION("""COMPUTED_VALUE"""),5150.0)</f>
        <v>5150</v>
      </c>
      <c r="E963" s="1">
        <f>IFERROR(__xludf.DUMMYFUNCTION("""COMPUTED_VALUE"""),5230.0)</f>
        <v>5230</v>
      </c>
      <c r="F963" s="1">
        <f>IFERROR(__xludf.DUMMYFUNCTION("""COMPUTED_VALUE"""),4639.0)</f>
        <v>4639</v>
      </c>
    </row>
    <row r="964">
      <c r="A964" s="2">
        <f>IFERROR(__xludf.DUMMYFUNCTION("""COMPUTED_VALUE"""),42334.64583333333)</f>
        <v>42334.64583</v>
      </c>
      <c r="B964" s="1">
        <f>IFERROR(__xludf.DUMMYFUNCTION("""COMPUTED_VALUE"""),5140.0)</f>
        <v>5140</v>
      </c>
      <c r="C964" s="1">
        <f>IFERROR(__xludf.DUMMYFUNCTION("""COMPUTED_VALUE"""),5280.0)</f>
        <v>5280</v>
      </c>
      <c r="D964" s="1">
        <f>IFERROR(__xludf.DUMMYFUNCTION("""COMPUTED_VALUE"""),5140.0)</f>
        <v>5140</v>
      </c>
      <c r="E964" s="1">
        <f>IFERROR(__xludf.DUMMYFUNCTION("""COMPUTED_VALUE"""),5200.0)</f>
        <v>5200</v>
      </c>
      <c r="F964" s="1">
        <f>IFERROR(__xludf.DUMMYFUNCTION("""COMPUTED_VALUE"""),2226.0)</f>
        <v>2226</v>
      </c>
    </row>
    <row r="965">
      <c r="A965" s="2">
        <f>IFERROR(__xludf.DUMMYFUNCTION("""COMPUTED_VALUE"""),42335.64583333333)</f>
        <v>42335.64583</v>
      </c>
      <c r="B965" s="1">
        <f>IFERROR(__xludf.DUMMYFUNCTION("""COMPUTED_VALUE"""),5170.0)</f>
        <v>5170</v>
      </c>
      <c r="C965" s="1">
        <f>IFERROR(__xludf.DUMMYFUNCTION("""COMPUTED_VALUE"""),5280.0)</f>
        <v>5280</v>
      </c>
      <c r="D965" s="1">
        <f>IFERROR(__xludf.DUMMYFUNCTION("""COMPUTED_VALUE"""),5100.0)</f>
        <v>5100</v>
      </c>
      <c r="E965" s="1">
        <f>IFERROR(__xludf.DUMMYFUNCTION("""COMPUTED_VALUE"""),5160.0)</f>
        <v>5160</v>
      </c>
      <c r="F965" s="1">
        <f>IFERROR(__xludf.DUMMYFUNCTION("""COMPUTED_VALUE"""),7553.0)</f>
        <v>7553</v>
      </c>
    </row>
    <row r="966">
      <c r="A966" s="2">
        <f>IFERROR(__xludf.DUMMYFUNCTION("""COMPUTED_VALUE"""),42338.64583333333)</f>
        <v>42338.64583</v>
      </c>
      <c r="B966" s="1">
        <f>IFERROR(__xludf.DUMMYFUNCTION("""COMPUTED_VALUE"""),5140.0)</f>
        <v>5140</v>
      </c>
      <c r="C966" s="1">
        <f>IFERROR(__xludf.DUMMYFUNCTION("""COMPUTED_VALUE"""),5260.0)</f>
        <v>5260</v>
      </c>
      <c r="D966" s="1">
        <f>IFERROR(__xludf.DUMMYFUNCTION("""COMPUTED_VALUE"""),5120.0)</f>
        <v>5120</v>
      </c>
      <c r="E966" s="1">
        <f>IFERROR(__xludf.DUMMYFUNCTION("""COMPUTED_VALUE"""),5180.0)</f>
        <v>5180</v>
      </c>
      <c r="F966" s="1">
        <f>IFERROR(__xludf.DUMMYFUNCTION("""COMPUTED_VALUE"""),4039.0)</f>
        <v>4039</v>
      </c>
    </row>
    <row r="967">
      <c r="A967" s="2">
        <f>IFERROR(__xludf.DUMMYFUNCTION("""COMPUTED_VALUE"""),42339.64583333333)</f>
        <v>42339.64583</v>
      </c>
      <c r="B967" s="1">
        <f>IFERROR(__xludf.DUMMYFUNCTION("""COMPUTED_VALUE"""),5120.0)</f>
        <v>5120</v>
      </c>
      <c r="C967" s="1">
        <f>IFERROR(__xludf.DUMMYFUNCTION("""COMPUTED_VALUE"""),5290.0)</f>
        <v>5290</v>
      </c>
      <c r="D967" s="1">
        <f>IFERROR(__xludf.DUMMYFUNCTION("""COMPUTED_VALUE"""),5110.0)</f>
        <v>5110</v>
      </c>
      <c r="E967" s="1">
        <f>IFERROR(__xludf.DUMMYFUNCTION("""COMPUTED_VALUE"""),5240.0)</f>
        <v>5240</v>
      </c>
      <c r="F967" s="1">
        <f>IFERROR(__xludf.DUMMYFUNCTION("""COMPUTED_VALUE"""),6450.0)</f>
        <v>6450</v>
      </c>
    </row>
    <row r="968">
      <c r="A968" s="2">
        <f>IFERROR(__xludf.DUMMYFUNCTION("""COMPUTED_VALUE"""),42340.64583333333)</f>
        <v>42340.64583</v>
      </c>
      <c r="B968" s="1">
        <f>IFERROR(__xludf.DUMMYFUNCTION("""COMPUTED_VALUE"""),5200.0)</f>
        <v>5200</v>
      </c>
      <c r="C968" s="1">
        <f>IFERROR(__xludf.DUMMYFUNCTION("""COMPUTED_VALUE"""),5290.0)</f>
        <v>5290</v>
      </c>
      <c r="D968" s="1">
        <f>IFERROR(__xludf.DUMMYFUNCTION("""COMPUTED_VALUE"""),5140.0)</f>
        <v>5140</v>
      </c>
      <c r="E968" s="1">
        <f>IFERROR(__xludf.DUMMYFUNCTION("""COMPUTED_VALUE"""),5150.0)</f>
        <v>5150</v>
      </c>
      <c r="F968" s="1">
        <f>IFERROR(__xludf.DUMMYFUNCTION("""COMPUTED_VALUE"""),5756.0)</f>
        <v>5756</v>
      </c>
    </row>
    <row r="969">
      <c r="A969" s="2">
        <f>IFERROR(__xludf.DUMMYFUNCTION("""COMPUTED_VALUE"""),42341.64583333333)</f>
        <v>42341.64583</v>
      </c>
      <c r="B969" s="1">
        <f>IFERROR(__xludf.DUMMYFUNCTION("""COMPUTED_VALUE"""),5160.0)</f>
        <v>5160</v>
      </c>
      <c r="C969" s="1">
        <f>IFERROR(__xludf.DUMMYFUNCTION("""COMPUTED_VALUE"""),5230.0)</f>
        <v>5230</v>
      </c>
      <c r="D969" s="1">
        <f>IFERROR(__xludf.DUMMYFUNCTION("""COMPUTED_VALUE"""),5140.0)</f>
        <v>5140</v>
      </c>
      <c r="E969" s="1">
        <f>IFERROR(__xludf.DUMMYFUNCTION("""COMPUTED_VALUE"""),5180.0)</f>
        <v>5180</v>
      </c>
      <c r="F969" s="1">
        <f>IFERROR(__xludf.DUMMYFUNCTION("""COMPUTED_VALUE"""),2525.0)</f>
        <v>2525</v>
      </c>
    </row>
    <row r="970">
      <c r="A970" s="2">
        <f>IFERROR(__xludf.DUMMYFUNCTION("""COMPUTED_VALUE"""),42342.64583333333)</f>
        <v>42342.64583</v>
      </c>
      <c r="B970" s="1">
        <f>IFERROR(__xludf.DUMMYFUNCTION("""COMPUTED_VALUE"""),5230.0)</f>
        <v>5230</v>
      </c>
      <c r="C970" s="1">
        <f>IFERROR(__xludf.DUMMYFUNCTION("""COMPUTED_VALUE"""),5270.0)</f>
        <v>5270</v>
      </c>
      <c r="D970" s="1">
        <f>IFERROR(__xludf.DUMMYFUNCTION("""COMPUTED_VALUE"""),5190.0)</f>
        <v>5190</v>
      </c>
      <c r="E970" s="1">
        <f>IFERROR(__xludf.DUMMYFUNCTION("""COMPUTED_VALUE"""),5260.0)</f>
        <v>5260</v>
      </c>
      <c r="F970" s="1">
        <f>IFERROR(__xludf.DUMMYFUNCTION("""COMPUTED_VALUE"""),5941.0)</f>
        <v>5941</v>
      </c>
    </row>
    <row r="971">
      <c r="A971" s="2">
        <f>IFERROR(__xludf.DUMMYFUNCTION("""COMPUTED_VALUE"""),42345.64583333333)</f>
        <v>42345.64583</v>
      </c>
      <c r="B971" s="1">
        <f>IFERROR(__xludf.DUMMYFUNCTION("""COMPUTED_VALUE"""),5250.0)</f>
        <v>5250</v>
      </c>
      <c r="C971" s="1">
        <f>IFERROR(__xludf.DUMMYFUNCTION("""COMPUTED_VALUE"""),5280.0)</f>
        <v>5280</v>
      </c>
      <c r="D971" s="1">
        <f>IFERROR(__xludf.DUMMYFUNCTION("""COMPUTED_VALUE"""),5210.0)</f>
        <v>5210</v>
      </c>
      <c r="E971" s="1">
        <f>IFERROR(__xludf.DUMMYFUNCTION("""COMPUTED_VALUE"""),5270.0)</f>
        <v>5270</v>
      </c>
      <c r="F971" s="1">
        <f>IFERROR(__xludf.DUMMYFUNCTION("""COMPUTED_VALUE"""),7528.0)</f>
        <v>7528</v>
      </c>
    </row>
    <row r="972">
      <c r="A972" s="2">
        <f>IFERROR(__xludf.DUMMYFUNCTION("""COMPUTED_VALUE"""),42346.64583333333)</f>
        <v>42346.64583</v>
      </c>
      <c r="B972" s="1">
        <f>IFERROR(__xludf.DUMMYFUNCTION("""COMPUTED_VALUE"""),5280.0)</f>
        <v>5280</v>
      </c>
      <c r="C972" s="1">
        <f>IFERROR(__xludf.DUMMYFUNCTION("""COMPUTED_VALUE"""),5290.0)</f>
        <v>5290</v>
      </c>
      <c r="D972" s="1">
        <f>IFERROR(__xludf.DUMMYFUNCTION("""COMPUTED_VALUE"""),5200.0)</f>
        <v>5200</v>
      </c>
      <c r="E972" s="1">
        <f>IFERROR(__xludf.DUMMYFUNCTION("""COMPUTED_VALUE"""),5270.0)</f>
        <v>5270</v>
      </c>
      <c r="F972" s="1">
        <f>IFERROR(__xludf.DUMMYFUNCTION("""COMPUTED_VALUE"""),4725.0)</f>
        <v>4725</v>
      </c>
    </row>
    <row r="973">
      <c r="A973" s="2">
        <f>IFERROR(__xludf.DUMMYFUNCTION("""COMPUTED_VALUE"""),42347.64583333333)</f>
        <v>42347.64583</v>
      </c>
      <c r="B973" s="1">
        <f>IFERROR(__xludf.DUMMYFUNCTION("""COMPUTED_VALUE"""),5270.0)</f>
        <v>5270</v>
      </c>
      <c r="C973" s="1">
        <f>IFERROR(__xludf.DUMMYFUNCTION("""COMPUTED_VALUE"""),5290.0)</f>
        <v>5290</v>
      </c>
      <c r="D973" s="1">
        <f>IFERROR(__xludf.DUMMYFUNCTION("""COMPUTED_VALUE"""),5150.0)</f>
        <v>5150</v>
      </c>
      <c r="E973" s="1">
        <f>IFERROR(__xludf.DUMMYFUNCTION("""COMPUTED_VALUE"""),5260.0)</f>
        <v>5260</v>
      </c>
      <c r="F973" s="1">
        <f>IFERROR(__xludf.DUMMYFUNCTION("""COMPUTED_VALUE"""),6377.0)</f>
        <v>6377</v>
      </c>
    </row>
    <row r="974">
      <c r="A974" s="2">
        <f>IFERROR(__xludf.DUMMYFUNCTION("""COMPUTED_VALUE"""),42348.64583333333)</f>
        <v>42348.64583</v>
      </c>
      <c r="B974" s="1">
        <f>IFERROR(__xludf.DUMMYFUNCTION("""COMPUTED_VALUE"""),5240.0)</f>
        <v>5240</v>
      </c>
      <c r="C974" s="1">
        <f>IFERROR(__xludf.DUMMYFUNCTION("""COMPUTED_VALUE"""),5240.0)</f>
        <v>5240</v>
      </c>
      <c r="D974" s="1">
        <f>IFERROR(__xludf.DUMMYFUNCTION("""COMPUTED_VALUE"""),5190.0)</f>
        <v>5190</v>
      </c>
      <c r="E974" s="1">
        <f>IFERROR(__xludf.DUMMYFUNCTION("""COMPUTED_VALUE"""),5240.0)</f>
        <v>5240</v>
      </c>
      <c r="F974" s="1">
        <f>IFERROR(__xludf.DUMMYFUNCTION("""COMPUTED_VALUE"""),5348.0)</f>
        <v>5348</v>
      </c>
    </row>
    <row r="975">
      <c r="A975" s="2">
        <f>IFERROR(__xludf.DUMMYFUNCTION("""COMPUTED_VALUE"""),42349.64583333333)</f>
        <v>42349.64583</v>
      </c>
      <c r="B975" s="1">
        <f>IFERROR(__xludf.DUMMYFUNCTION("""COMPUTED_VALUE"""),5240.0)</f>
        <v>5240</v>
      </c>
      <c r="C975" s="1">
        <f>IFERROR(__xludf.DUMMYFUNCTION("""COMPUTED_VALUE"""),5240.0)</f>
        <v>5240</v>
      </c>
      <c r="D975" s="1">
        <f>IFERROR(__xludf.DUMMYFUNCTION("""COMPUTED_VALUE"""),5150.0)</f>
        <v>5150</v>
      </c>
      <c r="E975" s="1">
        <f>IFERROR(__xludf.DUMMYFUNCTION("""COMPUTED_VALUE"""),5240.0)</f>
        <v>5240</v>
      </c>
      <c r="F975" s="1">
        <f>IFERROR(__xludf.DUMMYFUNCTION("""COMPUTED_VALUE"""),6148.0)</f>
        <v>6148</v>
      </c>
    </row>
    <row r="976">
      <c r="A976" s="2">
        <f>IFERROR(__xludf.DUMMYFUNCTION("""COMPUTED_VALUE"""),42352.64583333333)</f>
        <v>42352.64583</v>
      </c>
      <c r="B976" s="1">
        <f>IFERROR(__xludf.DUMMYFUNCTION("""COMPUTED_VALUE"""),5270.0)</f>
        <v>5270</v>
      </c>
      <c r="C976" s="1">
        <f>IFERROR(__xludf.DUMMYFUNCTION("""COMPUTED_VALUE"""),5270.0)</f>
        <v>5270</v>
      </c>
      <c r="D976" s="1">
        <f>IFERROR(__xludf.DUMMYFUNCTION("""COMPUTED_VALUE"""),5100.0)</f>
        <v>5100</v>
      </c>
      <c r="E976" s="1">
        <f>IFERROR(__xludf.DUMMYFUNCTION("""COMPUTED_VALUE"""),5150.0)</f>
        <v>5150</v>
      </c>
      <c r="F976" s="1">
        <f>IFERROR(__xludf.DUMMYFUNCTION("""COMPUTED_VALUE"""),10461.0)</f>
        <v>10461</v>
      </c>
    </row>
    <row r="977">
      <c r="A977" s="2">
        <f>IFERROR(__xludf.DUMMYFUNCTION("""COMPUTED_VALUE"""),42353.64583333333)</f>
        <v>42353.64583</v>
      </c>
      <c r="B977" s="1">
        <f>IFERROR(__xludf.DUMMYFUNCTION("""COMPUTED_VALUE"""),5150.0)</f>
        <v>5150</v>
      </c>
      <c r="C977" s="1">
        <f>IFERROR(__xludf.DUMMYFUNCTION("""COMPUTED_VALUE"""),5180.0)</f>
        <v>5180</v>
      </c>
      <c r="D977" s="1">
        <f>IFERROR(__xludf.DUMMYFUNCTION("""COMPUTED_VALUE"""),5070.0)</f>
        <v>5070</v>
      </c>
      <c r="E977" s="1">
        <f>IFERROR(__xludf.DUMMYFUNCTION("""COMPUTED_VALUE"""),5100.0)</f>
        <v>5100</v>
      </c>
      <c r="F977" s="1">
        <f>IFERROR(__xludf.DUMMYFUNCTION("""COMPUTED_VALUE"""),6999.0)</f>
        <v>6999</v>
      </c>
    </row>
    <row r="978">
      <c r="A978" s="2">
        <f>IFERROR(__xludf.DUMMYFUNCTION("""COMPUTED_VALUE"""),42354.64583333333)</f>
        <v>42354.64583</v>
      </c>
      <c r="B978" s="1">
        <f>IFERROR(__xludf.DUMMYFUNCTION("""COMPUTED_VALUE"""),5230.0)</f>
        <v>5230</v>
      </c>
      <c r="C978" s="1">
        <f>IFERROR(__xludf.DUMMYFUNCTION("""COMPUTED_VALUE"""),5230.0)</f>
        <v>5230</v>
      </c>
      <c r="D978" s="1">
        <f>IFERROR(__xludf.DUMMYFUNCTION("""COMPUTED_VALUE"""),5090.0)</f>
        <v>5090</v>
      </c>
      <c r="E978" s="1">
        <f>IFERROR(__xludf.DUMMYFUNCTION("""COMPUTED_VALUE"""),5090.0)</f>
        <v>5090</v>
      </c>
      <c r="F978" s="1">
        <f>IFERROR(__xludf.DUMMYFUNCTION("""COMPUTED_VALUE"""),8771.0)</f>
        <v>8771</v>
      </c>
    </row>
    <row r="979">
      <c r="A979" s="2">
        <f>IFERROR(__xludf.DUMMYFUNCTION("""COMPUTED_VALUE"""),42355.64583333333)</f>
        <v>42355.64583</v>
      </c>
      <c r="B979" s="1">
        <f>IFERROR(__xludf.DUMMYFUNCTION("""COMPUTED_VALUE"""),5100.0)</f>
        <v>5100</v>
      </c>
      <c r="C979" s="1">
        <f>IFERROR(__xludf.DUMMYFUNCTION("""COMPUTED_VALUE"""),5150.0)</f>
        <v>5150</v>
      </c>
      <c r="D979" s="1">
        <f>IFERROR(__xludf.DUMMYFUNCTION("""COMPUTED_VALUE"""),5070.0)</f>
        <v>5070</v>
      </c>
      <c r="E979" s="1">
        <f>IFERROR(__xludf.DUMMYFUNCTION("""COMPUTED_VALUE"""),5090.0)</f>
        <v>5090</v>
      </c>
      <c r="F979" s="1">
        <f>IFERROR(__xludf.DUMMYFUNCTION("""COMPUTED_VALUE"""),5143.0)</f>
        <v>5143</v>
      </c>
    </row>
    <row r="980">
      <c r="A980" s="2">
        <f>IFERROR(__xludf.DUMMYFUNCTION("""COMPUTED_VALUE"""),42356.64583333333)</f>
        <v>42356.64583</v>
      </c>
      <c r="B980" s="1">
        <f>IFERROR(__xludf.DUMMYFUNCTION("""COMPUTED_VALUE"""),5090.0)</f>
        <v>5090</v>
      </c>
      <c r="C980" s="1">
        <f>IFERROR(__xludf.DUMMYFUNCTION("""COMPUTED_VALUE"""),5130.0)</f>
        <v>5130</v>
      </c>
      <c r="D980" s="1">
        <f>IFERROR(__xludf.DUMMYFUNCTION("""COMPUTED_VALUE"""),5070.0)</f>
        <v>5070</v>
      </c>
      <c r="E980" s="1">
        <f>IFERROR(__xludf.DUMMYFUNCTION("""COMPUTED_VALUE"""),5090.0)</f>
        <v>5090</v>
      </c>
      <c r="F980" s="1">
        <f>IFERROR(__xludf.DUMMYFUNCTION("""COMPUTED_VALUE"""),3026.0)</f>
        <v>3026</v>
      </c>
    </row>
    <row r="981">
      <c r="A981" s="2">
        <f>IFERROR(__xludf.DUMMYFUNCTION("""COMPUTED_VALUE"""),42359.64583333333)</f>
        <v>42359.64583</v>
      </c>
      <c r="B981" s="1">
        <f>IFERROR(__xludf.DUMMYFUNCTION("""COMPUTED_VALUE"""),5190.0)</f>
        <v>5190</v>
      </c>
      <c r="C981" s="1">
        <f>IFERROR(__xludf.DUMMYFUNCTION("""COMPUTED_VALUE"""),5190.0)</f>
        <v>5190</v>
      </c>
      <c r="D981" s="1">
        <f>IFERROR(__xludf.DUMMYFUNCTION("""COMPUTED_VALUE"""),5060.0)</f>
        <v>5060</v>
      </c>
      <c r="E981" s="1">
        <f>IFERROR(__xludf.DUMMYFUNCTION("""COMPUTED_VALUE"""),5150.0)</f>
        <v>5150</v>
      </c>
      <c r="F981" s="1">
        <f>IFERROR(__xludf.DUMMYFUNCTION("""COMPUTED_VALUE"""),3982.0)</f>
        <v>3982</v>
      </c>
    </row>
    <row r="982">
      <c r="A982" s="2">
        <f>IFERROR(__xludf.DUMMYFUNCTION("""COMPUTED_VALUE"""),42360.64583333333)</f>
        <v>42360.64583</v>
      </c>
      <c r="B982" s="1">
        <f>IFERROR(__xludf.DUMMYFUNCTION("""COMPUTED_VALUE"""),5160.0)</f>
        <v>5160</v>
      </c>
      <c r="C982" s="1">
        <f>IFERROR(__xludf.DUMMYFUNCTION("""COMPUTED_VALUE"""),5180.0)</f>
        <v>5180</v>
      </c>
      <c r="D982" s="1">
        <f>IFERROR(__xludf.DUMMYFUNCTION("""COMPUTED_VALUE"""),5080.0)</f>
        <v>5080</v>
      </c>
      <c r="E982" s="1">
        <f>IFERROR(__xludf.DUMMYFUNCTION("""COMPUTED_VALUE"""),5150.0)</f>
        <v>5150</v>
      </c>
      <c r="F982" s="1">
        <f>IFERROR(__xludf.DUMMYFUNCTION("""COMPUTED_VALUE"""),3625.0)</f>
        <v>3625</v>
      </c>
    </row>
    <row r="983">
      <c r="A983" s="2">
        <f>IFERROR(__xludf.DUMMYFUNCTION("""COMPUTED_VALUE"""),42361.64583333333)</f>
        <v>42361.64583</v>
      </c>
      <c r="B983" s="1">
        <f>IFERROR(__xludf.DUMMYFUNCTION("""COMPUTED_VALUE"""),5090.0)</f>
        <v>5090</v>
      </c>
      <c r="C983" s="1">
        <f>IFERROR(__xludf.DUMMYFUNCTION("""COMPUTED_VALUE"""),5150.0)</f>
        <v>5150</v>
      </c>
      <c r="D983" s="1">
        <f>IFERROR(__xludf.DUMMYFUNCTION("""COMPUTED_VALUE"""),5070.0)</f>
        <v>5070</v>
      </c>
      <c r="E983" s="1">
        <f>IFERROR(__xludf.DUMMYFUNCTION("""COMPUTED_VALUE"""),5090.0)</f>
        <v>5090</v>
      </c>
      <c r="F983" s="1">
        <f>IFERROR(__xludf.DUMMYFUNCTION("""COMPUTED_VALUE"""),9371.0)</f>
        <v>9371</v>
      </c>
    </row>
    <row r="984">
      <c r="A984" s="2">
        <f>IFERROR(__xludf.DUMMYFUNCTION("""COMPUTED_VALUE"""),42362.64583333333)</f>
        <v>42362.64583</v>
      </c>
      <c r="B984" s="1">
        <f>IFERROR(__xludf.DUMMYFUNCTION("""COMPUTED_VALUE"""),5130.0)</f>
        <v>5130</v>
      </c>
      <c r="C984" s="1">
        <f>IFERROR(__xludf.DUMMYFUNCTION("""COMPUTED_VALUE"""),5130.0)</f>
        <v>5130</v>
      </c>
      <c r="D984" s="1">
        <f>IFERROR(__xludf.DUMMYFUNCTION("""COMPUTED_VALUE"""),5070.0)</f>
        <v>5070</v>
      </c>
      <c r="E984" s="1">
        <f>IFERROR(__xludf.DUMMYFUNCTION("""COMPUTED_VALUE"""),5100.0)</f>
        <v>5100</v>
      </c>
      <c r="F984" s="1">
        <f>IFERROR(__xludf.DUMMYFUNCTION("""COMPUTED_VALUE"""),7364.0)</f>
        <v>7364</v>
      </c>
    </row>
    <row r="985">
      <c r="A985" s="2">
        <f>IFERROR(__xludf.DUMMYFUNCTION("""COMPUTED_VALUE"""),42366.64583333333)</f>
        <v>42366.64583</v>
      </c>
      <c r="B985" s="1">
        <f>IFERROR(__xludf.DUMMYFUNCTION("""COMPUTED_VALUE"""),5170.0)</f>
        <v>5170</v>
      </c>
      <c r="C985" s="1">
        <f>IFERROR(__xludf.DUMMYFUNCTION("""COMPUTED_VALUE"""),5180.0)</f>
        <v>5180</v>
      </c>
      <c r="D985" s="1">
        <f>IFERROR(__xludf.DUMMYFUNCTION("""COMPUTED_VALUE"""),5100.0)</f>
        <v>5100</v>
      </c>
      <c r="E985" s="1">
        <f>IFERROR(__xludf.DUMMYFUNCTION("""COMPUTED_VALUE"""),5170.0)</f>
        <v>5170</v>
      </c>
      <c r="F985" s="1">
        <f>IFERROR(__xludf.DUMMYFUNCTION("""COMPUTED_VALUE"""),14396.0)</f>
        <v>14396</v>
      </c>
    </row>
    <row r="986">
      <c r="A986" s="2">
        <f>IFERROR(__xludf.DUMMYFUNCTION("""COMPUTED_VALUE"""),42367.64583333333)</f>
        <v>42367.64583</v>
      </c>
      <c r="B986" s="1">
        <f>IFERROR(__xludf.DUMMYFUNCTION("""COMPUTED_VALUE"""),5200.0)</f>
        <v>5200</v>
      </c>
      <c r="C986" s="1">
        <f>IFERROR(__xludf.DUMMYFUNCTION("""COMPUTED_VALUE"""),5200.0)</f>
        <v>5200</v>
      </c>
      <c r="D986" s="1">
        <f>IFERROR(__xludf.DUMMYFUNCTION("""COMPUTED_VALUE"""),5030.0)</f>
        <v>5030</v>
      </c>
      <c r="E986" s="1">
        <f>IFERROR(__xludf.DUMMYFUNCTION("""COMPUTED_VALUE"""),5100.0)</f>
        <v>5100</v>
      </c>
      <c r="F986" s="1">
        <f>IFERROR(__xludf.DUMMYFUNCTION("""COMPUTED_VALUE"""),5341.0)</f>
        <v>5341</v>
      </c>
    </row>
    <row r="987">
      <c r="A987" s="2">
        <f>IFERROR(__xludf.DUMMYFUNCTION("""COMPUTED_VALUE"""),42368.64583333333)</f>
        <v>42368.64583</v>
      </c>
      <c r="B987" s="1">
        <f>IFERROR(__xludf.DUMMYFUNCTION("""COMPUTED_VALUE"""),5160.0)</f>
        <v>5160</v>
      </c>
      <c r="C987" s="1">
        <f>IFERROR(__xludf.DUMMYFUNCTION("""COMPUTED_VALUE"""),5160.0)</f>
        <v>5160</v>
      </c>
      <c r="D987" s="1">
        <f>IFERROR(__xludf.DUMMYFUNCTION("""COMPUTED_VALUE"""),5060.0)</f>
        <v>5060</v>
      </c>
      <c r="E987" s="1">
        <f>IFERROR(__xludf.DUMMYFUNCTION("""COMPUTED_VALUE"""),5090.0)</f>
        <v>5090</v>
      </c>
      <c r="F987" s="1">
        <f>IFERROR(__xludf.DUMMYFUNCTION("""COMPUTED_VALUE"""),3355.0)</f>
        <v>3355</v>
      </c>
    </row>
    <row r="988">
      <c r="A988" s="2">
        <f>IFERROR(__xludf.DUMMYFUNCTION("""COMPUTED_VALUE"""),42373.64583333333)</f>
        <v>42373.64583</v>
      </c>
      <c r="B988" s="1">
        <f>IFERROR(__xludf.DUMMYFUNCTION("""COMPUTED_VALUE"""),4975.0)</f>
        <v>4975</v>
      </c>
      <c r="C988" s="1">
        <f>IFERROR(__xludf.DUMMYFUNCTION("""COMPUTED_VALUE"""),5080.0)</f>
        <v>5080</v>
      </c>
      <c r="D988" s="1">
        <f>IFERROR(__xludf.DUMMYFUNCTION("""COMPUTED_VALUE"""),4975.0)</f>
        <v>4975</v>
      </c>
      <c r="E988" s="1">
        <f>IFERROR(__xludf.DUMMYFUNCTION("""COMPUTED_VALUE"""),5020.0)</f>
        <v>5020</v>
      </c>
      <c r="F988" s="1">
        <f>IFERROR(__xludf.DUMMYFUNCTION("""COMPUTED_VALUE"""),8107.0)</f>
        <v>8107</v>
      </c>
    </row>
    <row r="989">
      <c r="A989" s="2">
        <f>IFERROR(__xludf.DUMMYFUNCTION("""COMPUTED_VALUE"""),42374.64583333333)</f>
        <v>42374.64583</v>
      </c>
      <c r="B989" s="1">
        <f>IFERROR(__xludf.DUMMYFUNCTION("""COMPUTED_VALUE"""),4975.0)</f>
        <v>4975</v>
      </c>
      <c r="C989" s="1">
        <f>IFERROR(__xludf.DUMMYFUNCTION("""COMPUTED_VALUE"""),5010.0)</f>
        <v>5010</v>
      </c>
      <c r="D989" s="1">
        <f>IFERROR(__xludf.DUMMYFUNCTION("""COMPUTED_VALUE"""),4960.0)</f>
        <v>4960</v>
      </c>
      <c r="E989" s="1">
        <f>IFERROR(__xludf.DUMMYFUNCTION("""COMPUTED_VALUE"""),4990.0)</f>
        <v>4990</v>
      </c>
      <c r="F989" s="1">
        <f>IFERROR(__xludf.DUMMYFUNCTION("""COMPUTED_VALUE"""),6810.0)</f>
        <v>6810</v>
      </c>
    </row>
    <row r="990">
      <c r="A990" s="2">
        <f>IFERROR(__xludf.DUMMYFUNCTION("""COMPUTED_VALUE"""),42375.64583333333)</f>
        <v>42375.64583</v>
      </c>
      <c r="B990" s="1">
        <f>IFERROR(__xludf.DUMMYFUNCTION("""COMPUTED_VALUE"""),4990.0)</f>
        <v>4990</v>
      </c>
      <c r="C990" s="1">
        <f>IFERROR(__xludf.DUMMYFUNCTION("""COMPUTED_VALUE"""),5090.0)</f>
        <v>5090</v>
      </c>
      <c r="D990" s="1">
        <f>IFERROR(__xludf.DUMMYFUNCTION("""COMPUTED_VALUE"""),4970.0)</f>
        <v>4970</v>
      </c>
      <c r="E990" s="1">
        <f>IFERROR(__xludf.DUMMYFUNCTION("""COMPUTED_VALUE"""),5000.0)</f>
        <v>5000</v>
      </c>
      <c r="F990" s="1">
        <f>IFERROR(__xludf.DUMMYFUNCTION("""COMPUTED_VALUE"""),11424.0)</f>
        <v>11424</v>
      </c>
    </row>
    <row r="991">
      <c r="A991" s="2">
        <f>IFERROR(__xludf.DUMMYFUNCTION("""COMPUTED_VALUE"""),42376.64583333333)</f>
        <v>42376.64583</v>
      </c>
      <c r="B991" s="1">
        <f>IFERROR(__xludf.DUMMYFUNCTION("""COMPUTED_VALUE"""),5000.0)</f>
        <v>5000</v>
      </c>
      <c r="C991" s="1">
        <f>IFERROR(__xludf.DUMMYFUNCTION("""COMPUTED_VALUE"""),5060.0)</f>
        <v>5060</v>
      </c>
      <c r="D991" s="1">
        <f>IFERROR(__xludf.DUMMYFUNCTION("""COMPUTED_VALUE"""),4960.0)</f>
        <v>4960</v>
      </c>
      <c r="E991" s="1">
        <f>IFERROR(__xludf.DUMMYFUNCTION("""COMPUTED_VALUE"""),5050.0)</f>
        <v>5050</v>
      </c>
      <c r="F991" s="1">
        <f>IFERROR(__xludf.DUMMYFUNCTION("""COMPUTED_VALUE"""),4166.0)</f>
        <v>4166</v>
      </c>
    </row>
    <row r="992">
      <c r="A992" s="2">
        <f>IFERROR(__xludf.DUMMYFUNCTION("""COMPUTED_VALUE"""),42377.64583333333)</f>
        <v>42377.64583</v>
      </c>
      <c r="B992" s="1">
        <f>IFERROR(__xludf.DUMMYFUNCTION("""COMPUTED_VALUE"""),4950.0)</f>
        <v>4950</v>
      </c>
      <c r="C992" s="1">
        <f>IFERROR(__xludf.DUMMYFUNCTION("""COMPUTED_VALUE"""),4995.0)</f>
        <v>4995</v>
      </c>
      <c r="D992" s="1">
        <f>IFERROR(__xludf.DUMMYFUNCTION("""COMPUTED_VALUE"""),4910.0)</f>
        <v>4910</v>
      </c>
      <c r="E992" s="1">
        <f>IFERROR(__xludf.DUMMYFUNCTION("""COMPUTED_VALUE"""),4995.0)</f>
        <v>4995</v>
      </c>
      <c r="F992" s="1">
        <f>IFERROR(__xludf.DUMMYFUNCTION("""COMPUTED_VALUE"""),9683.0)</f>
        <v>9683</v>
      </c>
    </row>
    <row r="993">
      <c r="A993" s="2">
        <f>IFERROR(__xludf.DUMMYFUNCTION("""COMPUTED_VALUE"""),42380.64583333333)</f>
        <v>42380.64583</v>
      </c>
      <c r="B993" s="1">
        <f>IFERROR(__xludf.DUMMYFUNCTION("""COMPUTED_VALUE"""),4995.0)</f>
        <v>4995</v>
      </c>
      <c r="C993" s="1">
        <f>IFERROR(__xludf.DUMMYFUNCTION("""COMPUTED_VALUE"""),5000.0)</f>
        <v>5000</v>
      </c>
      <c r="D993" s="1">
        <f>IFERROR(__xludf.DUMMYFUNCTION("""COMPUTED_VALUE"""),4970.0)</f>
        <v>4970</v>
      </c>
      <c r="E993" s="1">
        <f>IFERROR(__xludf.DUMMYFUNCTION("""COMPUTED_VALUE"""),4995.0)</f>
        <v>4995</v>
      </c>
      <c r="F993" s="1">
        <f>IFERROR(__xludf.DUMMYFUNCTION("""COMPUTED_VALUE"""),2367.0)</f>
        <v>2367</v>
      </c>
    </row>
    <row r="994">
      <c r="A994" s="2">
        <f>IFERROR(__xludf.DUMMYFUNCTION("""COMPUTED_VALUE"""),42381.64583333333)</f>
        <v>42381.64583</v>
      </c>
      <c r="B994" s="1">
        <f>IFERROR(__xludf.DUMMYFUNCTION("""COMPUTED_VALUE"""),4975.0)</f>
        <v>4975</v>
      </c>
      <c r="C994" s="1">
        <f>IFERROR(__xludf.DUMMYFUNCTION("""COMPUTED_VALUE"""),5020.0)</f>
        <v>5020</v>
      </c>
      <c r="D994" s="1">
        <f>IFERROR(__xludf.DUMMYFUNCTION("""COMPUTED_VALUE"""),4975.0)</f>
        <v>4975</v>
      </c>
      <c r="E994" s="1">
        <f>IFERROR(__xludf.DUMMYFUNCTION("""COMPUTED_VALUE"""),5000.0)</f>
        <v>5000</v>
      </c>
      <c r="F994" s="1">
        <f>IFERROR(__xludf.DUMMYFUNCTION("""COMPUTED_VALUE"""),1165.0)</f>
        <v>1165</v>
      </c>
    </row>
    <row r="995">
      <c r="A995" s="2">
        <f>IFERROR(__xludf.DUMMYFUNCTION("""COMPUTED_VALUE"""),42382.64583333333)</f>
        <v>42382.64583</v>
      </c>
      <c r="B995" s="1">
        <f>IFERROR(__xludf.DUMMYFUNCTION("""COMPUTED_VALUE"""),5050.0)</f>
        <v>5050</v>
      </c>
      <c r="C995" s="1">
        <f>IFERROR(__xludf.DUMMYFUNCTION("""COMPUTED_VALUE"""),5060.0)</f>
        <v>5060</v>
      </c>
      <c r="D995" s="1">
        <f>IFERROR(__xludf.DUMMYFUNCTION("""COMPUTED_VALUE"""),4955.0)</f>
        <v>4955</v>
      </c>
      <c r="E995" s="1">
        <f>IFERROR(__xludf.DUMMYFUNCTION("""COMPUTED_VALUE"""),5010.0)</f>
        <v>5010</v>
      </c>
      <c r="F995" s="1">
        <f>IFERROR(__xludf.DUMMYFUNCTION("""COMPUTED_VALUE"""),5703.0)</f>
        <v>5703</v>
      </c>
    </row>
    <row r="996">
      <c r="A996" s="2">
        <f>IFERROR(__xludf.DUMMYFUNCTION("""COMPUTED_VALUE"""),42383.64583333333)</f>
        <v>42383.64583</v>
      </c>
      <c r="B996" s="1">
        <f>IFERROR(__xludf.DUMMYFUNCTION("""COMPUTED_VALUE"""),4990.0)</f>
        <v>4990</v>
      </c>
      <c r="C996" s="1">
        <f>IFERROR(__xludf.DUMMYFUNCTION("""COMPUTED_VALUE"""),5010.0)</f>
        <v>5010</v>
      </c>
      <c r="D996" s="1">
        <f>IFERROR(__xludf.DUMMYFUNCTION("""COMPUTED_VALUE"""),4920.0)</f>
        <v>4920</v>
      </c>
      <c r="E996" s="1">
        <f>IFERROR(__xludf.DUMMYFUNCTION("""COMPUTED_VALUE"""),4990.0)</f>
        <v>4990</v>
      </c>
      <c r="F996" s="1">
        <f>IFERROR(__xludf.DUMMYFUNCTION("""COMPUTED_VALUE"""),12806.0)</f>
        <v>12806</v>
      </c>
    </row>
    <row r="997">
      <c r="A997" s="2">
        <f>IFERROR(__xludf.DUMMYFUNCTION("""COMPUTED_VALUE"""),42384.64583333333)</f>
        <v>42384.64583</v>
      </c>
      <c r="B997" s="1">
        <f>IFERROR(__xludf.DUMMYFUNCTION("""COMPUTED_VALUE"""),5020.0)</f>
        <v>5020</v>
      </c>
      <c r="C997" s="1">
        <f>IFERROR(__xludf.DUMMYFUNCTION("""COMPUTED_VALUE"""),5070.0)</f>
        <v>5070</v>
      </c>
      <c r="D997" s="1">
        <f>IFERROR(__xludf.DUMMYFUNCTION("""COMPUTED_VALUE"""),4985.0)</f>
        <v>4985</v>
      </c>
      <c r="E997" s="1">
        <f>IFERROR(__xludf.DUMMYFUNCTION("""COMPUTED_VALUE"""),4995.0)</f>
        <v>4995</v>
      </c>
      <c r="F997" s="1">
        <f>IFERROR(__xludf.DUMMYFUNCTION("""COMPUTED_VALUE"""),2187.0)</f>
        <v>2187</v>
      </c>
    </row>
    <row r="998">
      <c r="A998" s="2">
        <f>IFERROR(__xludf.DUMMYFUNCTION("""COMPUTED_VALUE"""),42387.64583333333)</f>
        <v>42387.64583</v>
      </c>
      <c r="B998" s="1">
        <f>IFERROR(__xludf.DUMMYFUNCTION("""COMPUTED_VALUE"""),4960.0)</f>
        <v>4960</v>
      </c>
      <c r="C998" s="1">
        <f>IFERROR(__xludf.DUMMYFUNCTION("""COMPUTED_VALUE"""),5050.0)</f>
        <v>5050</v>
      </c>
      <c r="D998" s="1">
        <f>IFERROR(__xludf.DUMMYFUNCTION("""COMPUTED_VALUE"""),4960.0)</f>
        <v>4960</v>
      </c>
      <c r="E998" s="1">
        <f>IFERROR(__xludf.DUMMYFUNCTION("""COMPUTED_VALUE"""),5020.0)</f>
        <v>5020</v>
      </c>
      <c r="F998" s="1">
        <f>IFERROR(__xludf.DUMMYFUNCTION("""COMPUTED_VALUE"""),7617.0)</f>
        <v>7617</v>
      </c>
    </row>
    <row r="999">
      <c r="A999" s="2">
        <f>IFERROR(__xludf.DUMMYFUNCTION("""COMPUTED_VALUE"""),42388.64583333333)</f>
        <v>42388.64583</v>
      </c>
      <c r="B999" s="1">
        <f>IFERROR(__xludf.DUMMYFUNCTION("""COMPUTED_VALUE"""),5030.0)</f>
        <v>5030</v>
      </c>
      <c r="C999" s="1">
        <f>IFERROR(__xludf.DUMMYFUNCTION("""COMPUTED_VALUE"""),5030.0)</f>
        <v>5030</v>
      </c>
      <c r="D999" s="1">
        <f>IFERROR(__xludf.DUMMYFUNCTION("""COMPUTED_VALUE"""),4975.0)</f>
        <v>4975</v>
      </c>
      <c r="E999" s="1">
        <f>IFERROR(__xludf.DUMMYFUNCTION("""COMPUTED_VALUE"""),5010.0)</f>
        <v>5010</v>
      </c>
      <c r="F999" s="1">
        <f>IFERROR(__xludf.DUMMYFUNCTION("""COMPUTED_VALUE"""),5262.0)</f>
        <v>5262</v>
      </c>
    </row>
    <row r="1000">
      <c r="A1000" s="2">
        <f>IFERROR(__xludf.DUMMYFUNCTION("""COMPUTED_VALUE"""),42389.64583333333)</f>
        <v>42389.64583</v>
      </c>
      <c r="B1000" s="1">
        <f>IFERROR(__xludf.DUMMYFUNCTION("""COMPUTED_VALUE"""),5010.0)</f>
        <v>5010</v>
      </c>
      <c r="C1000" s="1">
        <f>IFERROR(__xludf.DUMMYFUNCTION("""COMPUTED_VALUE"""),5010.0)</f>
        <v>5010</v>
      </c>
      <c r="D1000" s="1">
        <f>IFERROR(__xludf.DUMMYFUNCTION("""COMPUTED_VALUE"""),4860.0)</f>
        <v>4860</v>
      </c>
      <c r="E1000" s="1">
        <f>IFERROR(__xludf.DUMMYFUNCTION("""COMPUTED_VALUE"""),4935.0)</f>
        <v>4935</v>
      </c>
      <c r="F1000" s="1">
        <f>IFERROR(__xludf.DUMMYFUNCTION("""COMPUTED_VALUE"""),20340.0)</f>
        <v>20340</v>
      </c>
    </row>
    <row r="1001">
      <c r="A1001" s="2">
        <f>IFERROR(__xludf.DUMMYFUNCTION("""COMPUTED_VALUE"""),42390.64583333333)</f>
        <v>42390.64583</v>
      </c>
      <c r="B1001" s="1">
        <f>IFERROR(__xludf.DUMMYFUNCTION("""COMPUTED_VALUE"""),4960.0)</f>
        <v>4960</v>
      </c>
      <c r="C1001" s="1">
        <f>IFERROR(__xludf.DUMMYFUNCTION("""COMPUTED_VALUE"""),5000.0)</f>
        <v>5000</v>
      </c>
      <c r="D1001" s="1">
        <f>IFERROR(__xludf.DUMMYFUNCTION("""COMPUTED_VALUE"""),4850.0)</f>
        <v>4850</v>
      </c>
      <c r="E1001" s="1">
        <f>IFERROR(__xludf.DUMMYFUNCTION("""COMPUTED_VALUE"""),5000.0)</f>
        <v>5000</v>
      </c>
      <c r="F1001" s="1">
        <f>IFERROR(__xludf.DUMMYFUNCTION("""COMPUTED_VALUE"""),16017.0)</f>
        <v>16017</v>
      </c>
    </row>
    <row r="1002">
      <c r="A1002" s="2">
        <f>IFERROR(__xludf.DUMMYFUNCTION("""COMPUTED_VALUE"""),42391.64583333333)</f>
        <v>42391.64583</v>
      </c>
      <c r="B1002" s="1">
        <f>IFERROR(__xludf.DUMMYFUNCTION("""COMPUTED_VALUE"""),4985.0)</f>
        <v>4985</v>
      </c>
      <c r="C1002" s="1">
        <f>IFERROR(__xludf.DUMMYFUNCTION("""COMPUTED_VALUE"""),5120.0)</f>
        <v>5120</v>
      </c>
      <c r="D1002" s="1">
        <f>IFERROR(__xludf.DUMMYFUNCTION("""COMPUTED_VALUE"""),4910.0)</f>
        <v>4910</v>
      </c>
      <c r="E1002" s="1">
        <f>IFERROR(__xludf.DUMMYFUNCTION("""COMPUTED_VALUE"""),5090.0)</f>
        <v>5090</v>
      </c>
      <c r="F1002" s="1">
        <f>IFERROR(__xludf.DUMMYFUNCTION("""COMPUTED_VALUE"""),22899.0)</f>
        <v>22899</v>
      </c>
    </row>
    <row r="1003">
      <c r="A1003" s="2">
        <f>IFERROR(__xludf.DUMMYFUNCTION("""COMPUTED_VALUE"""),42394.64583333333)</f>
        <v>42394.64583</v>
      </c>
      <c r="B1003" s="1">
        <f>IFERROR(__xludf.DUMMYFUNCTION("""COMPUTED_VALUE"""),4960.0)</f>
        <v>4960</v>
      </c>
      <c r="C1003" s="1">
        <f>IFERROR(__xludf.DUMMYFUNCTION("""COMPUTED_VALUE"""),5090.0)</f>
        <v>5090</v>
      </c>
      <c r="D1003" s="1">
        <f>IFERROR(__xludf.DUMMYFUNCTION("""COMPUTED_VALUE"""),4960.0)</f>
        <v>4960</v>
      </c>
      <c r="E1003" s="1">
        <f>IFERROR(__xludf.DUMMYFUNCTION("""COMPUTED_VALUE"""),5090.0)</f>
        <v>5090</v>
      </c>
      <c r="F1003" s="1">
        <f>IFERROR(__xludf.DUMMYFUNCTION("""COMPUTED_VALUE"""),7374.0)</f>
        <v>7374</v>
      </c>
    </row>
    <row r="1004">
      <c r="A1004" s="2">
        <f>IFERROR(__xludf.DUMMYFUNCTION("""COMPUTED_VALUE"""),42395.64583333333)</f>
        <v>42395.64583</v>
      </c>
      <c r="B1004" s="1">
        <f>IFERROR(__xludf.DUMMYFUNCTION("""COMPUTED_VALUE"""),5040.0)</f>
        <v>5040</v>
      </c>
      <c r="C1004" s="1">
        <f>IFERROR(__xludf.DUMMYFUNCTION("""COMPUTED_VALUE"""),5040.0)</f>
        <v>5040</v>
      </c>
      <c r="D1004" s="1">
        <f>IFERROR(__xludf.DUMMYFUNCTION("""COMPUTED_VALUE"""),4965.0)</f>
        <v>4965</v>
      </c>
      <c r="E1004" s="1">
        <f>IFERROR(__xludf.DUMMYFUNCTION("""COMPUTED_VALUE"""),4970.0)</f>
        <v>4970</v>
      </c>
      <c r="F1004" s="1">
        <f>IFERROR(__xludf.DUMMYFUNCTION("""COMPUTED_VALUE"""),6087.0)</f>
        <v>6087</v>
      </c>
    </row>
    <row r="1005">
      <c r="A1005" s="2">
        <f>IFERROR(__xludf.DUMMYFUNCTION("""COMPUTED_VALUE"""),42396.64583333333)</f>
        <v>42396.64583</v>
      </c>
      <c r="B1005" s="1">
        <f>IFERROR(__xludf.DUMMYFUNCTION("""COMPUTED_VALUE"""),4980.0)</f>
        <v>4980</v>
      </c>
      <c r="C1005" s="1">
        <f>IFERROR(__xludf.DUMMYFUNCTION("""COMPUTED_VALUE"""),5070.0)</f>
        <v>5070</v>
      </c>
      <c r="D1005" s="1">
        <f>IFERROR(__xludf.DUMMYFUNCTION("""COMPUTED_VALUE"""),4965.0)</f>
        <v>4965</v>
      </c>
      <c r="E1005" s="1">
        <f>IFERROR(__xludf.DUMMYFUNCTION("""COMPUTED_VALUE"""),4990.0)</f>
        <v>4990</v>
      </c>
      <c r="F1005" s="1">
        <f>IFERROR(__xludf.DUMMYFUNCTION("""COMPUTED_VALUE"""),2213.0)</f>
        <v>2213</v>
      </c>
    </row>
    <row r="1006">
      <c r="A1006" s="2">
        <f>IFERROR(__xludf.DUMMYFUNCTION("""COMPUTED_VALUE"""),42397.64583333333)</f>
        <v>42397.64583</v>
      </c>
      <c r="B1006" s="1">
        <f>IFERROR(__xludf.DUMMYFUNCTION("""COMPUTED_VALUE"""),5000.0)</f>
        <v>5000</v>
      </c>
      <c r="C1006" s="1">
        <f>IFERROR(__xludf.DUMMYFUNCTION("""COMPUTED_VALUE"""),5000.0)</f>
        <v>5000</v>
      </c>
      <c r="D1006" s="1">
        <f>IFERROR(__xludf.DUMMYFUNCTION("""COMPUTED_VALUE"""),4830.0)</f>
        <v>4830</v>
      </c>
      <c r="E1006" s="1">
        <f>IFERROR(__xludf.DUMMYFUNCTION("""COMPUTED_VALUE"""),4990.0)</f>
        <v>4990</v>
      </c>
      <c r="F1006" s="1">
        <f>IFERROR(__xludf.DUMMYFUNCTION("""COMPUTED_VALUE"""),6173.0)</f>
        <v>6173</v>
      </c>
    </row>
    <row r="1007">
      <c r="A1007" s="2">
        <f>IFERROR(__xludf.DUMMYFUNCTION("""COMPUTED_VALUE"""),42398.64583333333)</f>
        <v>42398.64583</v>
      </c>
      <c r="B1007" s="1">
        <f>IFERROR(__xludf.DUMMYFUNCTION("""COMPUTED_VALUE"""),5060.0)</f>
        <v>5060</v>
      </c>
      <c r="C1007" s="1">
        <f>IFERROR(__xludf.DUMMYFUNCTION("""COMPUTED_VALUE"""),5060.0)</f>
        <v>5060</v>
      </c>
      <c r="D1007" s="1">
        <f>IFERROR(__xludf.DUMMYFUNCTION("""COMPUTED_VALUE"""),4955.0)</f>
        <v>4955</v>
      </c>
      <c r="E1007" s="1">
        <f>IFERROR(__xludf.DUMMYFUNCTION("""COMPUTED_VALUE"""),4965.0)</f>
        <v>4965</v>
      </c>
      <c r="F1007" s="1">
        <f>IFERROR(__xludf.DUMMYFUNCTION("""COMPUTED_VALUE"""),1112.0)</f>
        <v>1112</v>
      </c>
    </row>
    <row r="1008">
      <c r="A1008" s="2">
        <f>IFERROR(__xludf.DUMMYFUNCTION("""COMPUTED_VALUE"""),42401.64583333333)</f>
        <v>42401.64583</v>
      </c>
      <c r="B1008" s="1">
        <f>IFERROR(__xludf.DUMMYFUNCTION("""COMPUTED_VALUE"""),5070.0)</f>
        <v>5070</v>
      </c>
      <c r="C1008" s="1">
        <f>IFERROR(__xludf.DUMMYFUNCTION("""COMPUTED_VALUE"""),5070.0)</f>
        <v>5070</v>
      </c>
      <c r="D1008" s="1">
        <f>IFERROR(__xludf.DUMMYFUNCTION("""COMPUTED_VALUE"""),4965.0)</f>
        <v>4965</v>
      </c>
      <c r="E1008" s="1">
        <f>IFERROR(__xludf.DUMMYFUNCTION("""COMPUTED_VALUE"""),4970.0)</f>
        <v>4970</v>
      </c>
      <c r="F1008" s="1">
        <f>IFERROR(__xludf.DUMMYFUNCTION("""COMPUTED_VALUE"""),2253.0)</f>
        <v>2253</v>
      </c>
    </row>
    <row r="1009">
      <c r="A1009" s="2">
        <f>IFERROR(__xludf.DUMMYFUNCTION("""COMPUTED_VALUE"""),42402.64583333333)</f>
        <v>42402.64583</v>
      </c>
      <c r="B1009" s="1">
        <f>IFERROR(__xludf.DUMMYFUNCTION("""COMPUTED_VALUE"""),4950.0)</f>
        <v>4950</v>
      </c>
      <c r="C1009" s="1">
        <f>IFERROR(__xludf.DUMMYFUNCTION("""COMPUTED_VALUE"""),5050.0)</f>
        <v>5050</v>
      </c>
      <c r="D1009" s="1">
        <f>IFERROR(__xludf.DUMMYFUNCTION("""COMPUTED_VALUE"""),4950.0)</f>
        <v>4950</v>
      </c>
      <c r="E1009" s="1">
        <f>IFERROR(__xludf.DUMMYFUNCTION("""COMPUTED_VALUE"""),4990.0)</f>
        <v>4990</v>
      </c>
      <c r="F1009" s="1">
        <f>IFERROR(__xludf.DUMMYFUNCTION("""COMPUTED_VALUE"""),4129.0)</f>
        <v>4129</v>
      </c>
    </row>
    <row r="1010">
      <c r="A1010" s="2">
        <f>IFERROR(__xludf.DUMMYFUNCTION("""COMPUTED_VALUE"""),42403.64583333333)</f>
        <v>42403.64583</v>
      </c>
      <c r="B1010" s="1">
        <f>IFERROR(__xludf.DUMMYFUNCTION("""COMPUTED_VALUE"""),5000.0)</f>
        <v>5000</v>
      </c>
      <c r="C1010" s="1">
        <f>IFERROR(__xludf.DUMMYFUNCTION("""COMPUTED_VALUE"""),5090.0)</f>
        <v>5090</v>
      </c>
      <c r="D1010" s="1">
        <f>IFERROR(__xludf.DUMMYFUNCTION("""COMPUTED_VALUE"""),4910.0)</f>
        <v>4910</v>
      </c>
      <c r="E1010" s="1">
        <f>IFERROR(__xludf.DUMMYFUNCTION("""COMPUTED_VALUE"""),5090.0)</f>
        <v>5090</v>
      </c>
      <c r="F1010" s="1">
        <f>IFERROR(__xludf.DUMMYFUNCTION("""COMPUTED_VALUE"""),45830.0)</f>
        <v>45830</v>
      </c>
    </row>
    <row r="1011">
      <c r="A1011" s="2">
        <f>IFERROR(__xludf.DUMMYFUNCTION("""COMPUTED_VALUE"""),42404.64583333333)</f>
        <v>42404.64583</v>
      </c>
      <c r="B1011" s="1">
        <f>IFERROR(__xludf.DUMMYFUNCTION("""COMPUTED_VALUE"""),5560.0)</f>
        <v>5560</v>
      </c>
      <c r="C1011" s="1">
        <f>IFERROR(__xludf.DUMMYFUNCTION("""COMPUTED_VALUE"""),5850.0)</f>
        <v>5850</v>
      </c>
      <c r="D1011" s="1">
        <f>IFERROR(__xludf.DUMMYFUNCTION("""COMPUTED_VALUE"""),5100.0)</f>
        <v>5100</v>
      </c>
      <c r="E1011" s="1">
        <f>IFERROR(__xludf.DUMMYFUNCTION("""COMPUTED_VALUE"""),5100.0)</f>
        <v>5100</v>
      </c>
      <c r="F1011" s="1">
        <f>IFERROR(__xludf.DUMMYFUNCTION("""COMPUTED_VALUE"""),230125.0)</f>
        <v>230125</v>
      </c>
    </row>
    <row r="1012">
      <c r="A1012" s="2">
        <f>IFERROR(__xludf.DUMMYFUNCTION("""COMPUTED_VALUE"""),42405.64583333333)</f>
        <v>42405.64583</v>
      </c>
      <c r="B1012" s="1">
        <f>IFERROR(__xludf.DUMMYFUNCTION("""COMPUTED_VALUE"""),5070.0)</f>
        <v>5070</v>
      </c>
      <c r="C1012" s="1">
        <f>IFERROR(__xludf.DUMMYFUNCTION("""COMPUTED_VALUE"""),5180.0)</f>
        <v>5180</v>
      </c>
      <c r="D1012" s="1">
        <f>IFERROR(__xludf.DUMMYFUNCTION("""COMPUTED_VALUE"""),5040.0)</f>
        <v>5040</v>
      </c>
      <c r="E1012" s="1">
        <f>IFERROR(__xludf.DUMMYFUNCTION("""COMPUTED_VALUE"""),5050.0)</f>
        <v>5050</v>
      </c>
      <c r="F1012" s="1">
        <f>IFERROR(__xludf.DUMMYFUNCTION("""COMPUTED_VALUE"""),10598.0)</f>
        <v>10598</v>
      </c>
    </row>
    <row r="1013">
      <c r="A1013" s="2">
        <f>IFERROR(__xludf.DUMMYFUNCTION("""COMPUTED_VALUE"""),42411.64583333333)</f>
        <v>42411.64583</v>
      </c>
      <c r="B1013" s="1">
        <f>IFERROR(__xludf.DUMMYFUNCTION("""COMPUTED_VALUE"""),5000.0)</f>
        <v>5000</v>
      </c>
      <c r="C1013" s="1">
        <f>IFERROR(__xludf.DUMMYFUNCTION("""COMPUTED_VALUE"""),5050.0)</f>
        <v>5050</v>
      </c>
      <c r="D1013" s="1">
        <f>IFERROR(__xludf.DUMMYFUNCTION("""COMPUTED_VALUE"""),4840.0)</f>
        <v>4840</v>
      </c>
      <c r="E1013" s="1">
        <f>IFERROR(__xludf.DUMMYFUNCTION("""COMPUTED_VALUE"""),4895.0)</f>
        <v>4895</v>
      </c>
      <c r="F1013" s="1">
        <f>IFERROR(__xludf.DUMMYFUNCTION("""COMPUTED_VALUE"""),26723.0)</f>
        <v>26723</v>
      </c>
    </row>
    <row r="1014">
      <c r="A1014" s="2">
        <f>IFERROR(__xludf.DUMMYFUNCTION("""COMPUTED_VALUE"""),42412.64583333333)</f>
        <v>42412.64583</v>
      </c>
      <c r="B1014" s="1">
        <f>IFERROR(__xludf.DUMMYFUNCTION("""COMPUTED_VALUE"""),4895.0)</f>
        <v>4895</v>
      </c>
      <c r="C1014" s="1">
        <f>IFERROR(__xludf.DUMMYFUNCTION("""COMPUTED_VALUE"""),4900.0)</f>
        <v>4900</v>
      </c>
      <c r="D1014" s="1">
        <f>IFERROR(__xludf.DUMMYFUNCTION("""COMPUTED_VALUE"""),4750.0)</f>
        <v>4750</v>
      </c>
      <c r="E1014" s="1">
        <f>IFERROR(__xludf.DUMMYFUNCTION("""COMPUTED_VALUE"""),4880.0)</f>
        <v>4880</v>
      </c>
      <c r="F1014" s="1">
        <f>IFERROR(__xludf.DUMMYFUNCTION("""COMPUTED_VALUE"""),23470.0)</f>
        <v>23470</v>
      </c>
    </row>
    <row r="1015">
      <c r="A1015" s="2">
        <f>IFERROR(__xludf.DUMMYFUNCTION("""COMPUTED_VALUE"""),42415.64583333333)</f>
        <v>42415.64583</v>
      </c>
      <c r="B1015" s="1">
        <f>IFERROR(__xludf.DUMMYFUNCTION("""COMPUTED_VALUE"""),4955.0)</f>
        <v>4955</v>
      </c>
      <c r="C1015" s="1">
        <f>IFERROR(__xludf.DUMMYFUNCTION("""COMPUTED_VALUE"""),5090.0)</f>
        <v>5090</v>
      </c>
      <c r="D1015" s="1">
        <f>IFERROR(__xludf.DUMMYFUNCTION("""COMPUTED_VALUE"""),4870.0)</f>
        <v>4870</v>
      </c>
      <c r="E1015" s="1">
        <f>IFERROR(__xludf.DUMMYFUNCTION("""COMPUTED_VALUE"""),4910.0)</f>
        <v>4910</v>
      </c>
      <c r="F1015" s="1">
        <f>IFERROR(__xludf.DUMMYFUNCTION("""COMPUTED_VALUE"""),9901.0)</f>
        <v>9901</v>
      </c>
    </row>
    <row r="1016">
      <c r="A1016" s="2">
        <f>IFERROR(__xludf.DUMMYFUNCTION("""COMPUTED_VALUE"""),42416.64583333333)</f>
        <v>42416.64583</v>
      </c>
      <c r="B1016" s="1">
        <f>IFERROR(__xludf.DUMMYFUNCTION("""COMPUTED_VALUE"""),5020.0)</f>
        <v>5020</v>
      </c>
      <c r="C1016" s="1">
        <f>IFERROR(__xludf.DUMMYFUNCTION("""COMPUTED_VALUE"""),5020.0)</f>
        <v>5020</v>
      </c>
      <c r="D1016" s="1">
        <f>IFERROR(__xludf.DUMMYFUNCTION("""COMPUTED_VALUE"""),4880.0)</f>
        <v>4880</v>
      </c>
      <c r="E1016" s="1">
        <f>IFERROR(__xludf.DUMMYFUNCTION("""COMPUTED_VALUE"""),5020.0)</f>
        <v>5020</v>
      </c>
      <c r="F1016" s="1">
        <f>IFERROR(__xludf.DUMMYFUNCTION("""COMPUTED_VALUE"""),3408.0)</f>
        <v>3408</v>
      </c>
    </row>
    <row r="1017">
      <c r="A1017" s="2">
        <f>IFERROR(__xludf.DUMMYFUNCTION("""COMPUTED_VALUE"""),42417.64583333333)</f>
        <v>42417.64583</v>
      </c>
      <c r="B1017" s="1">
        <f>IFERROR(__xludf.DUMMYFUNCTION("""COMPUTED_VALUE"""),5040.0)</f>
        <v>5040</v>
      </c>
      <c r="C1017" s="1">
        <f>IFERROR(__xludf.DUMMYFUNCTION("""COMPUTED_VALUE"""),5050.0)</f>
        <v>5050</v>
      </c>
      <c r="D1017" s="1">
        <f>IFERROR(__xludf.DUMMYFUNCTION("""COMPUTED_VALUE"""),4850.0)</f>
        <v>4850</v>
      </c>
      <c r="E1017" s="1">
        <f>IFERROR(__xludf.DUMMYFUNCTION("""COMPUTED_VALUE"""),4920.0)</f>
        <v>4920</v>
      </c>
      <c r="F1017" s="1">
        <f>IFERROR(__xludf.DUMMYFUNCTION("""COMPUTED_VALUE"""),8695.0)</f>
        <v>8695</v>
      </c>
    </row>
    <row r="1018">
      <c r="A1018" s="2">
        <f>IFERROR(__xludf.DUMMYFUNCTION("""COMPUTED_VALUE"""),42418.64583333333)</f>
        <v>42418.64583</v>
      </c>
      <c r="B1018" s="1">
        <f>IFERROR(__xludf.DUMMYFUNCTION("""COMPUTED_VALUE"""),5000.0)</f>
        <v>5000</v>
      </c>
      <c r="C1018" s="1">
        <f>IFERROR(__xludf.DUMMYFUNCTION("""COMPUTED_VALUE"""),5020.0)</f>
        <v>5020</v>
      </c>
      <c r="D1018" s="1">
        <f>IFERROR(__xludf.DUMMYFUNCTION("""COMPUTED_VALUE"""),4950.0)</f>
        <v>4950</v>
      </c>
      <c r="E1018" s="1">
        <f>IFERROR(__xludf.DUMMYFUNCTION("""COMPUTED_VALUE"""),5020.0)</f>
        <v>5020</v>
      </c>
      <c r="F1018" s="1">
        <f>IFERROR(__xludf.DUMMYFUNCTION("""COMPUTED_VALUE"""),3264.0)</f>
        <v>3264</v>
      </c>
    </row>
    <row r="1019">
      <c r="A1019" s="2">
        <f>IFERROR(__xludf.DUMMYFUNCTION("""COMPUTED_VALUE"""),42419.64583333333)</f>
        <v>42419.64583</v>
      </c>
      <c r="B1019" s="1">
        <f>IFERROR(__xludf.DUMMYFUNCTION("""COMPUTED_VALUE"""),5060.0)</f>
        <v>5060</v>
      </c>
      <c r="C1019" s="1">
        <f>IFERROR(__xludf.DUMMYFUNCTION("""COMPUTED_VALUE"""),5060.0)</f>
        <v>5060</v>
      </c>
      <c r="D1019" s="1">
        <f>IFERROR(__xludf.DUMMYFUNCTION("""COMPUTED_VALUE"""),4905.0)</f>
        <v>4905</v>
      </c>
      <c r="E1019" s="1">
        <f>IFERROR(__xludf.DUMMYFUNCTION("""COMPUTED_VALUE"""),4955.0)</f>
        <v>4955</v>
      </c>
      <c r="F1019" s="1">
        <f>IFERROR(__xludf.DUMMYFUNCTION("""COMPUTED_VALUE"""),8738.0)</f>
        <v>8738</v>
      </c>
    </row>
    <row r="1020">
      <c r="A1020" s="2">
        <f>IFERROR(__xludf.DUMMYFUNCTION("""COMPUTED_VALUE"""),42422.64583333333)</f>
        <v>42422.64583</v>
      </c>
      <c r="B1020" s="1">
        <f>IFERROR(__xludf.DUMMYFUNCTION("""COMPUTED_VALUE"""),5000.0)</f>
        <v>5000</v>
      </c>
      <c r="C1020" s="1">
        <f>IFERROR(__xludf.DUMMYFUNCTION("""COMPUTED_VALUE"""),5000.0)</f>
        <v>5000</v>
      </c>
      <c r="D1020" s="1">
        <f>IFERROR(__xludf.DUMMYFUNCTION("""COMPUTED_VALUE"""),4955.0)</f>
        <v>4955</v>
      </c>
      <c r="E1020" s="1">
        <f>IFERROR(__xludf.DUMMYFUNCTION("""COMPUTED_VALUE"""),4995.0)</f>
        <v>4995</v>
      </c>
      <c r="F1020" s="1">
        <f>IFERROR(__xludf.DUMMYFUNCTION("""COMPUTED_VALUE"""),2658.0)</f>
        <v>2658</v>
      </c>
    </row>
    <row r="1021">
      <c r="A1021" s="2">
        <f>IFERROR(__xludf.DUMMYFUNCTION("""COMPUTED_VALUE"""),42423.64583333333)</f>
        <v>42423.64583</v>
      </c>
      <c r="B1021" s="1">
        <f>IFERROR(__xludf.DUMMYFUNCTION("""COMPUTED_VALUE"""),5000.0)</f>
        <v>5000</v>
      </c>
      <c r="C1021" s="1">
        <f>IFERROR(__xludf.DUMMYFUNCTION("""COMPUTED_VALUE"""),5020.0)</f>
        <v>5020</v>
      </c>
      <c r="D1021" s="1">
        <f>IFERROR(__xludf.DUMMYFUNCTION("""COMPUTED_VALUE"""),4955.0)</f>
        <v>4955</v>
      </c>
      <c r="E1021" s="1">
        <f>IFERROR(__xludf.DUMMYFUNCTION("""COMPUTED_VALUE"""),4990.0)</f>
        <v>4990</v>
      </c>
      <c r="F1021" s="1">
        <f>IFERROR(__xludf.DUMMYFUNCTION("""COMPUTED_VALUE"""),6693.0)</f>
        <v>6693</v>
      </c>
    </row>
    <row r="1022">
      <c r="A1022" s="2">
        <f>IFERROR(__xludf.DUMMYFUNCTION("""COMPUTED_VALUE"""),42424.64583333333)</f>
        <v>42424.64583</v>
      </c>
      <c r="B1022" s="1">
        <f>IFERROR(__xludf.DUMMYFUNCTION("""COMPUTED_VALUE"""),5030.0)</f>
        <v>5030</v>
      </c>
      <c r="C1022" s="1">
        <f>IFERROR(__xludf.DUMMYFUNCTION("""COMPUTED_VALUE"""),5030.0)</f>
        <v>5030</v>
      </c>
      <c r="D1022" s="1">
        <f>IFERROR(__xludf.DUMMYFUNCTION("""COMPUTED_VALUE"""),4960.0)</f>
        <v>4960</v>
      </c>
      <c r="E1022" s="1">
        <f>IFERROR(__xludf.DUMMYFUNCTION("""COMPUTED_VALUE"""),5010.0)</f>
        <v>5010</v>
      </c>
      <c r="F1022" s="1">
        <f>IFERROR(__xludf.DUMMYFUNCTION("""COMPUTED_VALUE"""),7272.0)</f>
        <v>7272</v>
      </c>
    </row>
    <row r="1023">
      <c r="A1023" s="2">
        <f>IFERROR(__xludf.DUMMYFUNCTION("""COMPUTED_VALUE"""),42425.64583333333)</f>
        <v>42425.64583</v>
      </c>
      <c r="B1023" s="1">
        <f>IFERROR(__xludf.DUMMYFUNCTION("""COMPUTED_VALUE"""),4975.0)</f>
        <v>4975</v>
      </c>
      <c r="C1023" s="1">
        <f>IFERROR(__xludf.DUMMYFUNCTION("""COMPUTED_VALUE"""),5020.0)</f>
        <v>5020</v>
      </c>
      <c r="D1023" s="1">
        <f>IFERROR(__xludf.DUMMYFUNCTION("""COMPUTED_VALUE"""),4970.0)</f>
        <v>4970</v>
      </c>
      <c r="E1023" s="1">
        <f>IFERROR(__xludf.DUMMYFUNCTION("""COMPUTED_VALUE"""),5010.0)</f>
        <v>5010</v>
      </c>
      <c r="F1023" s="1">
        <f>IFERROR(__xludf.DUMMYFUNCTION("""COMPUTED_VALUE"""),2470.0)</f>
        <v>2470</v>
      </c>
    </row>
    <row r="1024">
      <c r="A1024" s="2">
        <f>IFERROR(__xludf.DUMMYFUNCTION("""COMPUTED_VALUE"""),42426.64583333333)</f>
        <v>42426.64583</v>
      </c>
      <c r="B1024" s="1">
        <f>IFERROR(__xludf.DUMMYFUNCTION("""COMPUTED_VALUE"""),5030.0)</f>
        <v>5030</v>
      </c>
      <c r="C1024" s="1">
        <f>IFERROR(__xludf.DUMMYFUNCTION("""COMPUTED_VALUE"""),5090.0)</f>
        <v>5090</v>
      </c>
      <c r="D1024" s="1">
        <f>IFERROR(__xludf.DUMMYFUNCTION("""COMPUTED_VALUE"""),5010.0)</f>
        <v>5010</v>
      </c>
      <c r="E1024" s="1">
        <f>IFERROR(__xludf.DUMMYFUNCTION("""COMPUTED_VALUE"""),5050.0)</f>
        <v>5050</v>
      </c>
      <c r="F1024" s="1">
        <f>IFERROR(__xludf.DUMMYFUNCTION("""COMPUTED_VALUE"""),11663.0)</f>
        <v>11663</v>
      </c>
    </row>
    <row r="1025">
      <c r="A1025" s="2">
        <f>IFERROR(__xludf.DUMMYFUNCTION("""COMPUTED_VALUE"""),42429.64583333333)</f>
        <v>42429.64583</v>
      </c>
      <c r="B1025" s="1">
        <f>IFERROR(__xludf.DUMMYFUNCTION("""COMPUTED_VALUE"""),5050.0)</f>
        <v>5050</v>
      </c>
      <c r="C1025" s="1">
        <f>IFERROR(__xludf.DUMMYFUNCTION("""COMPUTED_VALUE"""),5090.0)</f>
        <v>5090</v>
      </c>
      <c r="D1025" s="1">
        <f>IFERROR(__xludf.DUMMYFUNCTION("""COMPUTED_VALUE"""),4960.0)</f>
        <v>4960</v>
      </c>
      <c r="E1025" s="1">
        <f>IFERROR(__xludf.DUMMYFUNCTION("""COMPUTED_VALUE"""),5050.0)</f>
        <v>5050</v>
      </c>
      <c r="F1025" s="1">
        <f>IFERROR(__xludf.DUMMYFUNCTION("""COMPUTED_VALUE"""),20073.0)</f>
        <v>20073</v>
      </c>
    </row>
    <row r="1026">
      <c r="A1026" s="2">
        <f>IFERROR(__xludf.DUMMYFUNCTION("""COMPUTED_VALUE"""),42431.64583333333)</f>
        <v>42431.64583</v>
      </c>
      <c r="B1026" s="1">
        <f>IFERROR(__xludf.DUMMYFUNCTION("""COMPUTED_VALUE"""),5050.0)</f>
        <v>5050</v>
      </c>
      <c r="C1026" s="1">
        <f>IFERROR(__xludf.DUMMYFUNCTION("""COMPUTED_VALUE"""),5130.0)</f>
        <v>5130</v>
      </c>
      <c r="D1026" s="1">
        <f>IFERROR(__xludf.DUMMYFUNCTION("""COMPUTED_VALUE"""),5000.0)</f>
        <v>5000</v>
      </c>
      <c r="E1026" s="1">
        <f>IFERROR(__xludf.DUMMYFUNCTION("""COMPUTED_VALUE"""),5130.0)</f>
        <v>5130</v>
      </c>
      <c r="F1026" s="1">
        <f>IFERROR(__xludf.DUMMYFUNCTION("""COMPUTED_VALUE"""),17128.0)</f>
        <v>17128</v>
      </c>
    </row>
    <row r="1027">
      <c r="A1027" s="2">
        <f>IFERROR(__xludf.DUMMYFUNCTION("""COMPUTED_VALUE"""),42432.64583333333)</f>
        <v>42432.64583</v>
      </c>
      <c r="B1027" s="1">
        <f>IFERROR(__xludf.DUMMYFUNCTION("""COMPUTED_VALUE"""),5140.0)</f>
        <v>5140</v>
      </c>
      <c r="C1027" s="1">
        <f>IFERROR(__xludf.DUMMYFUNCTION("""COMPUTED_VALUE"""),5140.0)</f>
        <v>5140</v>
      </c>
      <c r="D1027" s="1">
        <f>IFERROR(__xludf.DUMMYFUNCTION("""COMPUTED_VALUE"""),5050.0)</f>
        <v>5050</v>
      </c>
      <c r="E1027" s="1">
        <f>IFERROR(__xludf.DUMMYFUNCTION("""COMPUTED_VALUE"""),5100.0)</f>
        <v>5100</v>
      </c>
      <c r="F1027" s="1">
        <f>IFERROR(__xludf.DUMMYFUNCTION("""COMPUTED_VALUE"""),4396.0)</f>
        <v>4396</v>
      </c>
    </row>
    <row r="1028">
      <c r="A1028" s="2">
        <f>IFERROR(__xludf.DUMMYFUNCTION("""COMPUTED_VALUE"""),42433.64583333333)</f>
        <v>42433.64583</v>
      </c>
      <c r="B1028" s="1">
        <f>IFERROR(__xludf.DUMMYFUNCTION("""COMPUTED_VALUE"""),5090.0)</f>
        <v>5090</v>
      </c>
      <c r="C1028" s="1">
        <f>IFERROR(__xludf.DUMMYFUNCTION("""COMPUTED_VALUE"""),5110.0)</f>
        <v>5110</v>
      </c>
      <c r="D1028" s="1">
        <f>IFERROR(__xludf.DUMMYFUNCTION("""COMPUTED_VALUE"""),5040.0)</f>
        <v>5040</v>
      </c>
      <c r="E1028" s="1">
        <f>IFERROR(__xludf.DUMMYFUNCTION("""COMPUTED_VALUE"""),5090.0)</f>
        <v>5090</v>
      </c>
      <c r="F1028" s="1">
        <f>IFERROR(__xludf.DUMMYFUNCTION("""COMPUTED_VALUE"""),5887.0)</f>
        <v>5887</v>
      </c>
    </row>
    <row r="1029">
      <c r="A1029" s="2">
        <f>IFERROR(__xludf.DUMMYFUNCTION("""COMPUTED_VALUE"""),42436.64583333333)</f>
        <v>42436.64583</v>
      </c>
      <c r="B1029" s="1">
        <f>IFERROR(__xludf.DUMMYFUNCTION("""COMPUTED_VALUE"""),5090.0)</f>
        <v>5090</v>
      </c>
      <c r="C1029" s="1">
        <f>IFERROR(__xludf.DUMMYFUNCTION("""COMPUTED_VALUE"""),5130.0)</f>
        <v>5130</v>
      </c>
      <c r="D1029" s="1">
        <f>IFERROR(__xludf.DUMMYFUNCTION("""COMPUTED_VALUE"""),5040.0)</f>
        <v>5040</v>
      </c>
      <c r="E1029" s="1">
        <f>IFERROR(__xludf.DUMMYFUNCTION("""COMPUTED_VALUE"""),5050.0)</f>
        <v>5050</v>
      </c>
      <c r="F1029" s="1">
        <f>IFERROR(__xludf.DUMMYFUNCTION("""COMPUTED_VALUE"""),7141.0)</f>
        <v>7141</v>
      </c>
    </row>
    <row r="1030">
      <c r="A1030" s="2">
        <f>IFERROR(__xludf.DUMMYFUNCTION("""COMPUTED_VALUE"""),42437.64583333333)</f>
        <v>42437.64583</v>
      </c>
      <c r="B1030" s="1">
        <f>IFERROR(__xludf.DUMMYFUNCTION("""COMPUTED_VALUE"""),5030.0)</f>
        <v>5030</v>
      </c>
      <c r="C1030" s="1">
        <f>IFERROR(__xludf.DUMMYFUNCTION("""COMPUTED_VALUE"""),5090.0)</f>
        <v>5090</v>
      </c>
      <c r="D1030" s="1">
        <f>IFERROR(__xludf.DUMMYFUNCTION("""COMPUTED_VALUE"""),5030.0)</f>
        <v>5030</v>
      </c>
      <c r="E1030" s="1">
        <f>IFERROR(__xludf.DUMMYFUNCTION("""COMPUTED_VALUE"""),5080.0)</f>
        <v>5080</v>
      </c>
      <c r="F1030" s="1">
        <f>IFERROR(__xludf.DUMMYFUNCTION("""COMPUTED_VALUE"""),7491.0)</f>
        <v>7491</v>
      </c>
    </row>
    <row r="1031">
      <c r="A1031" s="2">
        <f>IFERROR(__xludf.DUMMYFUNCTION("""COMPUTED_VALUE"""),42438.64583333333)</f>
        <v>42438.64583</v>
      </c>
      <c r="B1031" s="1">
        <f>IFERROR(__xludf.DUMMYFUNCTION("""COMPUTED_VALUE"""),5080.0)</f>
        <v>5080</v>
      </c>
      <c r="C1031" s="1">
        <f>IFERROR(__xludf.DUMMYFUNCTION("""COMPUTED_VALUE"""),5090.0)</f>
        <v>5090</v>
      </c>
      <c r="D1031" s="1">
        <f>IFERROR(__xludf.DUMMYFUNCTION("""COMPUTED_VALUE"""),5030.0)</f>
        <v>5030</v>
      </c>
      <c r="E1031" s="1">
        <f>IFERROR(__xludf.DUMMYFUNCTION("""COMPUTED_VALUE"""),5080.0)</f>
        <v>5080</v>
      </c>
      <c r="F1031" s="1">
        <f>IFERROR(__xludf.DUMMYFUNCTION("""COMPUTED_VALUE"""),6702.0)</f>
        <v>6702</v>
      </c>
    </row>
    <row r="1032">
      <c r="A1032" s="2">
        <f>IFERROR(__xludf.DUMMYFUNCTION("""COMPUTED_VALUE"""),42439.64583333333)</f>
        <v>42439.64583</v>
      </c>
      <c r="B1032" s="1">
        <f>IFERROR(__xludf.DUMMYFUNCTION("""COMPUTED_VALUE"""),5030.0)</f>
        <v>5030</v>
      </c>
      <c r="C1032" s="1">
        <f>IFERROR(__xludf.DUMMYFUNCTION("""COMPUTED_VALUE"""),5080.0)</f>
        <v>5080</v>
      </c>
      <c r="D1032" s="1">
        <f>IFERROR(__xludf.DUMMYFUNCTION("""COMPUTED_VALUE"""),5030.0)</f>
        <v>5030</v>
      </c>
      <c r="E1032" s="1">
        <f>IFERROR(__xludf.DUMMYFUNCTION("""COMPUTED_VALUE"""),5060.0)</f>
        <v>5060</v>
      </c>
      <c r="F1032" s="1">
        <f>IFERROR(__xludf.DUMMYFUNCTION("""COMPUTED_VALUE"""),5969.0)</f>
        <v>5969</v>
      </c>
    </row>
    <row r="1033">
      <c r="A1033" s="2">
        <f>IFERROR(__xludf.DUMMYFUNCTION("""COMPUTED_VALUE"""),42440.64583333333)</f>
        <v>42440.64583</v>
      </c>
      <c r="B1033" s="1">
        <f>IFERROR(__xludf.DUMMYFUNCTION("""COMPUTED_VALUE"""),5080.0)</f>
        <v>5080</v>
      </c>
      <c r="C1033" s="1">
        <f>IFERROR(__xludf.DUMMYFUNCTION("""COMPUTED_VALUE"""),5120.0)</f>
        <v>5120</v>
      </c>
      <c r="D1033" s="1">
        <f>IFERROR(__xludf.DUMMYFUNCTION("""COMPUTED_VALUE"""),5030.0)</f>
        <v>5030</v>
      </c>
      <c r="E1033" s="1">
        <f>IFERROR(__xludf.DUMMYFUNCTION("""COMPUTED_VALUE"""),5060.0)</f>
        <v>5060</v>
      </c>
      <c r="F1033" s="1">
        <f>IFERROR(__xludf.DUMMYFUNCTION("""COMPUTED_VALUE"""),5307.0)</f>
        <v>5307</v>
      </c>
    </row>
    <row r="1034">
      <c r="A1034" s="2">
        <f>IFERROR(__xludf.DUMMYFUNCTION("""COMPUTED_VALUE"""),42443.64583333333)</f>
        <v>42443.64583</v>
      </c>
      <c r="B1034" s="1">
        <f>IFERROR(__xludf.DUMMYFUNCTION("""COMPUTED_VALUE"""),5060.0)</f>
        <v>5060</v>
      </c>
      <c r="C1034" s="1">
        <f>IFERROR(__xludf.DUMMYFUNCTION("""COMPUTED_VALUE"""),5090.0)</f>
        <v>5090</v>
      </c>
      <c r="D1034" s="1">
        <f>IFERROR(__xludf.DUMMYFUNCTION("""COMPUTED_VALUE"""),5030.0)</f>
        <v>5030</v>
      </c>
      <c r="E1034" s="1">
        <f>IFERROR(__xludf.DUMMYFUNCTION("""COMPUTED_VALUE"""),5070.0)</f>
        <v>5070</v>
      </c>
      <c r="F1034" s="1">
        <f>IFERROR(__xludf.DUMMYFUNCTION("""COMPUTED_VALUE"""),6778.0)</f>
        <v>6778</v>
      </c>
    </row>
    <row r="1035">
      <c r="A1035" s="2">
        <f>IFERROR(__xludf.DUMMYFUNCTION("""COMPUTED_VALUE"""),42444.64583333333)</f>
        <v>42444.64583</v>
      </c>
      <c r="B1035" s="1">
        <f>IFERROR(__xludf.DUMMYFUNCTION("""COMPUTED_VALUE"""),5090.0)</f>
        <v>5090</v>
      </c>
      <c r="C1035" s="1">
        <f>IFERROR(__xludf.DUMMYFUNCTION("""COMPUTED_VALUE"""),5090.0)</f>
        <v>5090</v>
      </c>
      <c r="D1035" s="1">
        <f>IFERROR(__xludf.DUMMYFUNCTION("""COMPUTED_VALUE"""),5050.0)</f>
        <v>5050</v>
      </c>
      <c r="E1035" s="1">
        <f>IFERROR(__xludf.DUMMYFUNCTION("""COMPUTED_VALUE"""),5070.0)</f>
        <v>5070</v>
      </c>
      <c r="F1035" s="1">
        <f>IFERROR(__xludf.DUMMYFUNCTION("""COMPUTED_VALUE"""),3356.0)</f>
        <v>3356</v>
      </c>
    </row>
    <row r="1036">
      <c r="A1036" s="2">
        <f>IFERROR(__xludf.DUMMYFUNCTION("""COMPUTED_VALUE"""),42445.64583333333)</f>
        <v>42445.64583</v>
      </c>
      <c r="B1036" s="1">
        <f>IFERROR(__xludf.DUMMYFUNCTION("""COMPUTED_VALUE"""),5120.0)</f>
        <v>5120</v>
      </c>
      <c r="C1036" s="1">
        <f>IFERROR(__xludf.DUMMYFUNCTION("""COMPUTED_VALUE"""),5120.0)</f>
        <v>5120</v>
      </c>
      <c r="D1036" s="1">
        <f>IFERROR(__xludf.DUMMYFUNCTION("""COMPUTED_VALUE"""),5040.0)</f>
        <v>5040</v>
      </c>
      <c r="E1036" s="1">
        <f>IFERROR(__xludf.DUMMYFUNCTION("""COMPUTED_VALUE"""),5050.0)</f>
        <v>5050</v>
      </c>
      <c r="F1036" s="1">
        <f>IFERROR(__xludf.DUMMYFUNCTION("""COMPUTED_VALUE"""),3740.0)</f>
        <v>3740</v>
      </c>
    </row>
    <row r="1037">
      <c r="A1037" s="2">
        <f>IFERROR(__xludf.DUMMYFUNCTION("""COMPUTED_VALUE"""),42446.64583333333)</f>
        <v>42446.64583</v>
      </c>
      <c r="B1037" s="1">
        <f>IFERROR(__xludf.DUMMYFUNCTION("""COMPUTED_VALUE"""),5120.0)</f>
        <v>5120</v>
      </c>
      <c r="C1037" s="1">
        <f>IFERROR(__xludf.DUMMYFUNCTION("""COMPUTED_VALUE"""),5120.0)</f>
        <v>5120</v>
      </c>
      <c r="D1037" s="1">
        <f>IFERROR(__xludf.DUMMYFUNCTION("""COMPUTED_VALUE"""),5060.0)</f>
        <v>5060</v>
      </c>
      <c r="E1037" s="1">
        <f>IFERROR(__xludf.DUMMYFUNCTION("""COMPUTED_VALUE"""),5060.0)</f>
        <v>5060</v>
      </c>
      <c r="F1037" s="1">
        <f>IFERROR(__xludf.DUMMYFUNCTION("""COMPUTED_VALUE"""),9830.0)</f>
        <v>9830</v>
      </c>
    </row>
    <row r="1038">
      <c r="A1038" s="2">
        <f>IFERROR(__xludf.DUMMYFUNCTION("""COMPUTED_VALUE"""),42447.64583333333)</f>
        <v>42447.64583</v>
      </c>
      <c r="B1038" s="1">
        <f>IFERROR(__xludf.DUMMYFUNCTION("""COMPUTED_VALUE"""),5090.0)</f>
        <v>5090</v>
      </c>
      <c r="C1038" s="1">
        <f>IFERROR(__xludf.DUMMYFUNCTION("""COMPUTED_VALUE"""),5100.0)</f>
        <v>5100</v>
      </c>
      <c r="D1038" s="1">
        <f>IFERROR(__xludf.DUMMYFUNCTION("""COMPUTED_VALUE"""),5020.0)</f>
        <v>5020</v>
      </c>
      <c r="E1038" s="1">
        <f>IFERROR(__xludf.DUMMYFUNCTION("""COMPUTED_VALUE"""),5080.0)</f>
        <v>5080</v>
      </c>
      <c r="F1038" s="1">
        <f>IFERROR(__xludf.DUMMYFUNCTION("""COMPUTED_VALUE"""),14983.0)</f>
        <v>14983</v>
      </c>
    </row>
    <row r="1039">
      <c r="A1039" s="2">
        <f>IFERROR(__xludf.DUMMYFUNCTION("""COMPUTED_VALUE"""),42450.64583333333)</f>
        <v>42450.64583</v>
      </c>
      <c r="B1039" s="1">
        <f>IFERROR(__xludf.DUMMYFUNCTION("""COMPUTED_VALUE"""),5090.0)</f>
        <v>5090</v>
      </c>
      <c r="C1039" s="1">
        <f>IFERROR(__xludf.DUMMYFUNCTION("""COMPUTED_VALUE"""),5090.0)</f>
        <v>5090</v>
      </c>
      <c r="D1039" s="1">
        <f>IFERROR(__xludf.DUMMYFUNCTION("""COMPUTED_VALUE"""),5040.0)</f>
        <v>5040</v>
      </c>
      <c r="E1039" s="1">
        <f>IFERROR(__xludf.DUMMYFUNCTION("""COMPUTED_VALUE"""),5070.0)</f>
        <v>5070</v>
      </c>
      <c r="F1039" s="1">
        <f>IFERROR(__xludf.DUMMYFUNCTION("""COMPUTED_VALUE"""),5543.0)</f>
        <v>5543</v>
      </c>
    </row>
    <row r="1040">
      <c r="A1040" s="2">
        <f>IFERROR(__xludf.DUMMYFUNCTION("""COMPUTED_VALUE"""),42451.64583333333)</f>
        <v>42451.64583</v>
      </c>
      <c r="B1040" s="1">
        <f>IFERROR(__xludf.DUMMYFUNCTION("""COMPUTED_VALUE"""),5090.0)</f>
        <v>5090</v>
      </c>
      <c r="C1040" s="1">
        <f>IFERROR(__xludf.DUMMYFUNCTION("""COMPUTED_VALUE"""),5120.0)</f>
        <v>5120</v>
      </c>
      <c r="D1040" s="1">
        <f>IFERROR(__xludf.DUMMYFUNCTION("""COMPUTED_VALUE"""),5070.0)</f>
        <v>5070</v>
      </c>
      <c r="E1040" s="1">
        <f>IFERROR(__xludf.DUMMYFUNCTION("""COMPUTED_VALUE"""),5070.0)</f>
        <v>5070</v>
      </c>
      <c r="F1040" s="1">
        <f>IFERROR(__xludf.DUMMYFUNCTION("""COMPUTED_VALUE"""),9231.0)</f>
        <v>9231</v>
      </c>
    </row>
    <row r="1041">
      <c r="A1041" s="2">
        <f>IFERROR(__xludf.DUMMYFUNCTION("""COMPUTED_VALUE"""),42452.64583333333)</f>
        <v>42452.64583</v>
      </c>
      <c r="B1041" s="1">
        <f>IFERROR(__xludf.DUMMYFUNCTION("""COMPUTED_VALUE"""),5100.0)</f>
        <v>5100</v>
      </c>
      <c r="C1041" s="1">
        <f>IFERROR(__xludf.DUMMYFUNCTION("""COMPUTED_VALUE"""),5110.0)</f>
        <v>5110</v>
      </c>
      <c r="D1041" s="1">
        <f>IFERROR(__xludf.DUMMYFUNCTION("""COMPUTED_VALUE"""),5060.0)</f>
        <v>5060</v>
      </c>
      <c r="E1041" s="1">
        <f>IFERROR(__xludf.DUMMYFUNCTION("""COMPUTED_VALUE"""),5060.0)</f>
        <v>5060</v>
      </c>
      <c r="F1041" s="1">
        <f>IFERROR(__xludf.DUMMYFUNCTION("""COMPUTED_VALUE"""),5090.0)</f>
        <v>5090</v>
      </c>
    </row>
    <row r="1042">
      <c r="A1042" s="2">
        <f>IFERROR(__xludf.DUMMYFUNCTION("""COMPUTED_VALUE"""),42453.64583333333)</f>
        <v>42453.64583</v>
      </c>
      <c r="B1042" s="1">
        <f>IFERROR(__xludf.DUMMYFUNCTION("""COMPUTED_VALUE"""),5110.0)</f>
        <v>5110</v>
      </c>
      <c r="C1042" s="1">
        <f>IFERROR(__xludf.DUMMYFUNCTION("""COMPUTED_VALUE"""),5110.0)</f>
        <v>5110</v>
      </c>
      <c r="D1042" s="1">
        <f>IFERROR(__xludf.DUMMYFUNCTION("""COMPUTED_VALUE"""),5030.0)</f>
        <v>5030</v>
      </c>
      <c r="E1042" s="1">
        <f>IFERROR(__xludf.DUMMYFUNCTION("""COMPUTED_VALUE"""),5030.0)</f>
        <v>5030</v>
      </c>
      <c r="F1042" s="1">
        <f>IFERROR(__xludf.DUMMYFUNCTION("""COMPUTED_VALUE"""),19671.0)</f>
        <v>19671</v>
      </c>
    </row>
    <row r="1043">
      <c r="A1043" s="2">
        <f>IFERROR(__xludf.DUMMYFUNCTION("""COMPUTED_VALUE"""),42454.64583333333)</f>
        <v>42454.64583</v>
      </c>
      <c r="B1043" s="1">
        <f>IFERROR(__xludf.DUMMYFUNCTION("""COMPUTED_VALUE"""),5070.0)</f>
        <v>5070</v>
      </c>
      <c r="C1043" s="1">
        <f>IFERROR(__xludf.DUMMYFUNCTION("""COMPUTED_VALUE"""),5070.0)</f>
        <v>5070</v>
      </c>
      <c r="D1043" s="1">
        <f>IFERROR(__xludf.DUMMYFUNCTION("""COMPUTED_VALUE"""),5030.0)</f>
        <v>5030</v>
      </c>
      <c r="E1043" s="1">
        <f>IFERROR(__xludf.DUMMYFUNCTION("""COMPUTED_VALUE"""),5070.0)</f>
        <v>5070</v>
      </c>
      <c r="F1043" s="1">
        <f>IFERROR(__xludf.DUMMYFUNCTION("""COMPUTED_VALUE"""),4006.0)</f>
        <v>4006</v>
      </c>
    </row>
    <row r="1044">
      <c r="A1044" s="2">
        <f>IFERROR(__xludf.DUMMYFUNCTION("""COMPUTED_VALUE"""),42457.64583333333)</f>
        <v>42457.64583</v>
      </c>
      <c r="B1044" s="1">
        <f>IFERROR(__xludf.DUMMYFUNCTION("""COMPUTED_VALUE"""),5070.0)</f>
        <v>5070</v>
      </c>
      <c r="C1044" s="1">
        <f>IFERROR(__xludf.DUMMYFUNCTION("""COMPUTED_VALUE"""),5080.0)</f>
        <v>5080</v>
      </c>
      <c r="D1044" s="1">
        <f>IFERROR(__xludf.DUMMYFUNCTION("""COMPUTED_VALUE"""),5020.0)</f>
        <v>5020</v>
      </c>
      <c r="E1044" s="1">
        <f>IFERROR(__xludf.DUMMYFUNCTION("""COMPUTED_VALUE"""),5040.0)</f>
        <v>5040</v>
      </c>
      <c r="F1044" s="1">
        <f>IFERROR(__xludf.DUMMYFUNCTION("""COMPUTED_VALUE"""),6806.0)</f>
        <v>6806</v>
      </c>
    </row>
    <row r="1045">
      <c r="A1045" s="2">
        <f>IFERROR(__xludf.DUMMYFUNCTION("""COMPUTED_VALUE"""),42458.64583333333)</f>
        <v>42458.64583</v>
      </c>
      <c r="B1045" s="1">
        <f>IFERROR(__xludf.DUMMYFUNCTION("""COMPUTED_VALUE"""),5060.0)</f>
        <v>5060</v>
      </c>
      <c r="C1045" s="1">
        <f>IFERROR(__xludf.DUMMYFUNCTION("""COMPUTED_VALUE"""),5060.0)</f>
        <v>5060</v>
      </c>
      <c r="D1045" s="1">
        <f>IFERROR(__xludf.DUMMYFUNCTION("""COMPUTED_VALUE"""),5040.0)</f>
        <v>5040</v>
      </c>
      <c r="E1045" s="1">
        <f>IFERROR(__xludf.DUMMYFUNCTION("""COMPUTED_VALUE"""),5040.0)</f>
        <v>5040</v>
      </c>
      <c r="F1045" s="1">
        <f>IFERROR(__xludf.DUMMYFUNCTION("""COMPUTED_VALUE"""),7410.0)</f>
        <v>7410</v>
      </c>
    </row>
    <row r="1046">
      <c r="A1046" s="2">
        <f>IFERROR(__xludf.DUMMYFUNCTION("""COMPUTED_VALUE"""),42459.64583333333)</f>
        <v>42459.64583</v>
      </c>
      <c r="B1046" s="1">
        <f>IFERROR(__xludf.DUMMYFUNCTION("""COMPUTED_VALUE"""),5080.0)</f>
        <v>5080</v>
      </c>
      <c r="C1046" s="1">
        <f>IFERROR(__xludf.DUMMYFUNCTION("""COMPUTED_VALUE"""),5080.0)</f>
        <v>5080</v>
      </c>
      <c r="D1046" s="1">
        <f>IFERROR(__xludf.DUMMYFUNCTION("""COMPUTED_VALUE"""),5040.0)</f>
        <v>5040</v>
      </c>
      <c r="E1046" s="1">
        <f>IFERROR(__xludf.DUMMYFUNCTION("""COMPUTED_VALUE"""),5050.0)</f>
        <v>5050</v>
      </c>
      <c r="F1046" s="1">
        <f>IFERROR(__xludf.DUMMYFUNCTION("""COMPUTED_VALUE"""),11520.0)</f>
        <v>11520</v>
      </c>
    </row>
    <row r="1047">
      <c r="A1047" s="2">
        <f>IFERROR(__xludf.DUMMYFUNCTION("""COMPUTED_VALUE"""),42460.64583333333)</f>
        <v>42460.64583</v>
      </c>
      <c r="B1047" s="1">
        <f>IFERROR(__xludf.DUMMYFUNCTION("""COMPUTED_VALUE"""),5130.0)</f>
        <v>5130</v>
      </c>
      <c r="C1047" s="1">
        <f>IFERROR(__xludf.DUMMYFUNCTION("""COMPUTED_VALUE"""),5150.0)</f>
        <v>5150</v>
      </c>
      <c r="D1047" s="1">
        <f>IFERROR(__xludf.DUMMYFUNCTION("""COMPUTED_VALUE"""),5060.0)</f>
        <v>5060</v>
      </c>
      <c r="E1047" s="1">
        <f>IFERROR(__xludf.DUMMYFUNCTION("""COMPUTED_VALUE"""),5120.0)</f>
        <v>5120</v>
      </c>
      <c r="F1047" s="1">
        <f>IFERROR(__xludf.DUMMYFUNCTION("""COMPUTED_VALUE"""),15300.0)</f>
        <v>15300</v>
      </c>
    </row>
    <row r="1048">
      <c r="A1048" s="2">
        <f>IFERROR(__xludf.DUMMYFUNCTION("""COMPUTED_VALUE"""),42461.64583333333)</f>
        <v>42461.64583</v>
      </c>
      <c r="B1048" s="1">
        <f>IFERROR(__xludf.DUMMYFUNCTION("""COMPUTED_VALUE"""),5140.0)</f>
        <v>5140</v>
      </c>
      <c r="C1048" s="1">
        <f>IFERROR(__xludf.DUMMYFUNCTION("""COMPUTED_VALUE"""),5140.0)</f>
        <v>5140</v>
      </c>
      <c r="D1048" s="1">
        <f>IFERROR(__xludf.DUMMYFUNCTION("""COMPUTED_VALUE"""),5080.0)</f>
        <v>5080</v>
      </c>
      <c r="E1048" s="1">
        <f>IFERROR(__xludf.DUMMYFUNCTION("""COMPUTED_VALUE"""),5120.0)</f>
        <v>5120</v>
      </c>
      <c r="F1048" s="1">
        <f>IFERROR(__xludf.DUMMYFUNCTION("""COMPUTED_VALUE"""),4172.0)</f>
        <v>4172</v>
      </c>
    </row>
    <row r="1049">
      <c r="A1049" s="2">
        <f>IFERROR(__xludf.DUMMYFUNCTION("""COMPUTED_VALUE"""),42464.64583333333)</f>
        <v>42464.64583</v>
      </c>
      <c r="B1049" s="1">
        <f>IFERROR(__xludf.DUMMYFUNCTION("""COMPUTED_VALUE"""),5150.0)</f>
        <v>5150</v>
      </c>
      <c r="C1049" s="1">
        <f>IFERROR(__xludf.DUMMYFUNCTION("""COMPUTED_VALUE"""),5150.0)</f>
        <v>5150</v>
      </c>
      <c r="D1049" s="1">
        <f>IFERROR(__xludf.DUMMYFUNCTION("""COMPUTED_VALUE"""),5080.0)</f>
        <v>5080</v>
      </c>
      <c r="E1049" s="1">
        <f>IFERROR(__xludf.DUMMYFUNCTION("""COMPUTED_VALUE"""),5090.0)</f>
        <v>5090</v>
      </c>
      <c r="F1049" s="1">
        <f>IFERROR(__xludf.DUMMYFUNCTION("""COMPUTED_VALUE"""),6039.0)</f>
        <v>6039</v>
      </c>
    </row>
    <row r="1050">
      <c r="A1050" s="2">
        <f>IFERROR(__xludf.DUMMYFUNCTION("""COMPUTED_VALUE"""),42465.64583333333)</f>
        <v>42465.64583</v>
      </c>
      <c r="B1050" s="1">
        <f>IFERROR(__xludf.DUMMYFUNCTION("""COMPUTED_VALUE"""),5080.0)</f>
        <v>5080</v>
      </c>
      <c r="C1050" s="1">
        <f>IFERROR(__xludf.DUMMYFUNCTION("""COMPUTED_VALUE"""),5100.0)</f>
        <v>5100</v>
      </c>
      <c r="D1050" s="1">
        <f>IFERROR(__xludf.DUMMYFUNCTION("""COMPUTED_VALUE"""),5060.0)</f>
        <v>5060</v>
      </c>
      <c r="E1050" s="1">
        <f>IFERROR(__xludf.DUMMYFUNCTION("""COMPUTED_VALUE"""),5090.0)</f>
        <v>5090</v>
      </c>
      <c r="F1050" s="1">
        <f>IFERROR(__xludf.DUMMYFUNCTION("""COMPUTED_VALUE"""),8487.0)</f>
        <v>8487</v>
      </c>
    </row>
    <row r="1051">
      <c r="A1051" s="2">
        <f>IFERROR(__xludf.DUMMYFUNCTION("""COMPUTED_VALUE"""),42466.64583333333)</f>
        <v>42466.64583</v>
      </c>
      <c r="B1051" s="1">
        <f>IFERROR(__xludf.DUMMYFUNCTION("""COMPUTED_VALUE"""),5150.0)</f>
        <v>5150</v>
      </c>
      <c r="C1051" s="1">
        <f>IFERROR(__xludf.DUMMYFUNCTION("""COMPUTED_VALUE"""),5200.0)</f>
        <v>5200</v>
      </c>
      <c r="D1051" s="1">
        <f>IFERROR(__xludf.DUMMYFUNCTION("""COMPUTED_VALUE"""),5090.0)</f>
        <v>5090</v>
      </c>
      <c r="E1051" s="1">
        <f>IFERROR(__xludf.DUMMYFUNCTION("""COMPUTED_VALUE"""),5190.0)</f>
        <v>5190</v>
      </c>
      <c r="F1051" s="1">
        <f>IFERROR(__xludf.DUMMYFUNCTION("""COMPUTED_VALUE"""),38789.0)</f>
        <v>38789</v>
      </c>
    </row>
    <row r="1052">
      <c r="A1052" s="2">
        <f>IFERROR(__xludf.DUMMYFUNCTION("""COMPUTED_VALUE"""),42467.64583333333)</f>
        <v>42467.64583</v>
      </c>
      <c r="B1052" s="1">
        <f>IFERROR(__xludf.DUMMYFUNCTION("""COMPUTED_VALUE"""),5180.0)</f>
        <v>5180</v>
      </c>
      <c r="C1052" s="1">
        <f>IFERROR(__xludf.DUMMYFUNCTION("""COMPUTED_VALUE"""),5190.0)</f>
        <v>5190</v>
      </c>
      <c r="D1052" s="1">
        <f>IFERROR(__xludf.DUMMYFUNCTION("""COMPUTED_VALUE"""),5160.0)</f>
        <v>5160</v>
      </c>
      <c r="E1052" s="1">
        <f>IFERROR(__xludf.DUMMYFUNCTION("""COMPUTED_VALUE"""),5180.0)</f>
        <v>5180</v>
      </c>
      <c r="F1052" s="1">
        <f>IFERROR(__xludf.DUMMYFUNCTION("""COMPUTED_VALUE"""),6641.0)</f>
        <v>6641</v>
      </c>
    </row>
    <row r="1053">
      <c r="A1053" s="2">
        <f>IFERROR(__xludf.DUMMYFUNCTION("""COMPUTED_VALUE"""),42468.64583333333)</f>
        <v>42468.64583</v>
      </c>
      <c r="B1053" s="1">
        <f>IFERROR(__xludf.DUMMYFUNCTION("""COMPUTED_VALUE"""),5190.0)</f>
        <v>5190</v>
      </c>
      <c r="C1053" s="1">
        <f>IFERROR(__xludf.DUMMYFUNCTION("""COMPUTED_VALUE"""),5190.0)</f>
        <v>5190</v>
      </c>
      <c r="D1053" s="1">
        <f>IFERROR(__xludf.DUMMYFUNCTION("""COMPUTED_VALUE"""),5130.0)</f>
        <v>5130</v>
      </c>
      <c r="E1053" s="1">
        <f>IFERROR(__xludf.DUMMYFUNCTION("""COMPUTED_VALUE"""),5180.0)</f>
        <v>5180</v>
      </c>
      <c r="F1053" s="1">
        <f>IFERROR(__xludf.DUMMYFUNCTION("""COMPUTED_VALUE"""),10448.0)</f>
        <v>10448</v>
      </c>
    </row>
    <row r="1054">
      <c r="A1054" s="2">
        <f>IFERROR(__xludf.DUMMYFUNCTION("""COMPUTED_VALUE"""),42471.64583333333)</f>
        <v>42471.64583</v>
      </c>
      <c r="B1054" s="1">
        <f>IFERROR(__xludf.DUMMYFUNCTION("""COMPUTED_VALUE"""),5180.0)</f>
        <v>5180</v>
      </c>
      <c r="C1054" s="1">
        <f>IFERROR(__xludf.DUMMYFUNCTION("""COMPUTED_VALUE"""),5180.0)</f>
        <v>5180</v>
      </c>
      <c r="D1054" s="1">
        <f>IFERROR(__xludf.DUMMYFUNCTION("""COMPUTED_VALUE"""),5140.0)</f>
        <v>5140</v>
      </c>
      <c r="E1054" s="1">
        <f>IFERROR(__xludf.DUMMYFUNCTION("""COMPUTED_VALUE"""),5180.0)</f>
        <v>5180</v>
      </c>
      <c r="F1054" s="1">
        <f>IFERROR(__xludf.DUMMYFUNCTION("""COMPUTED_VALUE"""),6752.0)</f>
        <v>6752</v>
      </c>
    </row>
    <row r="1055">
      <c r="A1055" s="2">
        <f>IFERROR(__xludf.DUMMYFUNCTION("""COMPUTED_VALUE"""),42472.64583333333)</f>
        <v>42472.64583</v>
      </c>
      <c r="B1055" s="1">
        <f>IFERROR(__xludf.DUMMYFUNCTION("""COMPUTED_VALUE"""),5180.0)</f>
        <v>5180</v>
      </c>
      <c r="C1055" s="1">
        <f>IFERROR(__xludf.DUMMYFUNCTION("""COMPUTED_VALUE"""),5210.0)</f>
        <v>5210</v>
      </c>
      <c r="D1055" s="1">
        <f>IFERROR(__xludf.DUMMYFUNCTION("""COMPUTED_VALUE"""),5170.0)</f>
        <v>5170</v>
      </c>
      <c r="E1055" s="1">
        <f>IFERROR(__xludf.DUMMYFUNCTION("""COMPUTED_VALUE"""),5210.0)</f>
        <v>5210</v>
      </c>
      <c r="F1055" s="1">
        <f>IFERROR(__xludf.DUMMYFUNCTION("""COMPUTED_VALUE"""),7599.0)</f>
        <v>7599</v>
      </c>
    </row>
    <row r="1056">
      <c r="A1056" s="2">
        <f>IFERROR(__xludf.DUMMYFUNCTION("""COMPUTED_VALUE"""),42474.64583333333)</f>
        <v>42474.64583</v>
      </c>
      <c r="B1056" s="1">
        <f>IFERROR(__xludf.DUMMYFUNCTION("""COMPUTED_VALUE"""),5210.0)</f>
        <v>5210</v>
      </c>
      <c r="C1056" s="1">
        <f>IFERROR(__xludf.DUMMYFUNCTION("""COMPUTED_VALUE"""),5230.0)</f>
        <v>5230</v>
      </c>
      <c r="D1056" s="1">
        <f>IFERROR(__xludf.DUMMYFUNCTION("""COMPUTED_VALUE"""),5150.0)</f>
        <v>5150</v>
      </c>
      <c r="E1056" s="1">
        <f>IFERROR(__xludf.DUMMYFUNCTION("""COMPUTED_VALUE"""),5200.0)</f>
        <v>5200</v>
      </c>
      <c r="F1056" s="1">
        <f>IFERROR(__xludf.DUMMYFUNCTION("""COMPUTED_VALUE"""),10082.0)</f>
        <v>10082</v>
      </c>
    </row>
    <row r="1057">
      <c r="A1057" s="2">
        <f>IFERROR(__xludf.DUMMYFUNCTION("""COMPUTED_VALUE"""),42475.64583333333)</f>
        <v>42475.64583</v>
      </c>
      <c r="B1057" s="1">
        <f>IFERROR(__xludf.DUMMYFUNCTION("""COMPUTED_VALUE"""),5250.0)</f>
        <v>5250</v>
      </c>
      <c r="C1057" s="1">
        <f>IFERROR(__xludf.DUMMYFUNCTION("""COMPUTED_VALUE"""),5250.0)</f>
        <v>5250</v>
      </c>
      <c r="D1057" s="1">
        <f>IFERROR(__xludf.DUMMYFUNCTION("""COMPUTED_VALUE"""),5140.0)</f>
        <v>5140</v>
      </c>
      <c r="E1057" s="1">
        <f>IFERROR(__xludf.DUMMYFUNCTION("""COMPUTED_VALUE"""),5200.0)</f>
        <v>5200</v>
      </c>
      <c r="F1057" s="1">
        <f>IFERROR(__xludf.DUMMYFUNCTION("""COMPUTED_VALUE"""),20902.0)</f>
        <v>20902</v>
      </c>
    </row>
    <row r="1058">
      <c r="A1058" s="2">
        <f>IFERROR(__xludf.DUMMYFUNCTION("""COMPUTED_VALUE"""),42478.64583333333)</f>
        <v>42478.64583</v>
      </c>
      <c r="B1058" s="1">
        <f>IFERROR(__xludf.DUMMYFUNCTION("""COMPUTED_VALUE"""),5220.0)</f>
        <v>5220</v>
      </c>
      <c r="C1058" s="1">
        <f>IFERROR(__xludf.DUMMYFUNCTION("""COMPUTED_VALUE"""),5220.0)</f>
        <v>5220</v>
      </c>
      <c r="D1058" s="1">
        <f>IFERROR(__xludf.DUMMYFUNCTION("""COMPUTED_VALUE"""),5170.0)</f>
        <v>5170</v>
      </c>
      <c r="E1058" s="1">
        <f>IFERROR(__xludf.DUMMYFUNCTION("""COMPUTED_VALUE"""),5210.0)</f>
        <v>5210</v>
      </c>
      <c r="F1058" s="1">
        <f>IFERROR(__xludf.DUMMYFUNCTION("""COMPUTED_VALUE"""),11654.0)</f>
        <v>11654</v>
      </c>
    </row>
    <row r="1059">
      <c r="A1059" s="2">
        <f>IFERROR(__xludf.DUMMYFUNCTION("""COMPUTED_VALUE"""),42479.64583333333)</f>
        <v>42479.64583</v>
      </c>
      <c r="B1059" s="1">
        <f>IFERROR(__xludf.DUMMYFUNCTION("""COMPUTED_VALUE"""),5220.0)</f>
        <v>5220</v>
      </c>
      <c r="C1059" s="1">
        <f>IFERROR(__xludf.DUMMYFUNCTION("""COMPUTED_VALUE"""),5240.0)</f>
        <v>5240</v>
      </c>
      <c r="D1059" s="1">
        <f>IFERROR(__xludf.DUMMYFUNCTION("""COMPUTED_VALUE"""),5180.0)</f>
        <v>5180</v>
      </c>
      <c r="E1059" s="1">
        <f>IFERROR(__xludf.DUMMYFUNCTION("""COMPUTED_VALUE"""),5220.0)</f>
        <v>5220</v>
      </c>
      <c r="F1059" s="1">
        <f>IFERROR(__xludf.DUMMYFUNCTION("""COMPUTED_VALUE"""),8872.0)</f>
        <v>8872</v>
      </c>
    </row>
    <row r="1060">
      <c r="A1060" s="2">
        <f>IFERROR(__xludf.DUMMYFUNCTION("""COMPUTED_VALUE"""),42480.64583333333)</f>
        <v>42480.64583</v>
      </c>
      <c r="B1060" s="1">
        <f>IFERROR(__xludf.DUMMYFUNCTION("""COMPUTED_VALUE"""),5250.0)</f>
        <v>5250</v>
      </c>
      <c r="C1060" s="1">
        <f>IFERROR(__xludf.DUMMYFUNCTION("""COMPUTED_VALUE"""),5250.0)</f>
        <v>5250</v>
      </c>
      <c r="D1060" s="1">
        <f>IFERROR(__xludf.DUMMYFUNCTION("""COMPUTED_VALUE"""),5190.0)</f>
        <v>5190</v>
      </c>
      <c r="E1060" s="1">
        <f>IFERROR(__xludf.DUMMYFUNCTION("""COMPUTED_VALUE"""),5220.0)</f>
        <v>5220</v>
      </c>
      <c r="F1060" s="1">
        <f>IFERROR(__xludf.DUMMYFUNCTION("""COMPUTED_VALUE"""),11706.0)</f>
        <v>11706</v>
      </c>
    </row>
    <row r="1061">
      <c r="A1061" s="2">
        <f>IFERROR(__xludf.DUMMYFUNCTION("""COMPUTED_VALUE"""),42481.64583333333)</f>
        <v>42481.64583</v>
      </c>
      <c r="B1061" s="1">
        <f>IFERROR(__xludf.DUMMYFUNCTION("""COMPUTED_VALUE"""),5230.0)</f>
        <v>5230</v>
      </c>
      <c r="C1061" s="1">
        <f>IFERROR(__xludf.DUMMYFUNCTION("""COMPUTED_VALUE"""),5360.0)</f>
        <v>5360</v>
      </c>
      <c r="D1061" s="1">
        <f>IFERROR(__xludf.DUMMYFUNCTION("""COMPUTED_VALUE"""),5210.0)</f>
        <v>5210</v>
      </c>
      <c r="E1061" s="1">
        <f>IFERROR(__xludf.DUMMYFUNCTION("""COMPUTED_VALUE"""),5280.0)</f>
        <v>5280</v>
      </c>
      <c r="F1061" s="1">
        <f>IFERROR(__xludf.DUMMYFUNCTION("""COMPUTED_VALUE"""),22175.0)</f>
        <v>22175</v>
      </c>
    </row>
    <row r="1062">
      <c r="A1062" s="2">
        <f>IFERROR(__xludf.DUMMYFUNCTION("""COMPUTED_VALUE"""),42482.64583333333)</f>
        <v>42482.64583</v>
      </c>
      <c r="B1062" s="1">
        <f>IFERROR(__xludf.DUMMYFUNCTION("""COMPUTED_VALUE"""),5280.0)</f>
        <v>5280</v>
      </c>
      <c r="C1062" s="1">
        <f>IFERROR(__xludf.DUMMYFUNCTION("""COMPUTED_VALUE"""),5300.0)</f>
        <v>5300</v>
      </c>
      <c r="D1062" s="1">
        <f>IFERROR(__xludf.DUMMYFUNCTION("""COMPUTED_VALUE"""),5200.0)</f>
        <v>5200</v>
      </c>
      <c r="E1062" s="1">
        <f>IFERROR(__xludf.DUMMYFUNCTION("""COMPUTED_VALUE"""),5290.0)</f>
        <v>5290</v>
      </c>
      <c r="F1062" s="1">
        <f>IFERROR(__xludf.DUMMYFUNCTION("""COMPUTED_VALUE"""),16158.0)</f>
        <v>16158</v>
      </c>
    </row>
    <row r="1063">
      <c r="A1063" s="2">
        <f>IFERROR(__xludf.DUMMYFUNCTION("""COMPUTED_VALUE"""),42485.64583333333)</f>
        <v>42485.64583</v>
      </c>
      <c r="B1063" s="1">
        <f>IFERROR(__xludf.DUMMYFUNCTION("""COMPUTED_VALUE"""),5270.0)</f>
        <v>5270</v>
      </c>
      <c r="C1063" s="1">
        <f>IFERROR(__xludf.DUMMYFUNCTION("""COMPUTED_VALUE"""),5310.0)</f>
        <v>5310</v>
      </c>
      <c r="D1063" s="1">
        <f>IFERROR(__xludf.DUMMYFUNCTION("""COMPUTED_VALUE"""),5220.0)</f>
        <v>5220</v>
      </c>
      <c r="E1063" s="1">
        <f>IFERROR(__xludf.DUMMYFUNCTION("""COMPUTED_VALUE"""),5310.0)</f>
        <v>5310</v>
      </c>
      <c r="F1063" s="1">
        <f>IFERROR(__xludf.DUMMYFUNCTION("""COMPUTED_VALUE"""),15518.0)</f>
        <v>15518</v>
      </c>
    </row>
    <row r="1064">
      <c r="A1064" s="2">
        <f>IFERROR(__xludf.DUMMYFUNCTION("""COMPUTED_VALUE"""),42486.64583333333)</f>
        <v>42486.64583</v>
      </c>
      <c r="B1064" s="1">
        <f>IFERROR(__xludf.DUMMYFUNCTION("""COMPUTED_VALUE"""),5310.0)</f>
        <v>5310</v>
      </c>
      <c r="C1064" s="1">
        <f>IFERROR(__xludf.DUMMYFUNCTION("""COMPUTED_VALUE"""),5310.0)</f>
        <v>5310</v>
      </c>
      <c r="D1064" s="1">
        <f>IFERROR(__xludf.DUMMYFUNCTION("""COMPUTED_VALUE"""),5250.0)</f>
        <v>5250</v>
      </c>
      <c r="E1064" s="1">
        <f>IFERROR(__xludf.DUMMYFUNCTION("""COMPUTED_VALUE"""),5290.0)</f>
        <v>5290</v>
      </c>
      <c r="F1064" s="1">
        <f>IFERROR(__xludf.DUMMYFUNCTION("""COMPUTED_VALUE"""),8932.0)</f>
        <v>8932</v>
      </c>
    </row>
    <row r="1065">
      <c r="A1065" s="2">
        <f>IFERROR(__xludf.DUMMYFUNCTION("""COMPUTED_VALUE"""),42487.64583333333)</f>
        <v>42487.64583</v>
      </c>
      <c r="B1065" s="1">
        <f>IFERROR(__xludf.DUMMYFUNCTION("""COMPUTED_VALUE"""),5290.0)</f>
        <v>5290</v>
      </c>
      <c r="C1065" s="1">
        <f>IFERROR(__xludf.DUMMYFUNCTION("""COMPUTED_VALUE"""),5290.0)</f>
        <v>5290</v>
      </c>
      <c r="D1065" s="1">
        <f>IFERROR(__xludf.DUMMYFUNCTION("""COMPUTED_VALUE"""),5220.0)</f>
        <v>5220</v>
      </c>
      <c r="E1065" s="1">
        <f>IFERROR(__xludf.DUMMYFUNCTION("""COMPUTED_VALUE"""),5260.0)</f>
        <v>5260</v>
      </c>
      <c r="F1065" s="1">
        <f>IFERROR(__xludf.DUMMYFUNCTION("""COMPUTED_VALUE"""),6491.0)</f>
        <v>6491</v>
      </c>
    </row>
    <row r="1066">
      <c r="A1066" s="2">
        <f>IFERROR(__xludf.DUMMYFUNCTION("""COMPUTED_VALUE"""),42488.64583333333)</f>
        <v>42488.64583</v>
      </c>
      <c r="B1066" s="1">
        <f>IFERROR(__xludf.DUMMYFUNCTION("""COMPUTED_VALUE"""),5270.0)</f>
        <v>5270</v>
      </c>
      <c r="C1066" s="1">
        <f>IFERROR(__xludf.DUMMYFUNCTION("""COMPUTED_VALUE"""),5290.0)</f>
        <v>5290</v>
      </c>
      <c r="D1066" s="1">
        <f>IFERROR(__xludf.DUMMYFUNCTION("""COMPUTED_VALUE"""),5240.0)</f>
        <v>5240</v>
      </c>
      <c r="E1066" s="1">
        <f>IFERROR(__xludf.DUMMYFUNCTION("""COMPUTED_VALUE"""),5290.0)</f>
        <v>5290</v>
      </c>
      <c r="F1066" s="1">
        <f>IFERROR(__xludf.DUMMYFUNCTION("""COMPUTED_VALUE"""),6906.0)</f>
        <v>6906</v>
      </c>
    </row>
    <row r="1067">
      <c r="A1067" s="2">
        <f>IFERROR(__xludf.DUMMYFUNCTION("""COMPUTED_VALUE"""),42489.64583333333)</f>
        <v>42489.64583</v>
      </c>
      <c r="B1067" s="1">
        <f>IFERROR(__xludf.DUMMYFUNCTION("""COMPUTED_VALUE"""),5280.0)</f>
        <v>5280</v>
      </c>
      <c r="C1067" s="1">
        <f>IFERROR(__xludf.DUMMYFUNCTION("""COMPUTED_VALUE"""),5280.0)</f>
        <v>5280</v>
      </c>
      <c r="D1067" s="1">
        <f>IFERROR(__xludf.DUMMYFUNCTION("""COMPUTED_VALUE"""),5230.0)</f>
        <v>5230</v>
      </c>
      <c r="E1067" s="1">
        <f>IFERROR(__xludf.DUMMYFUNCTION("""COMPUTED_VALUE"""),5270.0)</f>
        <v>5270</v>
      </c>
      <c r="F1067" s="1">
        <f>IFERROR(__xludf.DUMMYFUNCTION("""COMPUTED_VALUE"""),8141.0)</f>
        <v>8141</v>
      </c>
    </row>
    <row r="1068">
      <c r="A1068" s="2">
        <f>IFERROR(__xludf.DUMMYFUNCTION("""COMPUTED_VALUE"""),42492.64583333333)</f>
        <v>42492.64583</v>
      </c>
      <c r="B1068" s="1">
        <f>IFERROR(__xludf.DUMMYFUNCTION("""COMPUTED_VALUE"""),5270.0)</f>
        <v>5270</v>
      </c>
      <c r="C1068" s="1">
        <f>IFERROR(__xludf.DUMMYFUNCTION("""COMPUTED_VALUE"""),5270.0)</f>
        <v>5270</v>
      </c>
      <c r="D1068" s="1">
        <f>IFERROR(__xludf.DUMMYFUNCTION("""COMPUTED_VALUE"""),5230.0)</f>
        <v>5230</v>
      </c>
      <c r="E1068" s="1">
        <f>IFERROR(__xludf.DUMMYFUNCTION("""COMPUTED_VALUE"""),5260.0)</f>
        <v>5260</v>
      </c>
      <c r="F1068" s="1">
        <f>IFERROR(__xludf.DUMMYFUNCTION("""COMPUTED_VALUE"""),5796.0)</f>
        <v>5796</v>
      </c>
    </row>
    <row r="1069">
      <c r="A1069" s="2">
        <f>IFERROR(__xludf.DUMMYFUNCTION("""COMPUTED_VALUE"""),42493.64583333333)</f>
        <v>42493.64583</v>
      </c>
      <c r="B1069" s="1">
        <f>IFERROR(__xludf.DUMMYFUNCTION("""COMPUTED_VALUE"""),5230.0)</f>
        <v>5230</v>
      </c>
      <c r="C1069" s="1">
        <f>IFERROR(__xludf.DUMMYFUNCTION("""COMPUTED_VALUE"""),5260.0)</f>
        <v>5260</v>
      </c>
      <c r="D1069" s="1">
        <f>IFERROR(__xludf.DUMMYFUNCTION("""COMPUTED_VALUE"""),5210.0)</f>
        <v>5210</v>
      </c>
      <c r="E1069" s="1">
        <f>IFERROR(__xludf.DUMMYFUNCTION("""COMPUTED_VALUE"""),5260.0)</f>
        <v>5260</v>
      </c>
      <c r="F1069" s="1">
        <f>IFERROR(__xludf.DUMMYFUNCTION("""COMPUTED_VALUE"""),14067.0)</f>
        <v>14067</v>
      </c>
    </row>
    <row r="1070">
      <c r="A1070" s="2">
        <f>IFERROR(__xludf.DUMMYFUNCTION("""COMPUTED_VALUE"""),42494.64583333333)</f>
        <v>42494.64583</v>
      </c>
      <c r="B1070" s="1">
        <f>IFERROR(__xludf.DUMMYFUNCTION("""COMPUTED_VALUE"""),5250.0)</f>
        <v>5250</v>
      </c>
      <c r="C1070" s="1">
        <f>IFERROR(__xludf.DUMMYFUNCTION("""COMPUTED_VALUE"""),5280.0)</f>
        <v>5280</v>
      </c>
      <c r="D1070" s="1">
        <f>IFERROR(__xludf.DUMMYFUNCTION("""COMPUTED_VALUE"""),5210.0)</f>
        <v>5210</v>
      </c>
      <c r="E1070" s="1">
        <f>IFERROR(__xludf.DUMMYFUNCTION("""COMPUTED_VALUE"""),5280.0)</f>
        <v>5280</v>
      </c>
      <c r="F1070" s="1">
        <f>IFERROR(__xludf.DUMMYFUNCTION("""COMPUTED_VALUE"""),14259.0)</f>
        <v>14259</v>
      </c>
    </row>
    <row r="1071">
      <c r="A1071" s="2">
        <f>IFERROR(__xludf.DUMMYFUNCTION("""COMPUTED_VALUE"""),42499.64583333333)</f>
        <v>42499.64583</v>
      </c>
      <c r="B1071" s="1">
        <f>IFERROR(__xludf.DUMMYFUNCTION("""COMPUTED_VALUE"""),5300.0)</f>
        <v>5300</v>
      </c>
      <c r="C1071" s="1">
        <f>IFERROR(__xludf.DUMMYFUNCTION("""COMPUTED_VALUE"""),5300.0)</f>
        <v>5300</v>
      </c>
      <c r="D1071" s="1">
        <f>IFERROR(__xludf.DUMMYFUNCTION("""COMPUTED_VALUE"""),5230.0)</f>
        <v>5230</v>
      </c>
      <c r="E1071" s="1">
        <f>IFERROR(__xludf.DUMMYFUNCTION("""COMPUTED_VALUE"""),5280.0)</f>
        <v>5280</v>
      </c>
      <c r="F1071" s="1">
        <f>IFERROR(__xludf.DUMMYFUNCTION("""COMPUTED_VALUE"""),8516.0)</f>
        <v>8516</v>
      </c>
    </row>
    <row r="1072">
      <c r="A1072" s="2">
        <f>IFERROR(__xludf.DUMMYFUNCTION("""COMPUTED_VALUE"""),42500.64583333333)</f>
        <v>42500.64583</v>
      </c>
      <c r="B1072" s="1">
        <f>IFERROR(__xludf.DUMMYFUNCTION("""COMPUTED_VALUE"""),5280.0)</f>
        <v>5280</v>
      </c>
      <c r="C1072" s="1">
        <f>IFERROR(__xludf.DUMMYFUNCTION("""COMPUTED_VALUE"""),5280.0)</f>
        <v>5280</v>
      </c>
      <c r="D1072" s="1">
        <f>IFERROR(__xludf.DUMMYFUNCTION("""COMPUTED_VALUE"""),5220.0)</f>
        <v>5220</v>
      </c>
      <c r="E1072" s="1">
        <f>IFERROR(__xludf.DUMMYFUNCTION("""COMPUTED_VALUE"""),5260.0)</f>
        <v>5260</v>
      </c>
      <c r="F1072" s="1">
        <f>IFERROR(__xludf.DUMMYFUNCTION("""COMPUTED_VALUE"""),17288.0)</f>
        <v>17288</v>
      </c>
    </row>
    <row r="1073">
      <c r="A1073" s="2">
        <f>IFERROR(__xludf.DUMMYFUNCTION("""COMPUTED_VALUE"""),42501.64583333333)</f>
        <v>42501.64583</v>
      </c>
      <c r="B1073" s="1">
        <f>IFERROR(__xludf.DUMMYFUNCTION("""COMPUTED_VALUE"""),5240.0)</f>
        <v>5240</v>
      </c>
      <c r="C1073" s="1">
        <f>IFERROR(__xludf.DUMMYFUNCTION("""COMPUTED_VALUE"""),5290.0)</f>
        <v>5290</v>
      </c>
      <c r="D1073" s="1">
        <f>IFERROR(__xludf.DUMMYFUNCTION("""COMPUTED_VALUE"""),5210.0)</f>
        <v>5210</v>
      </c>
      <c r="E1073" s="1">
        <f>IFERROR(__xludf.DUMMYFUNCTION("""COMPUTED_VALUE"""),5290.0)</f>
        <v>5290</v>
      </c>
      <c r="F1073" s="1">
        <f>IFERROR(__xludf.DUMMYFUNCTION("""COMPUTED_VALUE"""),11251.0)</f>
        <v>11251</v>
      </c>
    </row>
    <row r="1074">
      <c r="A1074" s="2">
        <f>IFERROR(__xludf.DUMMYFUNCTION("""COMPUTED_VALUE"""),42502.64583333333)</f>
        <v>42502.64583</v>
      </c>
      <c r="B1074" s="1">
        <f>IFERROR(__xludf.DUMMYFUNCTION("""COMPUTED_VALUE"""),5280.0)</f>
        <v>5280</v>
      </c>
      <c r="C1074" s="1">
        <f>IFERROR(__xludf.DUMMYFUNCTION("""COMPUTED_VALUE"""),5300.0)</f>
        <v>5300</v>
      </c>
      <c r="D1074" s="1">
        <f>IFERROR(__xludf.DUMMYFUNCTION("""COMPUTED_VALUE"""),5200.0)</f>
        <v>5200</v>
      </c>
      <c r="E1074" s="1">
        <f>IFERROR(__xludf.DUMMYFUNCTION("""COMPUTED_VALUE"""),5280.0)</f>
        <v>5280</v>
      </c>
      <c r="F1074" s="1">
        <f>IFERROR(__xludf.DUMMYFUNCTION("""COMPUTED_VALUE"""),19666.0)</f>
        <v>19666</v>
      </c>
    </row>
    <row r="1075">
      <c r="A1075" s="2">
        <f>IFERROR(__xludf.DUMMYFUNCTION("""COMPUTED_VALUE"""),42503.64583333333)</f>
        <v>42503.64583</v>
      </c>
      <c r="B1075" s="1">
        <f>IFERROR(__xludf.DUMMYFUNCTION("""COMPUTED_VALUE"""),5280.0)</f>
        <v>5280</v>
      </c>
      <c r="C1075" s="1">
        <f>IFERROR(__xludf.DUMMYFUNCTION("""COMPUTED_VALUE"""),5290.0)</f>
        <v>5290</v>
      </c>
      <c r="D1075" s="1">
        <f>IFERROR(__xludf.DUMMYFUNCTION("""COMPUTED_VALUE"""),5230.0)</f>
        <v>5230</v>
      </c>
      <c r="E1075" s="1">
        <f>IFERROR(__xludf.DUMMYFUNCTION("""COMPUTED_VALUE"""),5260.0)</f>
        <v>5260</v>
      </c>
      <c r="F1075" s="1">
        <f>IFERROR(__xludf.DUMMYFUNCTION("""COMPUTED_VALUE"""),18608.0)</f>
        <v>18608</v>
      </c>
    </row>
    <row r="1076">
      <c r="A1076" s="2">
        <f>IFERROR(__xludf.DUMMYFUNCTION("""COMPUTED_VALUE"""),42506.64583333333)</f>
        <v>42506.64583</v>
      </c>
      <c r="B1076" s="1">
        <f>IFERROR(__xludf.DUMMYFUNCTION("""COMPUTED_VALUE"""),5210.0)</f>
        <v>5210</v>
      </c>
      <c r="C1076" s="1">
        <f>IFERROR(__xludf.DUMMYFUNCTION("""COMPUTED_VALUE"""),5260.0)</f>
        <v>5260</v>
      </c>
      <c r="D1076" s="1">
        <f>IFERROR(__xludf.DUMMYFUNCTION("""COMPUTED_VALUE"""),5180.0)</f>
        <v>5180</v>
      </c>
      <c r="E1076" s="1">
        <f>IFERROR(__xludf.DUMMYFUNCTION("""COMPUTED_VALUE"""),5240.0)</f>
        <v>5240</v>
      </c>
      <c r="F1076" s="1">
        <f>IFERROR(__xludf.DUMMYFUNCTION("""COMPUTED_VALUE"""),23698.0)</f>
        <v>23698</v>
      </c>
    </row>
    <row r="1077">
      <c r="A1077" s="2">
        <f>IFERROR(__xludf.DUMMYFUNCTION("""COMPUTED_VALUE"""),42507.64583333333)</f>
        <v>42507.64583</v>
      </c>
      <c r="B1077" s="1">
        <f>IFERROR(__xludf.DUMMYFUNCTION("""COMPUTED_VALUE"""),5270.0)</f>
        <v>5270</v>
      </c>
      <c r="C1077" s="1">
        <f>IFERROR(__xludf.DUMMYFUNCTION("""COMPUTED_VALUE"""),5270.0)</f>
        <v>5270</v>
      </c>
      <c r="D1077" s="1">
        <f>IFERROR(__xludf.DUMMYFUNCTION("""COMPUTED_VALUE"""),5220.0)</f>
        <v>5220</v>
      </c>
      <c r="E1077" s="1">
        <f>IFERROR(__xludf.DUMMYFUNCTION("""COMPUTED_VALUE"""),5250.0)</f>
        <v>5250</v>
      </c>
      <c r="F1077" s="1">
        <f>IFERROR(__xludf.DUMMYFUNCTION("""COMPUTED_VALUE"""),8146.0)</f>
        <v>8146</v>
      </c>
    </row>
    <row r="1078">
      <c r="A1078" s="2">
        <f>IFERROR(__xludf.DUMMYFUNCTION("""COMPUTED_VALUE"""),42508.64583333333)</f>
        <v>42508.64583</v>
      </c>
      <c r="B1078" s="1">
        <f>IFERROR(__xludf.DUMMYFUNCTION("""COMPUTED_VALUE"""),5250.0)</f>
        <v>5250</v>
      </c>
      <c r="C1078" s="1">
        <f>IFERROR(__xludf.DUMMYFUNCTION("""COMPUTED_VALUE"""),5260.0)</f>
        <v>5260</v>
      </c>
      <c r="D1078" s="1">
        <f>IFERROR(__xludf.DUMMYFUNCTION("""COMPUTED_VALUE"""),5220.0)</f>
        <v>5220</v>
      </c>
      <c r="E1078" s="1">
        <f>IFERROR(__xludf.DUMMYFUNCTION("""COMPUTED_VALUE"""),5250.0)</f>
        <v>5250</v>
      </c>
      <c r="F1078" s="1">
        <f>IFERROR(__xludf.DUMMYFUNCTION("""COMPUTED_VALUE"""),4753.0)</f>
        <v>4753</v>
      </c>
    </row>
    <row r="1079">
      <c r="A1079" s="2">
        <f>IFERROR(__xludf.DUMMYFUNCTION("""COMPUTED_VALUE"""),42509.64583333333)</f>
        <v>42509.64583</v>
      </c>
      <c r="B1079" s="1">
        <f>IFERROR(__xludf.DUMMYFUNCTION("""COMPUTED_VALUE"""),5250.0)</f>
        <v>5250</v>
      </c>
      <c r="C1079" s="1">
        <f>IFERROR(__xludf.DUMMYFUNCTION("""COMPUTED_VALUE"""),5320.0)</f>
        <v>5320</v>
      </c>
      <c r="D1079" s="1">
        <f>IFERROR(__xludf.DUMMYFUNCTION("""COMPUTED_VALUE"""),5240.0)</f>
        <v>5240</v>
      </c>
      <c r="E1079" s="1">
        <f>IFERROR(__xludf.DUMMYFUNCTION("""COMPUTED_VALUE"""),5270.0)</f>
        <v>5270</v>
      </c>
      <c r="F1079" s="1">
        <f>IFERROR(__xludf.DUMMYFUNCTION("""COMPUTED_VALUE"""),10669.0)</f>
        <v>10669</v>
      </c>
    </row>
    <row r="1080">
      <c r="A1080" s="2">
        <f>IFERROR(__xludf.DUMMYFUNCTION("""COMPUTED_VALUE"""),42510.64583333333)</f>
        <v>42510.64583</v>
      </c>
      <c r="B1080" s="1">
        <f>IFERROR(__xludf.DUMMYFUNCTION("""COMPUTED_VALUE"""),5280.0)</f>
        <v>5280</v>
      </c>
      <c r="C1080" s="1">
        <f>IFERROR(__xludf.DUMMYFUNCTION("""COMPUTED_VALUE"""),5280.0)</f>
        <v>5280</v>
      </c>
      <c r="D1080" s="1">
        <f>IFERROR(__xludf.DUMMYFUNCTION("""COMPUTED_VALUE"""),5230.0)</f>
        <v>5230</v>
      </c>
      <c r="E1080" s="1">
        <f>IFERROR(__xludf.DUMMYFUNCTION("""COMPUTED_VALUE"""),5260.0)</f>
        <v>5260</v>
      </c>
      <c r="F1080" s="1">
        <f>IFERROR(__xludf.DUMMYFUNCTION("""COMPUTED_VALUE"""),1770.0)</f>
        <v>1770</v>
      </c>
    </row>
    <row r="1081">
      <c r="A1081" s="2">
        <f>IFERROR(__xludf.DUMMYFUNCTION("""COMPUTED_VALUE"""),42513.64583333333)</f>
        <v>42513.64583</v>
      </c>
      <c r="B1081" s="1">
        <f>IFERROR(__xludf.DUMMYFUNCTION("""COMPUTED_VALUE"""),5260.0)</f>
        <v>5260</v>
      </c>
      <c r="C1081" s="1">
        <f>IFERROR(__xludf.DUMMYFUNCTION("""COMPUTED_VALUE"""),5270.0)</f>
        <v>5270</v>
      </c>
      <c r="D1081" s="1">
        <f>IFERROR(__xludf.DUMMYFUNCTION("""COMPUTED_VALUE"""),5230.0)</f>
        <v>5230</v>
      </c>
      <c r="E1081" s="1">
        <f>IFERROR(__xludf.DUMMYFUNCTION("""COMPUTED_VALUE"""),5270.0)</f>
        <v>5270</v>
      </c>
      <c r="F1081" s="1">
        <f>IFERROR(__xludf.DUMMYFUNCTION("""COMPUTED_VALUE"""),4718.0)</f>
        <v>4718</v>
      </c>
    </row>
    <row r="1082">
      <c r="A1082" s="2">
        <f>IFERROR(__xludf.DUMMYFUNCTION("""COMPUTED_VALUE"""),42514.64583333333)</f>
        <v>42514.64583</v>
      </c>
      <c r="B1082" s="1">
        <f>IFERROR(__xludf.DUMMYFUNCTION("""COMPUTED_VALUE"""),5270.0)</f>
        <v>5270</v>
      </c>
      <c r="C1082" s="1">
        <f>IFERROR(__xludf.DUMMYFUNCTION("""COMPUTED_VALUE"""),5270.0)</f>
        <v>5270</v>
      </c>
      <c r="D1082" s="1">
        <f>IFERROR(__xludf.DUMMYFUNCTION("""COMPUTED_VALUE"""),5220.0)</f>
        <v>5220</v>
      </c>
      <c r="E1082" s="1">
        <f>IFERROR(__xludf.DUMMYFUNCTION("""COMPUTED_VALUE"""),5270.0)</f>
        <v>5270</v>
      </c>
      <c r="F1082" s="1">
        <f>IFERROR(__xludf.DUMMYFUNCTION("""COMPUTED_VALUE"""),5085.0)</f>
        <v>5085</v>
      </c>
    </row>
    <row r="1083">
      <c r="A1083" s="2">
        <f>IFERROR(__xludf.DUMMYFUNCTION("""COMPUTED_VALUE"""),42515.64583333333)</f>
        <v>42515.64583</v>
      </c>
      <c r="B1083" s="1">
        <f>IFERROR(__xludf.DUMMYFUNCTION("""COMPUTED_VALUE"""),5270.0)</f>
        <v>5270</v>
      </c>
      <c r="C1083" s="1">
        <f>IFERROR(__xludf.DUMMYFUNCTION("""COMPUTED_VALUE"""),5270.0)</f>
        <v>5270</v>
      </c>
      <c r="D1083" s="1">
        <f>IFERROR(__xludf.DUMMYFUNCTION("""COMPUTED_VALUE"""),5210.0)</f>
        <v>5210</v>
      </c>
      <c r="E1083" s="1">
        <f>IFERROR(__xludf.DUMMYFUNCTION("""COMPUTED_VALUE"""),5240.0)</f>
        <v>5240</v>
      </c>
      <c r="F1083" s="1">
        <f>IFERROR(__xludf.DUMMYFUNCTION("""COMPUTED_VALUE"""),6990.0)</f>
        <v>6990</v>
      </c>
    </row>
    <row r="1084">
      <c r="A1084" s="2">
        <f>IFERROR(__xludf.DUMMYFUNCTION("""COMPUTED_VALUE"""),42516.64583333333)</f>
        <v>42516.64583</v>
      </c>
      <c r="B1084" s="1">
        <f>IFERROR(__xludf.DUMMYFUNCTION("""COMPUTED_VALUE"""),5240.0)</f>
        <v>5240</v>
      </c>
      <c r="C1084" s="1">
        <f>IFERROR(__xludf.DUMMYFUNCTION("""COMPUTED_VALUE"""),5270.0)</f>
        <v>5270</v>
      </c>
      <c r="D1084" s="1">
        <f>IFERROR(__xludf.DUMMYFUNCTION("""COMPUTED_VALUE"""),5240.0)</f>
        <v>5240</v>
      </c>
      <c r="E1084" s="1">
        <f>IFERROR(__xludf.DUMMYFUNCTION("""COMPUTED_VALUE"""),5270.0)</f>
        <v>5270</v>
      </c>
      <c r="F1084" s="1">
        <f>IFERROR(__xludf.DUMMYFUNCTION("""COMPUTED_VALUE"""),3114.0)</f>
        <v>3114</v>
      </c>
    </row>
    <row r="1085">
      <c r="A1085" s="2">
        <f>IFERROR(__xludf.DUMMYFUNCTION("""COMPUTED_VALUE"""),42517.64583333333)</f>
        <v>42517.64583</v>
      </c>
      <c r="B1085" s="1">
        <f>IFERROR(__xludf.DUMMYFUNCTION("""COMPUTED_VALUE"""),5270.0)</f>
        <v>5270</v>
      </c>
      <c r="C1085" s="1">
        <f>IFERROR(__xludf.DUMMYFUNCTION("""COMPUTED_VALUE"""),5350.0)</f>
        <v>5350</v>
      </c>
      <c r="D1085" s="1">
        <f>IFERROR(__xludf.DUMMYFUNCTION("""COMPUTED_VALUE"""),5240.0)</f>
        <v>5240</v>
      </c>
      <c r="E1085" s="1">
        <f>IFERROR(__xludf.DUMMYFUNCTION("""COMPUTED_VALUE"""),5300.0)</f>
        <v>5300</v>
      </c>
      <c r="F1085" s="1">
        <f>IFERROR(__xludf.DUMMYFUNCTION("""COMPUTED_VALUE"""),9939.0)</f>
        <v>9939</v>
      </c>
    </row>
    <row r="1086">
      <c r="A1086" s="2">
        <f>IFERROR(__xludf.DUMMYFUNCTION("""COMPUTED_VALUE"""),42520.64583333333)</f>
        <v>42520.64583</v>
      </c>
      <c r="B1086" s="1">
        <f>IFERROR(__xludf.DUMMYFUNCTION("""COMPUTED_VALUE"""),5300.0)</f>
        <v>5300</v>
      </c>
      <c r="C1086" s="1">
        <f>IFERROR(__xludf.DUMMYFUNCTION("""COMPUTED_VALUE"""),5300.0)</f>
        <v>5300</v>
      </c>
      <c r="D1086" s="1">
        <f>IFERROR(__xludf.DUMMYFUNCTION("""COMPUTED_VALUE"""),5250.0)</f>
        <v>5250</v>
      </c>
      <c r="E1086" s="1">
        <f>IFERROR(__xludf.DUMMYFUNCTION("""COMPUTED_VALUE"""),5290.0)</f>
        <v>5290</v>
      </c>
      <c r="F1086" s="1">
        <f>IFERROR(__xludf.DUMMYFUNCTION("""COMPUTED_VALUE"""),8117.0)</f>
        <v>8117</v>
      </c>
    </row>
    <row r="1087">
      <c r="A1087" s="2">
        <f>IFERROR(__xludf.DUMMYFUNCTION("""COMPUTED_VALUE"""),42521.64583333333)</f>
        <v>42521.64583</v>
      </c>
      <c r="B1087" s="1">
        <f>IFERROR(__xludf.DUMMYFUNCTION("""COMPUTED_VALUE"""),5300.0)</f>
        <v>5300</v>
      </c>
      <c r="C1087" s="1">
        <f>IFERROR(__xludf.DUMMYFUNCTION("""COMPUTED_VALUE"""),5410.0)</f>
        <v>5410</v>
      </c>
      <c r="D1087" s="1">
        <f>IFERROR(__xludf.DUMMYFUNCTION("""COMPUTED_VALUE"""),5270.0)</f>
        <v>5270</v>
      </c>
      <c r="E1087" s="1">
        <f>IFERROR(__xludf.DUMMYFUNCTION("""COMPUTED_VALUE"""),5350.0)</f>
        <v>5350</v>
      </c>
      <c r="F1087" s="1">
        <f>IFERROR(__xludf.DUMMYFUNCTION("""COMPUTED_VALUE"""),16846.0)</f>
        <v>16846</v>
      </c>
    </row>
    <row r="1088">
      <c r="A1088" s="2">
        <f>IFERROR(__xludf.DUMMYFUNCTION("""COMPUTED_VALUE"""),42522.64583333333)</f>
        <v>42522.64583</v>
      </c>
      <c r="B1088" s="1">
        <f>IFERROR(__xludf.DUMMYFUNCTION("""COMPUTED_VALUE"""),5350.0)</f>
        <v>5350</v>
      </c>
      <c r="C1088" s="1">
        <f>IFERROR(__xludf.DUMMYFUNCTION("""COMPUTED_VALUE"""),5390.0)</f>
        <v>5390</v>
      </c>
      <c r="D1088" s="1">
        <f>IFERROR(__xludf.DUMMYFUNCTION("""COMPUTED_VALUE"""),5330.0)</f>
        <v>5330</v>
      </c>
      <c r="E1088" s="1">
        <f>IFERROR(__xludf.DUMMYFUNCTION("""COMPUTED_VALUE"""),5380.0)</f>
        <v>5380</v>
      </c>
      <c r="F1088" s="1">
        <f>IFERROR(__xludf.DUMMYFUNCTION("""COMPUTED_VALUE"""),12848.0)</f>
        <v>12848</v>
      </c>
    </row>
    <row r="1089">
      <c r="A1089" s="2">
        <f>IFERROR(__xludf.DUMMYFUNCTION("""COMPUTED_VALUE"""),42523.64583333333)</f>
        <v>42523.64583</v>
      </c>
      <c r="B1089" s="1">
        <f>IFERROR(__xludf.DUMMYFUNCTION("""COMPUTED_VALUE"""),5370.0)</f>
        <v>5370</v>
      </c>
      <c r="C1089" s="1">
        <f>IFERROR(__xludf.DUMMYFUNCTION("""COMPUTED_VALUE"""),5420.0)</f>
        <v>5420</v>
      </c>
      <c r="D1089" s="1">
        <f>IFERROR(__xludf.DUMMYFUNCTION("""COMPUTED_VALUE"""),5350.0)</f>
        <v>5350</v>
      </c>
      <c r="E1089" s="1">
        <f>IFERROR(__xludf.DUMMYFUNCTION("""COMPUTED_VALUE"""),5400.0)</f>
        <v>5400</v>
      </c>
      <c r="F1089" s="1">
        <f>IFERROR(__xludf.DUMMYFUNCTION("""COMPUTED_VALUE"""),38511.0)</f>
        <v>38511</v>
      </c>
    </row>
    <row r="1090">
      <c r="A1090" s="2">
        <f>IFERROR(__xludf.DUMMYFUNCTION("""COMPUTED_VALUE"""),42524.64583333333)</f>
        <v>42524.64583</v>
      </c>
      <c r="B1090" s="1">
        <f>IFERROR(__xludf.DUMMYFUNCTION("""COMPUTED_VALUE"""),5410.0)</f>
        <v>5410</v>
      </c>
      <c r="C1090" s="1">
        <f>IFERROR(__xludf.DUMMYFUNCTION("""COMPUTED_VALUE"""),5430.0)</f>
        <v>5430</v>
      </c>
      <c r="D1090" s="1">
        <f>IFERROR(__xludf.DUMMYFUNCTION("""COMPUTED_VALUE"""),5350.0)</f>
        <v>5350</v>
      </c>
      <c r="E1090" s="1">
        <f>IFERROR(__xludf.DUMMYFUNCTION("""COMPUTED_VALUE"""),5420.0)</f>
        <v>5420</v>
      </c>
      <c r="F1090" s="1">
        <f>IFERROR(__xludf.DUMMYFUNCTION("""COMPUTED_VALUE"""),24584.0)</f>
        <v>24584</v>
      </c>
    </row>
    <row r="1091">
      <c r="A1091" s="2">
        <f>IFERROR(__xludf.DUMMYFUNCTION("""COMPUTED_VALUE"""),42528.64583333333)</f>
        <v>42528.64583</v>
      </c>
      <c r="B1091" s="1">
        <f>IFERROR(__xludf.DUMMYFUNCTION("""COMPUTED_VALUE"""),5420.0)</f>
        <v>5420</v>
      </c>
      <c r="C1091" s="1">
        <f>IFERROR(__xludf.DUMMYFUNCTION("""COMPUTED_VALUE"""),5430.0)</f>
        <v>5430</v>
      </c>
      <c r="D1091" s="1">
        <f>IFERROR(__xludf.DUMMYFUNCTION("""COMPUTED_VALUE"""),5360.0)</f>
        <v>5360</v>
      </c>
      <c r="E1091" s="1">
        <f>IFERROR(__xludf.DUMMYFUNCTION("""COMPUTED_VALUE"""),5360.0)</f>
        <v>5360</v>
      </c>
      <c r="F1091" s="1">
        <f>IFERROR(__xludf.DUMMYFUNCTION("""COMPUTED_VALUE"""),18306.0)</f>
        <v>18306</v>
      </c>
    </row>
    <row r="1092">
      <c r="A1092" s="2">
        <f>IFERROR(__xludf.DUMMYFUNCTION("""COMPUTED_VALUE"""),42529.64583333333)</f>
        <v>42529.64583</v>
      </c>
      <c r="B1092" s="1">
        <f>IFERROR(__xludf.DUMMYFUNCTION("""COMPUTED_VALUE"""),5360.0)</f>
        <v>5360</v>
      </c>
      <c r="C1092" s="1">
        <f>IFERROR(__xludf.DUMMYFUNCTION("""COMPUTED_VALUE"""),5450.0)</f>
        <v>5450</v>
      </c>
      <c r="D1092" s="1">
        <f>IFERROR(__xludf.DUMMYFUNCTION("""COMPUTED_VALUE"""),5330.0)</f>
        <v>5330</v>
      </c>
      <c r="E1092" s="1">
        <f>IFERROR(__xludf.DUMMYFUNCTION("""COMPUTED_VALUE"""),5410.0)</f>
        <v>5410</v>
      </c>
      <c r="F1092" s="1">
        <f>IFERROR(__xludf.DUMMYFUNCTION("""COMPUTED_VALUE"""),13043.0)</f>
        <v>13043</v>
      </c>
    </row>
    <row r="1093">
      <c r="A1093" s="2">
        <f>IFERROR(__xludf.DUMMYFUNCTION("""COMPUTED_VALUE"""),42530.64583333333)</f>
        <v>42530.64583</v>
      </c>
      <c r="B1093" s="1">
        <f>IFERROR(__xludf.DUMMYFUNCTION("""COMPUTED_VALUE"""),5410.0)</f>
        <v>5410</v>
      </c>
      <c r="C1093" s="1">
        <f>IFERROR(__xludf.DUMMYFUNCTION("""COMPUTED_VALUE"""),5450.0)</f>
        <v>5450</v>
      </c>
      <c r="D1093" s="1">
        <f>IFERROR(__xludf.DUMMYFUNCTION("""COMPUTED_VALUE"""),5360.0)</f>
        <v>5360</v>
      </c>
      <c r="E1093" s="1">
        <f>IFERROR(__xludf.DUMMYFUNCTION("""COMPUTED_VALUE"""),5360.0)</f>
        <v>5360</v>
      </c>
      <c r="F1093" s="1">
        <f>IFERROR(__xludf.DUMMYFUNCTION("""COMPUTED_VALUE"""),7581.0)</f>
        <v>7581</v>
      </c>
    </row>
    <row r="1094">
      <c r="A1094" s="2">
        <f>IFERROR(__xludf.DUMMYFUNCTION("""COMPUTED_VALUE"""),42531.64583333333)</f>
        <v>42531.64583</v>
      </c>
      <c r="B1094" s="1">
        <f>IFERROR(__xludf.DUMMYFUNCTION("""COMPUTED_VALUE"""),5400.0)</f>
        <v>5400</v>
      </c>
      <c r="C1094" s="1">
        <f>IFERROR(__xludf.DUMMYFUNCTION("""COMPUTED_VALUE"""),5470.0)</f>
        <v>5470</v>
      </c>
      <c r="D1094" s="1">
        <f>IFERROR(__xludf.DUMMYFUNCTION("""COMPUTED_VALUE"""),5350.0)</f>
        <v>5350</v>
      </c>
      <c r="E1094" s="1">
        <f>IFERROR(__xludf.DUMMYFUNCTION("""COMPUTED_VALUE"""),5400.0)</f>
        <v>5400</v>
      </c>
      <c r="F1094" s="1">
        <f>IFERROR(__xludf.DUMMYFUNCTION("""COMPUTED_VALUE"""),21821.0)</f>
        <v>21821</v>
      </c>
    </row>
    <row r="1095">
      <c r="A1095" s="2">
        <f>IFERROR(__xludf.DUMMYFUNCTION("""COMPUTED_VALUE"""),42534.64583333333)</f>
        <v>42534.64583</v>
      </c>
      <c r="B1095" s="1">
        <f>IFERROR(__xludf.DUMMYFUNCTION("""COMPUTED_VALUE"""),5400.0)</f>
        <v>5400</v>
      </c>
      <c r="C1095" s="1">
        <f>IFERROR(__xludf.DUMMYFUNCTION("""COMPUTED_VALUE"""),5420.0)</f>
        <v>5420</v>
      </c>
      <c r="D1095" s="1">
        <f>IFERROR(__xludf.DUMMYFUNCTION("""COMPUTED_VALUE"""),5350.0)</f>
        <v>5350</v>
      </c>
      <c r="E1095" s="1">
        <f>IFERROR(__xludf.DUMMYFUNCTION("""COMPUTED_VALUE"""),5420.0)</f>
        <v>5420</v>
      </c>
      <c r="F1095" s="1">
        <f>IFERROR(__xludf.DUMMYFUNCTION("""COMPUTED_VALUE"""),19460.0)</f>
        <v>19460</v>
      </c>
    </row>
    <row r="1096">
      <c r="A1096" s="2">
        <f>IFERROR(__xludf.DUMMYFUNCTION("""COMPUTED_VALUE"""),42535.64583333333)</f>
        <v>42535.64583</v>
      </c>
      <c r="B1096" s="1">
        <f>IFERROR(__xludf.DUMMYFUNCTION("""COMPUTED_VALUE"""),5420.0)</f>
        <v>5420</v>
      </c>
      <c r="C1096" s="1">
        <f>IFERROR(__xludf.DUMMYFUNCTION("""COMPUTED_VALUE"""),5490.0)</f>
        <v>5490</v>
      </c>
      <c r="D1096" s="1">
        <f>IFERROR(__xludf.DUMMYFUNCTION("""COMPUTED_VALUE"""),5380.0)</f>
        <v>5380</v>
      </c>
      <c r="E1096" s="1">
        <f>IFERROR(__xludf.DUMMYFUNCTION("""COMPUTED_VALUE"""),5450.0)</f>
        <v>5450</v>
      </c>
      <c r="F1096" s="1">
        <f>IFERROR(__xludf.DUMMYFUNCTION("""COMPUTED_VALUE"""),14862.0)</f>
        <v>14862</v>
      </c>
    </row>
    <row r="1097">
      <c r="A1097" s="2">
        <f>IFERROR(__xludf.DUMMYFUNCTION("""COMPUTED_VALUE"""),42536.64583333333)</f>
        <v>42536.64583</v>
      </c>
      <c r="B1097" s="1">
        <f>IFERROR(__xludf.DUMMYFUNCTION("""COMPUTED_VALUE"""),5440.0)</f>
        <v>5440</v>
      </c>
      <c r="C1097" s="1">
        <f>IFERROR(__xludf.DUMMYFUNCTION("""COMPUTED_VALUE"""),5440.0)</f>
        <v>5440</v>
      </c>
      <c r="D1097" s="1">
        <f>IFERROR(__xludf.DUMMYFUNCTION("""COMPUTED_VALUE"""),5370.0)</f>
        <v>5370</v>
      </c>
      <c r="E1097" s="1">
        <f>IFERROR(__xludf.DUMMYFUNCTION("""COMPUTED_VALUE"""),5430.0)</f>
        <v>5430</v>
      </c>
      <c r="F1097" s="1">
        <f>IFERROR(__xludf.DUMMYFUNCTION("""COMPUTED_VALUE"""),9690.0)</f>
        <v>9690</v>
      </c>
    </row>
    <row r="1098">
      <c r="A1098" s="2">
        <f>IFERROR(__xludf.DUMMYFUNCTION("""COMPUTED_VALUE"""),42537.64583333333)</f>
        <v>42537.64583</v>
      </c>
      <c r="B1098" s="1">
        <f>IFERROR(__xludf.DUMMYFUNCTION("""COMPUTED_VALUE"""),5440.0)</f>
        <v>5440</v>
      </c>
      <c r="C1098" s="1">
        <f>IFERROR(__xludf.DUMMYFUNCTION("""COMPUTED_VALUE"""),5440.0)</f>
        <v>5440</v>
      </c>
      <c r="D1098" s="1">
        <f>IFERROR(__xludf.DUMMYFUNCTION("""COMPUTED_VALUE"""),5350.0)</f>
        <v>5350</v>
      </c>
      <c r="E1098" s="1">
        <f>IFERROR(__xludf.DUMMYFUNCTION("""COMPUTED_VALUE"""),5400.0)</f>
        <v>5400</v>
      </c>
      <c r="F1098" s="1">
        <f>IFERROR(__xludf.DUMMYFUNCTION("""COMPUTED_VALUE"""),8745.0)</f>
        <v>8745</v>
      </c>
    </row>
    <row r="1099">
      <c r="A1099" s="2">
        <f>IFERROR(__xludf.DUMMYFUNCTION("""COMPUTED_VALUE"""),42538.64583333333)</f>
        <v>42538.64583</v>
      </c>
      <c r="B1099" s="1">
        <f>IFERROR(__xludf.DUMMYFUNCTION("""COMPUTED_VALUE"""),5390.0)</f>
        <v>5390</v>
      </c>
      <c r="C1099" s="1">
        <f>IFERROR(__xludf.DUMMYFUNCTION("""COMPUTED_VALUE"""),5400.0)</f>
        <v>5400</v>
      </c>
      <c r="D1099" s="1">
        <f>IFERROR(__xludf.DUMMYFUNCTION("""COMPUTED_VALUE"""),5350.0)</f>
        <v>5350</v>
      </c>
      <c r="E1099" s="1">
        <f>IFERROR(__xludf.DUMMYFUNCTION("""COMPUTED_VALUE"""),5400.0)</f>
        <v>5400</v>
      </c>
      <c r="F1099" s="1">
        <f>IFERROR(__xludf.DUMMYFUNCTION("""COMPUTED_VALUE"""),4194.0)</f>
        <v>4194</v>
      </c>
    </row>
    <row r="1100">
      <c r="A1100" s="2">
        <f>IFERROR(__xludf.DUMMYFUNCTION("""COMPUTED_VALUE"""),42541.64583333333)</f>
        <v>42541.64583</v>
      </c>
      <c r="B1100" s="1">
        <f>IFERROR(__xludf.DUMMYFUNCTION("""COMPUTED_VALUE"""),5400.0)</f>
        <v>5400</v>
      </c>
      <c r="C1100" s="1">
        <f>IFERROR(__xludf.DUMMYFUNCTION("""COMPUTED_VALUE"""),5440.0)</f>
        <v>5440</v>
      </c>
      <c r="D1100" s="1">
        <f>IFERROR(__xludf.DUMMYFUNCTION("""COMPUTED_VALUE"""),5360.0)</f>
        <v>5360</v>
      </c>
      <c r="E1100" s="1">
        <f>IFERROR(__xludf.DUMMYFUNCTION("""COMPUTED_VALUE"""),5430.0)</f>
        <v>5430</v>
      </c>
      <c r="F1100" s="1">
        <f>IFERROR(__xludf.DUMMYFUNCTION("""COMPUTED_VALUE"""),7447.0)</f>
        <v>7447</v>
      </c>
    </row>
    <row r="1101">
      <c r="A1101" s="2">
        <f>IFERROR(__xludf.DUMMYFUNCTION("""COMPUTED_VALUE"""),42542.64583333333)</f>
        <v>42542.64583</v>
      </c>
      <c r="B1101" s="1">
        <f>IFERROR(__xludf.DUMMYFUNCTION("""COMPUTED_VALUE"""),5420.0)</f>
        <v>5420</v>
      </c>
      <c r="C1101" s="1">
        <f>IFERROR(__xludf.DUMMYFUNCTION("""COMPUTED_VALUE"""),5420.0)</f>
        <v>5420</v>
      </c>
      <c r="D1101" s="1">
        <f>IFERROR(__xludf.DUMMYFUNCTION("""COMPUTED_VALUE"""),5360.0)</f>
        <v>5360</v>
      </c>
      <c r="E1101" s="1">
        <f>IFERROR(__xludf.DUMMYFUNCTION("""COMPUTED_VALUE"""),5420.0)</f>
        <v>5420</v>
      </c>
      <c r="F1101" s="1">
        <f>IFERROR(__xludf.DUMMYFUNCTION("""COMPUTED_VALUE"""),12089.0)</f>
        <v>12089</v>
      </c>
    </row>
    <row r="1102">
      <c r="A1102" s="2">
        <f>IFERROR(__xludf.DUMMYFUNCTION("""COMPUTED_VALUE"""),42543.64583333333)</f>
        <v>42543.64583</v>
      </c>
      <c r="B1102" s="1">
        <f>IFERROR(__xludf.DUMMYFUNCTION("""COMPUTED_VALUE"""),5420.0)</f>
        <v>5420</v>
      </c>
      <c r="C1102" s="1">
        <f>IFERROR(__xludf.DUMMYFUNCTION("""COMPUTED_VALUE"""),5420.0)</f>
        <v>5420</v>
      </c>
      <c r="D1102" s="1">
        <f>IFERROR(__xludf.DUMMYFUNCTION("""COMPUTED_VALUE"""),5340.0)</f>
        <v>5340</v>
      </c>
      <c r="E1102" s="1">
        <f>IFERROR(__xludf.DUMMYFUNCTION("""COMPUTED_VALUE"""),5400.0)</f>
        <v>5400</v>
      </c>
      <c r="F1102" s="1">
        <f>IFERROR(__xludf.DUMMYFUNCTION("""COMPUTED_VALUE"""),7096.0)</f>
        <v>7096</v>
      </c>
    </row>
    <row r="1103">
      <c r="A1103" s="2">
        <f>IFERROR(__xludf.DUMMYFUNCTION("""COMPUTED_VALUE"""),42544.64583333333)</f>
        <v>42544.64583</v>
      </c>
      <c r="B1103" s="1">
        <f>IFERROR(__xludf.DUMMYFUNCTION("""COMPUTED_VALUE"""),5390.0)</f>
        <v>5390</v>
      </c>
      <c r="C1103" s="1">
        <f>IFERROR(__xludf.DUMMYFUNCTION("""COMPUTED_VALUE"""),5400.0)</f>
        <v>5400</v>
      </c>
      <c r="D1103" s="1">
        <f>IFERROR(__xludf.DUMMYFUNCTION("""COMPUTED_VALUE"""),5320.0)</f>
        <v>5320</v>
      </c>
      <c r="E1103" s="1">
        <f>IFERROR(__xludf.DUMMYFUNCTION("""COMPUTED_VALUE"""),5390.0)</f>
        <v>5390</v>
      </c>
      <c r="F1103" s="1">
        <f>IFERROR(__xludf.DUMMYFUNCTION("""COMPUTED_VALUE"""),4647.0)</f>
        <v>4647</v>
      </c>
    </row>
    <row r="1104">
      <c r="A1104" s="2">
        <f>IFERROR(__xludf.DUMMYFUNCTION("""COMPUTED_VALUE"""),42545.64583333333)</f>
        <v>42545.64583</v>
      </c>
      <c r="B1104" s="1">
        <f>IFERROR(__xludf.DUMMYFUNCTION("""COMPUTED_VALUE"""),5390.0)</f>
        <v>5390</v>
      </c>
      <c r="C1104" s="1">
        <f>IFERROR(__xludf.DUMMYFUNCTION("""COMPUTED_VALUE"""),5390.0)</f>
        <v>5390</v>
      </c>
      <c r="D1104" s="1">
        <f>IFERROR(__xludf.DUMMYFUNCTION("""COMPUTED_VALUE"""),5110.0)</f>
        <v>5110</v>
      </c>
      <c r="E1104" s="1">
        <f>IFERROR(__xludf.DUMMYFUNCTION("""COMPUTED_VALUE"""),5250.0)</f>
        <v>5250</v>
      </c>
      <c r="F1104" s="1">
        <f>IFERROR(__xludf.DUMMYFUNCTION("""COMPUTED_VALUE"""),23214.0)</f>
        <v>23214</v>
      </c>
    </row>
    <row r="1105">
      <c r="A1105" s="2">
        <f>IFERROR(__xludf.DUMMYFUNCTION("""COMPUTED_VALUE"""),42548.64583333333)</f>
        <v>42548.64583</v>
      </c>
      <c r="B1105" s="1">
        <f>IFERROR(__xludf.DUMMYFUNCTION("""COMPUTED_VALUE"""),5150.0)</f>
        <v>5150</v>
      </c>
      <c r="C1105" s="1">
        <f>IFERROR(__xludf.DUMMYFUNCTION("""COMPUTED_VALUE"""),5250.0)</f>
        <v>5250</v>
      </c>
      <c r="D1105" s="1">
        <f>IFERROR(__xludf.DUMMYFUNCTION("""COMPUTED_VALUE"""),5150.0)</f>
        <v>5150</v>
      </c>
      <c r="E1105" s="1">
        <f>IFERROR(__xludf.DUMMYFUNCTION("""COMPUTED_VALUE"""),5170.0)</f>
        <v>5170</v>
      </c>
      <c r="F1105" s="1">
        <f>IFERROR(__xludf.DUMMYFUNCTION("""COMPUTED_VALUE"""),13399.0)</f>
        <v>13399</v>
      </c>
    </row>
    <row r="1106">
      <c r="A1106" s="2">
        <f>IFERROR(__xludf.DUMMYFUNCTION("""COMPUTED_VALUE"""),42549.64583333333)</f>
        <v>42549.64583</v>
      </c>
      <c r="B1106" s="1">
        <f>IFERROR(__xludf.DUMMYFUNCTION("""COMPUTED_VALUE"""),5180.0)</f>
        <v>5180</v>
      </c>
      <c r="C1106" s="1">
        <f>IFERROR(__xludf.DUMMYFUNCTION("""COMPUTED_VALUE"""),5230.0)</f>
        <v>5230</v>
      </c>
      <c r="D1106" s="1">
        <f>IFERROR(__xludf.DUMMYFUNCTION("""COMPUTED_VALUE"""),5160.0)</f>
        <v>5160</v>
      </c>
      <c r="E1106" s="1">
        <f>IFERROR(__xludf.DUMMYFUNCTION("""COMPUTED_VALUE"""),5190.0)</f>
        <v>5190</v>
      </c>
      <c r="F1106" s="1">
        <f>IFERROR(__xludf.DUMMYFUNCTION("""COMPUTED_VALUE"""),17354.0)</f>
        <v>17354</v>
      </c>
    </row>
    <row r="1107">
      <c r="A1107" s="2">
        <f>IFERROR(__xludf.DUMMYFUNCTION("""COMPUTED_VALUE"""),42550.64583333333)</f>
        <v>42550.64583</v>
      </c>
      <c r="B1107" s="1">
        <f>IFERROR(__xludf.DUMMYFUNCTION("""COMPUTED_VALUE"""),5190.0)</f>
        <v>5190</v>
      </c>
      <c r="C1107" s="1">
        <f>IFERROR(__xludf.DUMMYFUNCTION("""COMPUTED_VALUE"""),5210.0)</f>
        <v>5210</v>
      </c>
      <c r="D1107" s="1">
        <f>IFERROR(__xludf.DUMMYFUNCTION("""COMPUTED_VALUE"""),5140.0)</f>
        <v>5140</v>
      </c>
      <c r="E1107" s="1">
        <f>IFERROR(__xludf.DUMMYFUNCTION("""COMPUTED_VALUE"""),5190.0)</f>
        <v>5190</v>
      </c>
      <c r="F1107" s="1">
        <f>IFERROR(__xludf.DUMMYFUNCTION("""COMPUTED_VALUE"""),9353.0)</f>
        <v>9353</v>
      </c>
    </row>
    <row r="1108">
      <c r="A1108" s="2">
        <f>IFERROR(__xludf.DUMMYFUNCTION("""COMPUTED_VALUE"""),42551.64583333333)</f>
        <v>42551.64583</v>
      </c>
      <c r="B1108" s="1">
        <f>IFERROR(__xludf.DUMMYFUNCTION("""COMPUTED_VALUE"""),5230.0)</f>
        <v>5230</v>
      </c>
      <c r="C1108" s="1">
        <f>IFERROR(__xludf.DUMMYFUNCTION("""COMPUTED_VALUE"""),5310.0)</f>
        <v>5310</v>
      </c>
      <c r="D1108" s="1">
        <f>IFERROR(__xludf.DUMMYFUNCTION("""COMPUTED_VALUE"""),5200.0)</f>
        <v>5200</v>
      </c>
      <c r="E1108" s="1">
        <f>IFERROR(__xludf.DUMMYFUNCTION("""COMPUTED_VALUE"""),5230.0)</f>
        <v>5230</v>
      </c>
      <c r="F1108" s="1">
        <f>IFERROR(__xludf.DUMMYFUNCTION("""COMPUTED_VALUE"""),7725.0)</f>
        <v>7725</v>
      </c>
    </row>
    <row r="1109">
      <c r="A1109" s="2">
        <f>IFERROR(__xludf.DUMMYFUNCTION("""COMPUTED_VALUE"""),42552.64583333333)</f>
        <v>42552.64583</v>
      </c>
      <c r="B1109" s="1">
        <f>IFERROR(__xludf.DUMMYFUNCTION("""COMPUTED_VALUE"""),5250.0)</f>
        <v>5250</v>
      </c>
      <c r="C1109" s="1">
        <f>IFERROR(__xludf.DUMMYFUNCTION("""COMPUTED_VALUE"""),5260.0)</f>
        <v>5260</v>
      </c>
      <c r="D1109" s="1">
        <f>IFERROR(__xludf.DUMMYFUNCTION("""COMPUTED_VALUE"""),5160.0)</f>
        <v>5160</v>
      </c>
      <c r="E1109" s="1">
        <f>IFERROR(__xludf.DUMMYFUNCTION("""COMPUTED_VALUE"""),5230.0)</f>
        <v>5230</v>
      </c>
      <c r="F1109" s="1">
        <f>IFERROR(__xludf.DUMMYFUNCTION("""COMPUTED_VALUE"""),12770.0)</f>
        <v>12770</v>
      </c>
    </row>
    <row r="1110">
      <c r="A1110" s="2">
        <f>IFERROR(__xludf.DUMMYFUNCTION("""COMPUTED_VALUE"""),42555.64583333333)</f>
        <v>42555.64583</v>
      </c>
      <c r="B1110" s="1">
        <f>IFERROR(__xludf.DUMMYFUNCTION("""COMPUTED_VALUE"""),5250.0)</f>
        <v>5250</v>
      </c>
      <c r="C1110" s="1">
        <f>IFERROR(__xludf.DUMMYFUNCTION("""COMPUTED_VALUE"""),5270.0)</f>
        <v>5270</v>
      </c>
      <c r="D1110" s="1">
        <f>IFERROR(__xludf.DUMMYFUNCTION("""COMPUTED_VALUE"""),5210.0)</f>
        <v>5210</v>
      </c>
      <c r="E1110" s="1">
        <f>IFERROR(__xludf.DUMMYFUNCTION("""COMPUTED_VALUE"""),5220.0)</f>
        <v>5220</v>
      </c>
      <c r="F1110" s="1">
        <f>IFERROR(__xludf.DUMMYFUNCTION("""COMPUTED_VALUE"""),7479.0)</f>
        <v>7479</v>
      </c>
    </row>
    <row r="1111">
      <c r="A1111" s="2">
        <f>IFERROR(__xludf.DUMMYFUNCTION("""COMPUTED_VALUE"""),42556.64583333333)</f>
        <v>42556.64583</v>
      </c>
      <c r="B1111" s="1">
        <f>IFERROR(__xludf.DUMMYFUNCTION("""COMPUTED_VALUE"""),5230.0)</f>
        <v>5230</v>
      </c>
      <c r="C1111" s="1">
        <f>IFERROR(__xludf.DUMMYFUNCTION("""COMPUTED_VALUE"""),5300.0)</f>
        <v>5300</v>
      </c>
      <c r="D1111" s="1">
        <f>IFERROR(__xludf.DUMMYFUNCTION("""COMPUTED_VALUE"""),5230.0)</f>
        <v>5230</v>
      </c>
      <c r="E1111" s="1">
        <f>IFERROR(__xludf.DUMMYFUNCTION("""COMPUTED_VALUE"""),5250.0)</f>
        <v>5250</v>
      </c>
      <c r="F1111" s="1">
        <f>IFERROR(__xludf.DUMMYFUNCTION("""COMPUTED_VALUE"""),7646.0)</f>
        <v>7646</v>
      </c>
    </row>
    <row r="1112">
      <c r="A1112" s="2">
        <f>IFERROR(__xludf.DUMMYFUNCTION("""COMPUTED_VALUE"""),42557.64583333333)</f>
        <v>42557.64583</v>
      </c>
      <c r="B1112" s="1">
        <f>IFERROR(__xludf.DUMMYFUNCTION("""COMPUTED_VALUE"""),5290.0)</f>
        <v>5290</v>
      </c>
      <c r="C1112" s="1">
        <f>IFERROR(__xludf.DUMMYFUNCTION("""COMPUTED_VALUE"""),5290.0)</f>
        <v>5290</v>
      </c>
      <c r="D1112" s="1">
        <f>IFERROR(__xludf.DUMMYFUNCTION("""COMPUTED_VALUE"""),5180.0)</f>
        <v>5180</v>
      </c>
      <c r="E1112" s="1">
        <f>IFERROR(__xludf.DUMMYFUNCTION("""COMPUTED_VALUE"""),5270.0)</f>
        <v>5270</v>
      </c>
      <c r="F1112" s="1">
        <f>IFERROR(__xludf.DUMMYFUNCTION("""COMPUTED_VALUE"""),8415.0)</f>
        <v>8415</v>
      </c>
    </row>
    <row r="1113">
      <c r="A1113" s="2">
        <f>IFERROR(__xludf.DUMMYFUNCTION("""COMPUTED_VALUE"""),42558.64583333333)</f>
        <v>42558.64583</v>
      </c>
      <c r="B1113" s="1">
        <f>IFERROR(__xludf.DUMMYFUNCTION("""COMPUTED_VALUE"""),5270.0)</f>
        <v>5270</v>
      </c>
      <c r="C1113" s="1">
        <f>IFERROR(__xludf.DUMMYFUNCTION("""COMPUTED_VALUE"""),5370.0)</f>
        <v>5370</v>
      </c>
      <c r="D1113" s="1">
        <f>IFERROR(__xludf.DUMMYFUNCTION("""COMPUTED_VALUE"""),5200.0)</f>
        <v>5200</v>
      </c>
      <c r="E1113" s="1">
        <f>IFERROR(__xludf.DUMMYFUNCTION("""COMPUTED_VALUE"""),5330.0)</f>
        <v>5330</v>
      </c>
      <c r="F1113" s="1">
        <f>IFERROR(__xludf.DUMMYFUNCTION("""COMPUTED_VALUE"""),26968.0)</f>
        <v>26968</v>
      </c>
    </row>
    <row r="1114">
      <c r="A1114" s="2">
        <f>IFERROR(__xludf.DUMMYFUNCTION("""COMPUTED_VALUE"""),42559.64583333333)</f>
        <v>42559.64583</v>
      </c>
      <c r="B1114" s="1">
        <f>IFERROR(__xludf.DUMMYFUNCTION("""COMPUTED_VALUE"""),5350.0)</f>
        <v>5350</v>
      </c>
      <c r="C1114" s="1">
        <f>IFERROR(__xludf.DUMMYFUNCTION("""COMPUTED_VALUE"""),5410.0)</f>
        <v>5410</v>
      </c>
      <c r="D1114" s="1">
        <f>IFERROR(__xludf.DUMMYFUNCTION("""COMPUTED_VALUE"""),5270.0)</f>
        <v>5270</v>
      </c>
      <c r="E1114" s="1">
        <f>IFERROR(__xludf.DUMMYFUNCTION("""COMPUTED_VALUE"""),5410.0)</f>
        <v>5410</v>
      </c>
      <c r="F1114" s="1">
        <f>IFERROR(__xludf.DUMMYFUNCTION("""COMPUTED_VALUE"""),12889.0)</f>
        <v>12889</v>
      </c>
    </row>
    <row r="1115">
      <c r="A1115" s="2">
        <f>IFERROR(__xludf.DUMMYFUNCTION("""COMPUTED_VALUE"""),42562.64583333333)</f>
        <v>42562.64583</v>
      </c>
      <c r="B1115" s="1">
        <f>IFERROR(__xludf.DUMMYFUNCTION("""COMPUTED_VALUE"""),5410.0)</f>
        <v>5410</v>
      </c>
      <c r="C1115" s="1">
        <f>IFERROR(__xludf.DUMMYFUNCTION("""COMPUTED_VALUE"""),5410.0)</f>
        <v>5410</v>
      </c>
      <c r="D1115" s="1">
        <f>IFERROR(__xludf.DUMMYFUNCTION("""COMPUTED_VALUE"""),5280.0)</f>
        <v>5280</v>
      </c>
      <c r="E1115" s="1">
        <f>IFERROR(__xludf.DUMMYFUNCTION("""COMPUTED_VALUE"""),5390.0)</f>
        <v>5390</v>
      </c>
      <c r="F1115" s="1">
        <f>IFERROR(__xludf.DUMMYFUNCTION("""COMPUTED_VALUE"""),9974.0)</f>
        <v>9974</v>
      </c>
    </row>
    <row r="1116">
      <c r="A1116" s="2">
        <f>IFERROR(__xludf.DUMMYFUNCTION("""COMPUTED_VALUE"""),42563.64583333333)</f>
        <v>42563.64583</v>
      </c>
      <c r="B1116" s="1">
        <f>IFERROR(__xludf.DUMMYFUNCTION("""COMPUTED_VALUE"""),5380.0)</f>
        <v>5380</v>
      </c>
      <c r="C1116" s="1">
        <f>IFERROR(__xludf.DUMMYFUNCTION("""COMPUTED_VALUE"""),5460.0)</f>
        <v>5460</v>
      </c>
      <c r="D1116" s="1">
        <f>IFERROR(__xludf.DUMMYFUNCTION("""COMPUTED_VALUE"""),5290.0)</f>
        <v>5290</v>
      </c>
      <c r="E1116" s="1">
        <f>IFERROR(__xludf.DUMMYFUNCTION("""COMPUTED_VALUE"""),5360.0)</f>
        <v>5360</v>
      </c>
      <c r="F1116" s="1">
        <f>IFERROR(__xludf.DUMMYFUNCTION("""COMPUTED_VALUE"""),11291.0)</f>
        <v>11291</v>
      </c>
    </row>
    <row r="1117">
      <c r="A1117" s="2">
        <f>IFERROR(__xludf.DUMMYFUNCTION("""COMPUTED_VALUE"""),42564.64583333333)</f>
        <v>42564.64583</v>
      </c>
      <c r="B1117" s="1">
        <f>IFERROR(__xludf.DUMMYFUNCTION("""COMPUTED_VALUE"""),5310.0)</f>
        <v>5310</v>
      </c>
      <c r="C1117" s="1">
        <f>IFERROR(__xludf.DUMMYFUNCTION("""COMPUTED_VALUE"""),5400.0)</f>
        <v>5400</v>
      </c>
      <c r="D1117" s="1">
        <f>IFERROR(__xludf.DUMMYFUNCTION("""COMPUTED_VALUE"""),5300.0)</f>
        <v>5300</v>
      </c>
      <c r="E1117" s="1">
        <f>IFERROR(__xludf.DUMMYFUNCTION("""COMPUTED_VALUE"""),5370.0)</f>
        <v>5370</v>
      </c>
      <c r="F1117" s="1">
        <f>IFERROR(__xludf.DUMMYFUNCTION("""COMPUTED_VALUE"""),10934.0)</f>
        <v>10934</v>
      </c>
    </row>
    <row r="1118">
      <c r="A1118" s="2">
        <f>IFERROR(__xludf.DUMMYFUNCTION("""COMPUTED_VALUE"""),42565.64583333333)</f>
        <v>42565.64583</v>
      </c>
      <c r="B1118" s="1">
        <f>IFERROR(__xludf.DUMMYFUNCTION("""COMPUTED_VALUE"""),5310.0)</f>
        <v>5310</v>
      </c>
      <c r="C1118" s="1">
        <f>IFERROR(__xludf.DUMMYFUNCTION("""COMPUTED_VALUE"""),5360.0)</f>
        <v>5360</v>
      </c>
      <c r="D1118" s="1">
        <f>IFERROR(__xludf.DUMMYFUNCTION("""COMPUTED_VALUE"""),5280.0)</f>
        <v>5280</v>
      </c>
      <c r="E1118" s="1">
        <f>IFERROR(__xludf.DUMMYFUNCTION("""COMPUTED_VALUE"""),5340.0)</f>
        <v>5340</v>
      </c>
      <c r="F1118" s="1">
        <f>IFERROR(__xludf.DUMMYFUNCTION("""COMPUTED_VALUE"""),7640.0)</f>
        <v>7640</v>
      </c>
    </row>
    <row r="1119">
      <c r="A1119" s="2">
        <f>IFERROR(__xludf.DUMMYFUNCTION("""COMPUTED_VALUE"""),42566.64583333333)</f>
        <v>42566.64583</v>
      </c>
      <c r="B1119" s="1">
        <f>IFERROR(__xludf.DUMMYFUNCTION("""COMPUTED_VALUE"""),5320.0)</f>
        <v>5320</v>
      </c>
      <c r="C1119" s="1">
        <f>IFERROR(__xludf.DUMMYFUNCTION("""COMPUTED_VALUE"""),5380.0)</f>
        <v>5380</v>
      </c>
      <c r="D1119" s="1">
        <f>IFERROR(__xludf.DUMMYFUNCTION("""COMPUTED_VALUE"""),5290.0)</f>
        <v>5290</v>
      </c>
      <c r="E1119" s="1">
        <f>IFERROR(__xludf.DUMMYFUNCTION("""COMPUTED_VALUE"""),5370.0)</f>
        <v>5370</v>
      </c>
      <c r="F1119" s="1">
        <f>IFERROR(__xludf.DUMMYFUNCTION("""COMPUTED_VALUE"""),12327.0)</f>
        <v>12327</v>
      </c>
    </row>
    <row r="1120">
      <c r="A1120" s="2">
        <f>IFERROR(__xludf.DUMMYFUNCTION("""COMPUTED_VALUE"""),42569.64583333333)</f>
        <v>42569.64583</v>
      </c>
      <c r="B1120" s="1">
        <f>IFERROR(__xludf.DUMMYFUNCTION("""COMPUTED_VALUE"""),5360.0)</f>
        <v>5360</v>
      </c>
      <c r="C1120" s="1">
        <f>IFERROR(__xludf.DUMMYFUNCTION("""COMPUTED_VALUE"""),5370.0)</f>
        <v>5370</v>
      </c>
      <c r="D1120" s="1">
        <f>IFERROR(__xludf.DUMMYFUNCTION("""COMPUTED_VALUE"""),5300.0)</f>
        <v>5300</v>
      </c>
      <c r="E1120" s="1">
        <f>IFERROR(__xludf.DUMMYFUNCTION("""COMPUTED_VALUE"""),5360.0)</f>
        <v>5360</v>
      </c>
      <c r="F1120" s="1">
        <f>IFERROR(__xludf.DUMMYFUNCTION("""COMPUTED_VALUE"""),11482.0)</f>
        <v>11482</v>
      </c>
    </row>
    <row r="1121">
      <c r="A1121" s="2">
        <f>IFERROR(__xludf.DUMMYFUNCTION("""COMPUTED_VALUE"""),42570.64583333333)</f>
        <v>42570.64583</v>
      </c>
      <c r="B1121" s="1">
        <f>IFERROR(__xludf.DUMMYFUNCTION("""COMPUTED_VALUE"""),5360.0)</f>
        <v>5360</v>
      </c>
      <c r="C1121" s="1">
        <f>IFERROR(__xludf.DUMMYFUNCTION("""COMPUTED_VALUE"""),5430.0)</f>
        <v>5430</v>
      </c>
      <c r="D1121" s="1">
        <f>IFERROR(__xludf.DUMMYFUNCTION("""COMPUTED_VALUE"""),5280.0)</f>
        <v>5280</v>
      </c>
      <c r="E1121" s="1">
        <f>IFERROR(__xludf.DUMMYFUNCTION("""COMPUTED_VALUE"""),5280.0)</f>
        <v>5280</v>
      </c>
      <c r="F1121" s="1">
        <f>IFERROR(__xludf.DUMMYFUNCTION("""COMPUTED_VALUE"""),13302.0)</f>
        <v>13302</v>
      </c>
    </row>
    <row r="1122">
      <c r="A1122" s="2">
        <f>IFERROR(__xludf.DUMMYFUNCTION("""COMPUTED_VALUE"""),42571.64583333333)</f>
        <v>42571.64583</v>
      </c>
      <c r="B1122" s="1">
        <f>IFERROR(__xludf.DUMMYFUNCTION("""COMPUTED_VALUE"""),5280.0)</f>
        <v>5280</v>
      </c>
      <c r="C1122" s="1">
        <f>IFERROR(__xludf.DUMMYFUNCTION("""COMPUTED_VALUE"""),5360.0)</f>
        <v>5360</v>
      </c>
      <c r="D1122" s="1">
        <f>IFERROR(__xludf.DUMMYFUNCTION("""COMPUTED_VALUE"""),5260.0)</f>
        <v>5260</v>
      </c>
      <c r="E1122" s="1">
        <f>IFERROR(__xludf.DUMMYFUNCTION("""COMPUTED_VALUE"""),5360.0)</f>
        <v>5360</v>
      </c>
      <c r="F1122" s="1">
        <f>IFERROR(__xludf.DUMMYFUNCTION("""COMPUTED_VALUE"""),6174.0)</f>
        <v>6174</v>
      </c>
    </row>
    <row r="1123">
      <c r="A1123" s="2">
        <f>IFERROR(__xludf.DUMMYFUNCTION("""COMPUTED_VALUE"""),42572.64583333333)</f>
        <v>42572.64583</v>
      </c>
      <c r="B1123" s="1">
        <f>IFERROR(__xludf.DUMMYFUNCTION("""COMPUTED_VALUE"""),5330.0)</f>
        <v>5330</v>
      </c>
      <c r="C1123" s="1">
        <f>IFERROR(__xludf.DUMMYFUNCTION("""COMPUTED_VALUE"""),5330.0)</f>
        <v>5330</v>
      </c>
      <c r="D1123" s="1">
        <f>IFERROR(__xludf.DUMMYFUNCTION("""COMPUTED_VALUE"""),5270.0)</f>
        <v>5270</v>
      </c>
      <c r="E1123" s="1">
        <f>IFERROR(__xludf.DUMMYFUNCTION("""COMPUTED_VALUE"""),5300.0)</f>
        <v>5300</v>
      </c>
      <c r="F1123" s="1">
        <f>IFERROR(__xludf.DUMMYFUNCTION("""COMPUTED_VALUE"""),8258.0)</f>
        <v>8258</v>
      </c>
    </row>
    <row r="1124">
      <c r="A1124" s="2">
        <f>IFERROR(__xludf.DUMMYFUNCTION("""COMPUTED_VALUE"""),42573.64583333333)</f>
        <v>42573.64583</v>
      </c>
      <c r="B1124" s="1">
        <f>IFERROR(__xludf.DUMMYFUNCTION("""COMPUTED_VALUE"""),5300.0)</f>
        <v>5300</v>
      </c>
      <c r="C1124" s="1">
        <f>IFERROR(__xludf.DUMMYFUNCTION("""COMPUTED_VALUE"""),5300.0)</f>
        <v>5300</v>
      </c>
      <c r="D1124" s="1">
        <f>IFERROR(__xludf.DUMMYFUNCTION("""COMPUTED_VALUE"""),5220.0)</f>
        <v>5220</v>
      </c>
      <c r="E1124" s="1">
        <f>IFERROR(__xludf.DUMMYFUNCTION("""COMPUTED_VALUE"""),5300.0)</f>
        <v>5300</v>
      </c>
      <c r="F1124" s="1">
        <f>IFERROR(__xludf.DUMMYFUNCTION("""COMPUTED_VALUE"""),20317.0)</f>
        <v>20317</v>
      </c>
    </row>
    <row r="1125">
      <c r="A1125" s="2">
        <f>IFERROR(__xludf.DUMMYFUNCTION("""COMPUTED_VALUE"""),42576.64583333333)</f>
        <v>42576.64583</v>
      </c>
      <c r="B1125" s="1">
        <f>IFERROR(__xludf.DUMMYFUNCTION("""COMPUTED_VALUE"""),5350.0)</f>
        <v>5350</v>
      </c>
      <c r="C1125" s="1">
        <f>IFERROR(__xludf.DUMMYFUNCTION("""COMPUTED_VALUE"""),5350.0)</f>
        <v>5350</v>
      </c>
      <c r="D1125" s="1">
        <f>IFERROR(__xludf.DUMMYFUNCTION("""COMPUTED_VALUE"""),5240.0)</f>
        <v>5240</v>
      </c>
      <c r="E1125" s="1">
        <f>IFERROR(__xludf.DUMMYFUNCTION("""COMPUTED_VALUE"""),5300.0)</f>
        <v>5300</v>
      </c>
      <c r="F1125" s="1">
        <f>IFERROR(__xludf.DUMMYFUNCTION("""COMPUTED_VALUE"""),8030.0)</f>
        <v>8030</v>
      </c>
    </row>
    <row r="1126">
      <c r="A1126" s="2">
        <f>IFERROR(__xludf.DUMMYFUNCTION("""COMPUTED_VALUE"""),42577.64583333333)</f>
        <v>42577.64583</v>
      </c>
      <c r="B1126" s="1">
        <f>IFERROR(__xludf.DUMMYFUNCTION("""COMPUTED_VALUE"""),5270.0)</f>
        <v>5270</v>
      </c>
      <c r="C1126" s="1">
        <f>IFERROR(__xludf.DUMMYFUNCTION("""COMPUTED_VALUE"""),5300.0)</f>
        <v>5300</v>
      </c>
      <c r="D1126" s="1">
        <f>IFERROR(__xludf.DUMMYFUNCTION("""COMPUTED_VALUE"""),5240.0)</f>
        <v>5240</v>
      </c>
      <c r="E1126" s="1">
        <f>IFERROR(__xludf.DUMMYFUNCTION("""COMPUTED_VALUE"""),5300.0)</f>
        <v>5300</v>
      </c>
      <c r="F1126" s="1">
        <f>IFERROR(__xludf.DUMMYFUNCTION("""COMPUTED_VALUE"""),8573.0)</f>
        <v>8573</v>
      </c>
    </row>
    <row r="1127">
      <c r="A1127" s="2">
        <f>IFERROR(__xludf.DUMMYFUNCTION("""COMPUTED_VALUE"""),42578.64583333333)</f>
        <v>42578.64583</v>
      </c>
      <c r="B1127" s="1">
        <f>IFERROR(__xludf.DUMMYFUNCTION("""COMPUTED_VALUE"""),5270.0)</f>
        <v>5270</v>
      </c>
      <c r="C1127" s="1">
        <f>IFERROR(__xludf.DUMMYFUNCTION("""COMPUTED_VALUE"""),5300.0)</f>
        <v>5300</v>
      </c>
      <c r="D1127" s="1">
        <f>IFERROR(__xludf.DUMMYFUNCTION("""COMPUTED_VALUE"""),5250.0)</f>
        <v>5250</v>
      </c>
      <c r="E1127" s="1">
        <f>IFERROR(__xludf.DUMMYFUNCTION("""COMPUTED_VALUE"""),5300.0)</f>
        <v>5300</v>
      </c>
      <c r="F1127" s="1">
        <f>IFERROR(__xludf.DUMMYFUNCTION("""COMPUTED_VALUE"""),16991.0)</f>
        <v>16991</v>
      </c>
    </row>
    <row r="1128">
      <c r="A1128" s="2">
        <f>IFERROR(__xludf.DUMMYFUNCTION("""COMPUTED_VALUE"""),42579.64583333333)</f>
        <v>42579.64583</v>
      </c>
      <c r="B1128" s="1">
        <f>IFERROR(__xludf.DUMMYFUNCTION("""COMPUTED_VALUE"""),5250.0)</f>
        <v>5250</v>
      </c>
      <c r="C1128" s="1">
        <f>IFERROR(__xludf.DUMMYFUNCTION("""COMPUTED_VALUE"""),5310.0)</f>
        <v>5310</v>
      </c>
      <c r="D1128" s="1">
        <f>IFERROR(__xludf.DUMMYFUNCTION("""COMPUTED_VALUE"""),5250.0)</f>
        <v>5250</v>
      </c>
      <c r="E1128" s="1">
        <f>IFERROR(__xludf.DUMMYFUNCTION("""COMPUTED_VALUE"""),5300.0)</f>
        <v>5300</v>
      </c>
      <c r="F1128" s="1">
        <f>IFERROR(__xludf.DUMMYFUNCTION("""COMPUTED_VALUE"""),17366.0)</f>
        <v>17366</v>
      </c>
    </row>
    <row r="1129">
      <c r="A1129" s="2">
        <f>IFERROR(__xludf.DUMMYFUNCTION("""COMPUTED_VALUE"""),42580.64583333333)</f>
        <v>42580.64583</v>
      </c>
      <c r="B1129" s="1">
        <f>IFERROR(__xludf.DUMMYFUNCTION("""COMPUTED_VALUE"""),5340.0)</f>
        <v>5340</v>
      </c>
      <c r="C1129" s="1">
        <f>IFERROR(__xludf.DUMMYFUNCTION("""COMPUTED_VALUE"""),5340.0)</f>
        <v>5340</v>
      </c>
      <c r="D1129" s="1">
        <f>IFERROR(__xludf.DUMMYFUNCTION("""COMPUTED_VALUE"""),5230.0)</f>
        <v>5230</v>
      </c>
      <c r="E1129" s="1">
        <f>IFERROR(__xludf.DUMMYFUNCTION("""COMPUTED_VALUE"""),5250.0)</f>
        <v>5250</v>
      </c>
      <c r="F1129" s="1">
        <f>IFERROR(__xludf.DUMMYFUNCTION("""COMPUTED_VALUE"""),11049.0)</f>
        <v>11049</v>
      </c>
    </row>
    <row r="1130">
      <c r="A1130" s="2">
        <f>IFERROR(__xludf.DUMMYFUNCTION("""COMPUTED_VALUE"""),42583.64583333333)</f>
        <v>42583.64583</v>
      </c>
      <c r="B1130" s="1">
        <f>IFERROR(__xludf.DUMMYFUNCTION("""COMPUTED_VALUE"""),5280.0)</f>
        <v>5280</v>
      </c>
      <c r="C1130" s="1">
        <f>IFERROR(__xludf.DUMMYFUNCTION("""COMPUTED_VALUE"""),5330.0)</f>
        <v>5330</v>
      </c>
      <c r="D1130" s="1">
        <f>IFERROR(__xludf.DUMMYFUNCTION("""COMPUTED_VALUE"""),5250.0)</f>
        <v>5250</v>
      </c>
      <c r="E1130" s="1">
        <f>IFERROR(__xludf.DUMMYFUNCTION("""COMPUTED_VALUE"""),5320.0)</f>
        <v>5320</v>
      </c>
      <c r="F1130" s="1">
        <f>IFERROR(__xludf.DUMMYFUNCTION("""COMPUTED_VALUE"""),20429.0)</f>
        <v>20429</v>
      </c>
    </row>
    <row r="1131">
      <c r="A1131" s="2">
        <f>IFERROR(__xludf.DUMMYFUNCTION("""COMPUTED_VALUE"""),42584.64583333333)</f>
        <v>42584.64583</v>
      </c>
      <c r="B1131" s="1">
        <f>IFERROR(__xludf.DUMMYFUNCTION("""COMPUTED_VALUE"""),5290.0)</f>
        <v>5290</v>
      </c>
      <c r="C1131" s="1">
        <f>IFERROR(__xludf.DUMMYFUNCTION("""COMPUTED_VALUE"""),5410.0)</f>
        <v>5410</v>
      </c>
      <c r="D1131" s="1">
        <f>IFERROR(__xludf.DUMMYFUNCTION("""COMPUTED_VALUE"""),5290.0)</f>
        <v>5290</v>
      </c>
      <c r="E1131" s="1">
        <f>IFERROR(__xludf.DUMMYFUNCTION("""COMPUTED_VALUE"""),5320.0)</f>
        <v>5320</v>
      </c>
      <c r="F1131" s="1">
        <f>IFERROR(__xludf.DUMMYFUNCTION("""COMPUTED_VALUE"""),5600.0)</f>
        <v>5600</v>
      </c>
    </row>
    <row r="1132">
      <c r="A1132" s="2">
        <f>IFERROR(__xludf.DUMMYFUNCTION("""COMPUTED_VALUE"""),42585.64583333333)</f>
        <v>42585.64583</v>
      </c>
      <c r="B1132" s="1">
        <f>IFERROR(__xludf.DUMMYFUNCTION("""COMPUTED_VALUE"""),5350.0)</f>
        <v>5350</v>
      </c>
      <c r="C1132" s="1">
        <f>IFERROR(__xludf.DUMMYFUNCTION("""COMPUTED_VALUE"""),5360.0)</f>
        <v>5360</v>
      </c>
      <c r="D1132" s="1">
        <f>IFERROR(__xludf.DUMMYFUNCTION("""COMPUTED_VALUE"""),5260.0)</f>
        <v>5260</v>
      </c>
      <c r="E1132" s="1">
        <f>IFERROR(__xludf.DUMMYFUNCTION("""COMPUTED_VALUE"""),5320.0)</f>
        <v>5320</v>
      </c>
      <c r="F1132" s="1">
        <f>IFERROR(__xludf.DUMMYFUNCTION("""COMPUTED_VALUE"""),6262.0)</f>
        <v>6262</v>
      </c>
    </row>
    <row r="1133">
      <c r="A1133" s="2">
        <f>IFERROR(__xludf.DUMMYFUNCTION("""COMPUTED_VALUE"""),42586.64583333333)</f>
        <v>42586.64583</v>
      </c>
      <c r="B1133" s="1">
        <f>IFERROR(__xludf.DUMMYFUNCTION("""COMPUTED_VALUE"""),5340.0)</f>
        <v>5340</v>
      </c>
      <c r="C1133" s="1">
        <f>IFERROR(__xludf.DUMMYFUNCTION("""COMPUTED_VALUE"""),5420.0)</f>
        <v>5420</v>
      </c>
      <c r="D1133" s="1">
        <f>IFERROR(__xludf.DUMMYFUNCTION("""COMPUTED_VALUE"""),5320.0)</f>
        <v>5320</v>
      </c>
      <c r="E1133" s="1">
        <f>IFERROR(__xludf.DUMMYFUNCTION("""COMPUTED_VALUE"""),5380.0)</f>
        <v>5380</v>
      </c>
      <c r="F1133" s="1">
        <f>IFERROR(__xludf.DUMMYFUNCTION("""COMPUTED_VALUE"""),35413.0)</f>
        <v>35413</v>
      </c>
    </row>
    <row r="1134">
      <c r="A1134" s="2">
        <f>IFERROR(__xludf.DUMMYFUNCTION("""COMPUTED_VALUE"""),42587.64583333333)</f>
        <v>42587.64583</v>
      </c>
      <c r="B1134" s="1">
        <f>IFERROR(__xludf.DUMMYFUNCTION("""COMPUTED_VALUE"""),5410.0)</f>
        <v>5410</v>
      </c>
      <c r="C1134" s="1">
        <f>IFERROR(__xludf.DUMMYFUNCTION("""COMPUTED_VALUE"""),5450.0)</f>
        <v>5450</v>
      </c>
      <c r="D1134" s="1">
        <f>IFERROR(__xludf.DUMMYFUNCTION("""COMPUTED_VALUE"""),5350.0)</f>
        <v>5350</v>
      </c>
      <c r="E1134" s="1">
        <f>IFERROR(__xludf.DUMMYFUNCTION("""COMPUTED_VALUE"""),5390.0)</f>
        <v>5390</v>
      </c>
      <c r="F1134" s="1">
        <f>IFERROR(__xludf.DUMMYFUNCTION("""COMPUTED_VALUE"""),3466.0)</f>
        <v>3466</v>
      </c>
    </row>
    <row r="1135">
      <c r="A1135" s="2">
        <f>IFERROR(__xludf.DUMMYFUNCTION("""COMPUTED_VALUE"""),42590.64583333333)</f>
        <v>42590.64583</v>
      </c>
      <c r="B1135" s="1">
        <f>IFERROR(__xludf.DUMMYFUNCTION("""COMPUTED_VALUE"""),5390.0)</f>
        <v>5390</v>
      </c>
      <c r="C1135" s="1">
        <f>IFERROR(__xludf.DUMMYFUNCTION("""COMPUTED_VALUE"""),5430.0)</f>
        <v>5430</v>
      </c>
      <c r="D1135" s="1">
        <f>IFERROR(__xludf.DUMMYFUNCTION("""COMPUTED_VALUE"""),5280.0)</f>
        <v>5280</v>
      </c>
      <c r="E1135" s="1">
        <f>IFERROR(__xludf.DUMMYFUNCTION("""COMPUTED_VALUE"""),5380.0)</f>
        <v>5380</v>
      </c>
      <c r="F1135" s="1">
        <f>IFERROR(__xludf.DUMMYFUNCTION("""COMPUTED_VALUE"""),13055.0)</f>
        <v>13055</v>
      </c>
    </row>
    <row r="1136">
      <c r="A1136" s="2">
        <f>IFERROR(__xludf.DUMMYFUNCTION("""COMPUTED_VALUE"""),42591.64583333333)</f>
        <v>42591.64583</v>
      </c>
      <c r="B1136" s="1">
        <f>IFERROR(__xludf.DUMMYFUNCTION("""COMPUTED_VALUE"""),5380.0)</f>
        <v>5380</v>
      </c>
      <c r="C1136" s="1">
        <f>IFERROR(__xludf.DUMMYFUNCTION("""COMPUTED_VALUE"""),5380.0)</f>
        <v>5380</v>
      </c>
      <c r="D1136" s="1">
        <f>IFERROR(__xludf.DUMMYFUNCTION("""COMPUTED_VALUE"""),5260.0)</f>
        <v>5260</v>
      </c>
      <c r="E1136" s="1">
        <f>IFERROR(__xludf.DUMMYFUNCTION("""COMPUTED_VALUE"""),5370.0)</f>
        <v>5370</v>
      </c>
      <c r="F1136" s="1">
        <f>IFERROR(__xludf.DUMMYFUNCTION("""COMPUTED_VALUE"""),12434.0)</f>
        <v>12434</v>
      </c>
    </row>
    <row r="1137">
      <c r="A1137" s="2">
        <f>IFERROR(__xludf.DUMMYFUNCTION("""COMPUTED_VALUE"""),42592.64583333333)</f>
        <v>42592.64583</v>
      </c>
      <c r="B1137" s="1">
        <f>IFERROR(__xludf.DUMMYFUNCTION("""COMPUTED_VALUE"""),5400.0)</f>
        <v>5400</v>
      </c>
      <c r="C1137" s="1">
        <f>IFERROR(__xludf.DUMMYFUNCTION("""COMPUTED_VALUE"""),5410.0)</f>
        <v>5410</v>
      </c>
      <c r="D1137" s="1">
        <f>IFERROR(__xludf.DUMMYFUNCTION("""COMPUTED_VALUE"""),5330.0)</f>
        <v>5330</v>
      </c>
      <c r="E1137" s="1">
        <f>IFERROR(__xludf.DUMMYFUNCTION("""COMPUTED_VALUE"""),5390.0)</f>
        <v>5390</v>
      </c>
      <c r="F1137" s="1">
        <f>IFERROR(__xludf.DUMMYFUNCTION("""COMPUTED_VALUE"""),20488.0)</f>
        <v>20488</v>
      </c>
    </row>
    <row r="1138">
      <c r="A1138" s="2">
        <f>IFERROR(__xludf.DUMMYFUNCTION("""COMPUTED_VALUE"""),42593.64583333333)</f>
        <v>42593.64583</v>
      </c>
      <c r="B1138" s="1">
        <f>IFERROR(__xludf.DUMMYFUNCTION("""COMPUTED_VALUE"""),5350.0)</f>
        <v>5350</v>
      </c>
      <c r="C1138" s="1">
        <f>IFERROR(__xludf.DUMMYFUNCTION("""COMPUTED_VALUE"""),5400.0)</f>
        <v>5400</v>
      </c>
      <c r="D1138" s="1">
        <f>IFERROR(__xludf.DUMMYFUNCTION("""COMPUTED_VALUE"""),5350.0)</f>
        <v>5350</v>
      </c>
      <c r="E1138" s="1">
        <f>IFERROR(__xludf.DUMMYFUNCTION("""COMPUTED_VALUE"""),5390.0)</f>
        <v>5390</v>
      </c>
      <c r="F1138" s="1">
        <f>IFERROR(__xludf.DUMMYFUNCTION("""COMPUTED_VALUE"""),1970.0)</f>
        <v>1970</v>
      </c>
    </row>
    <row r="1139">
      <c r="A1139" s="2">
        <f>IFERROR(__xludf.DUMMYFUNCTION("""COMPUTED_VALUE"""),42594.64583333333)</f>
        <v>42594.64583</v>
      </c>
      <c r="B1139" s="1">
        <f>IFERROR(__xludf.DUMMYFUNCTION("""COMPUTED_VALUE"""),5390.0)</f>
        <v>5390</v>
      </c>
      <c r="C1139" s="1">
        <f>IFERROR(__xludf.DUMMYFUNCTION("""COMPUTED_VALUE"""),5400.0)</f>
        <v>5400</v>
      </c>
      <c r="D1139" s="1">
        <f>IFERROR(__xludf.DUMMYFUNCTION("""COMPUTED_VALUE"""),5360.0)</f>
        <v>5360</v>
      </c>
      <c r="E1139" s="1">
        <f>IFERROR(__xludf.DUMMYFUNCTION("""COMPUTED_VALUE"""),5390.0)</f>
        <v>5390</v>
      </c>
      <c r="F1139" s="1">
        <f>IFERROR(__xludf.DUMMYFUNCTION("""COMPUTED_VALUE"""),1520.0)</f>
        <v>1520</v>
      </c>
    </row>
    <row r="1140">
      <c r="A1140" s="2">
        <f>IFERROR(__xludf.DUMMYFUNCTION("""COMPUTED_VALUE"""),42598.64583333333)</f>
        <v>42598.64583</v>
      </c>
      <c r="B1140" s="1">
        <f>IFERROR(__xludf.DUMMYFUNCTION("""COMPUTED_VALUE"""),5390.0)</f>
        <v>5390</v>
      </c>
      <c r="C1140" s="1">
        <f>IFERROR(__xludf.DUMMYFUNCTION("""COMPUTED_VALUE"""),5430.0)</f>
        <v>5430</v>
      </c>
      <c r="D1140" s="1">
        <f>IFERROR(__xludf.DUMMYFUNCTION("""COMPUTED_VALUE"""),5340.0)</f>
        <v>5340</v>
      </c>
      <c r="E1140" s="1">
        <f>IFERROR(__xludf.DUMMYFUNCTION("""COMPUTED_VALUE"""),5390.0)</f>
        <v>5390</v>
      </c>
      <c r="F1140" s="1">
        <f>IFERROR(__xludf.DUMMYFUNCTION("""COMPUTED_VALUE"""),5475.0)</f>
        <v>5475</v>
      </c>
    </row>
    <row r="1141">
      <c r="A1141" s="2">
        <f>IFERROR(__xludf.DUMMYFUNCTION("""COMPUTED_VALUE"""),42599.64583333333)</f>
        <v>42599.64583</v>
      </c>
      <c r="B1141" s="1">
        <f>IFERROR(__xludf.DUMMYFUNCTION("""COMPUTED_VALUE"""),5390.0)</f>
        <v>5390</v>
      </c>
      <c r="C1141" s="1">
        <f>IFERROR(__xludf.DUMMYFUNCTION("""COMPUTED_VALUE"""),5390.0)</f>
        <v>5390</v>
      </c>
      <c r="D1141" s="1">
        <f>IFERROR(__xludf.DUMMYFUNCTION("""COMPUTED_VALUE"""),5280.0)</f>
        <v>5280</v>
      </c>
      <c r="E1141" s="1">
        <f>IFERROR(__xludf.DUMMYFUNCTION("""COMPUTED_VALUE"""),5320.0)</f>
        <v>5320</v>
      </c>
      <c r="F1141" s="1">
        <f>IFERROR(__xludf.DUMMYFUNCTION("""COMPUTED_VALUE"""),5944.0)</f>
        <v>5944</v>
      </c>
    </row>
    <row r="1142">
      <c r="A1142" s="2">
        <f>IFERROR(__xludf.DUMMYFUNCTION("""COMPUTED_VALUE"""),42600.64583333333)</f>
        <v>42600.64583</v>
      </c>
      <c r="B1142" s="1">
        <f>IFERROR(__xludf.DUMMYFUNCTION("""COMPUTED_VALUE"""),5320.0)</f>
        <v>5320</v>
      </c>
      <c r="C1142" s="1">
        <f>IFERROR(__xludf.DUMMYFUNCTION("""COMPUTED_VALUE"""),5350.0)</f>
        <v>5350</v>
      </c>
      <c r="D1142" s="1">
        <f>IFERROR(__xludf.DUMMYFUNCTION("""COMPUTED_VALUE"""),5280.0)</f>
        <v>5280</v>
      </c>
      <c r="E1142" s="1">
        <f>IFERROR(__xludf.DUMMYFUNCTION("""COMPUTED_VALUE"""),5280.0)</f>
        <v>5280</v>
      </c>
      <c r="F1142" s="1">
        <f>IFERROR(__xludf.DUMMYFUNCTION("""COMPUTED_VALUE"""),4500.0)</f>
        <v>4500</v>
      </c>
    </row>
    <row r="1143">
      <c r="A1143" s="2">
        <f>IFERROR(__xludf.DUMMYFUNCTION("""COMPUTED_VALUE"""),42601.64583333333)</f>
        <v>42601.64583</v>
      </c>
      <c r="B1143" s="1">
        <f>IFERROR(__xludf.DUMMYFUNCTION("""COMPUTED_VALUE"""),5280.0)</f>
        <v>5280</v>
      </c>
      <c r="C1143" s="1">
        <f>IFERROR(__xludf.DUMMYFUNCTION("""COMPUTED_VALUE"""),5350.0)</f>
        <v>5350</v>
      </c>
      <c r="D1143" s="1">
        <f>IFERROR(__xludf.DUMMYFUNCTION("""COMPUTED_VALUE"""),5200.0)</f>
        <v>5200</v>
      </c>
      <c r="E1143" s="1">
        <f>IFERROR(__xludf.DUMMYFUNCTION("""COMPUTED_VALUE"""),5290.0)</f>
        <v>5290</v>
      </c>
      <c r="F1143" s="1">
        <f>IFERROR(__xludf.DUMMYFUNCTION("""COMPUTED_VALUE"""),24918.0)</f>
        <v>24918</v>
      </c>
    </row>
    <row r="1144">
      <c r="A1144" s="2">
        <f>IFERROR(__xludf.DUMMYFUNCTION("""COMPUTED_VALUE"""),42604.64583333333)</f>
        <v>42604.64583</v>
      </c>
      <c r="B1144" s="1">
        <f>IFERROR(__xludf.DUMMYFUNCTION("""COMPUTED_VALUE"""),5280.0)</f>
        <v>5280</v>
      </c>
      <c r="C1144" s="1">
        <f>IFERROR(__xludf.DUMMYFUNCTION("""COMPUTED_VALUE"""),5340.0)</f>
        <v>5340</v>
      </c>
      <c r="D1144" s="1">
        <f>IFERROR(__xludf.DUMMYFUNCTION("""COMPUTED_VALUE"""),5250.0)</f>
        <v>5250</v>
      </c>
      <c r="E1144" s="1">
        <f>IFERROR(__xludf.DUMMYFUNCTION("""COMPUTED_VALUE"""),5340.0)</f>
        <v>5340</v>
      </c>
      <c r="F1144" s="1">
        <f>IFERROR(__xludf.DUMMYFUNCTION("""COMPUTED_VALUE"""),6933.0)</f>
        <v>6933</v>
      </c>
    </row>
    <row r="1145">
      <c r="A1145" s="2">
        <f>IFERROR(__xludf.DUMMYFUNCTION("""COMPUTED_VALUE"""),42605.64583333333)</f>
        <v>42605.64583</v>
      </c>
      <c r="B1145" s="1">
        <f>IFERROR(__xludf.DUMMYFUNCTION("""COMPUTED_VALUE"""),5340.0)</f>
        <v>5340</v>
      </c>
      <c r="C1145" s="1">
        <f>IFERROR(__xludf.DUMMYFUNCTION("""COMPUTED_VALUE"""),5340.0)</f>
        <v>5340</v>
      </c>
      <c r="D1145" s="1">
        <f>IFERROR(__xludf.DUMMYFUNCTION("""COMPUTED_VALUE"""),5280.0)</f>
        <v>5280</v>
      </c>
      <c r="E1145" s="1">
        <f>IFERROR(__xludf.DUMMYFUNCTION("""COMPUTED_VALUE"""),5340.0)</f>
        <v>5340</v>
      </c>
      <c r="F1145" s="1">
        <f>IFERROR(__xludf.DUMMYFUNCTION("""COMPUTED_VALUE"""),1414.0)</f>
        <v>1414</v>
      </c>
    </row>
    <row r="1146">
      <c r="A1146" s="2">
        <f>IFERROR(__xludf.DUMMYFUNCTION("""COMPUTED_VALUE"""),42606.64583333333)</f>
        <v>42606.64583</v>
      </c>
      <c r="B1146" s="1">
        <f>IFERROR(__xludf.DUMMYFUNCTION("""COMPUTED_VALUE"""),5330.0)</f>
        <v>5330</v>
      </c>
      <c r="C1146" s="1">
        <f>IFERROR(__xludf.DUMMYFUNCTION("""COMPUTED_VALUE"""),5330.0)</f>
        <v>5330</v>
      </c>
      <c r="D1146" s="1">
        <f>IFERROR(__xludf.DUMMYFUNCTION("""COMPUTED_VALUE"""),5250.0)</f>
        <v>5250</v>
      </c>
      <c r="E1146" s="1">
        <f>IFERROR(__xludf.DUMMYFUNCTION("""COMPUTED_VALUE"""),5310.0)</f>
        <v>5310</v>
      </c>
      <c r="F1146" s="1">
        <f>IFERROR(__xludf.DUMMYFUNCTION("""COMPUTED_VALUE"""),4469.0)</f>
        <v>4469</v>
      </c>
    </row>
    <row r="1147">
      <c r="A1147" s="2">
        <f>IFERROR(__xludf.DUMMYFUNCTION("""COMPUTED_VALUE"""),42607.64583333333)</f>
        <v>42607.64583</v>
      </c>
      <c r="B1147" s="1">
        <f>IFERROR(__xludf.DUMMYFUNCTION("""COMPUTED_VALUE"""),5300.0)</f>
        <v>5300</v>
      </c>
      <c r="C1147" s="1">
        <f>IFERROR(__xludf.DUMMYFUNCTION("""COMPUTED_VALUE"""),5330.0)</f>
        <v>5330</v>
      </c>
      <c r="D1147" s="1">
        <f>IFERROR(__xludf.DUMMYFUNCTION("""COMPUTED_VALUE"""),5250.0)</f>
        <v>5250</v>
      </c>
      <c r="E1147" s="1">
        <f>IFERROR(__xludf.DUMMYFUNCTION("""COMPUTED_VALUE"""),5330.0)</f>
        <v>5330</v>
      </c>
      <c r="F1147" s="1">
        <f>IFERROR(__xludf.DUMMYFUNCTION("""COMPUTED_VALUE"""),20612.0)</f>
        <v>20612</v>
      </c>
    </row>
    <row r="1148">
      <c r="A1148" s="2">
        <f>IFERROR(__xludf.DUMMYFUNCTION("""COMPUTED_VALUE"""),42608.64583333333)</f>
        <v>42608.64583</v>
      </c>
      <c r="B1148" s="1">
        <f>IFERROR(__xludf.DUMMYFUNCTION("""COMPUTED_VALUE"""),5300.0)</f>
        <v>5300</v>
      </c>
      <c r="C1148" s="1">
        <f>IFERROR(__xludf.DUMMYFUNCTION("""COMPUTED_VALUE"""),5330.0)</f>
        <v>5330</v>
      </c>
      <c r="D1148" s="1">
        <f>IFERROR(__xludf.DUMMYFUNCTION("""COMPUTED_VALUE"""),5270.0)</f>
        <v>5270</v>
      </c>
      <c r="E1148" s="1">
        <f>IFERROR(__xludf.DUMMYFUNCTION("""COMPUTED_VALUE"""),5280.0)</f>
        <v>5280</v>
      </c>
      <c r="F1148" s="1">
        <f>IFERROR(__xludf.DUMMYFUNCTION("""COMPUTED_VALUE"""),6658.0)</f>
        <v>6658</v>
      </c>
    </row>
    <row r="1149">
      <c r="A1149" s="2">
        <f>IFERROR(__xludf.DUMMYFUNCTION("""COMPUTED_VALUE"""),42611.64583333333)</f>
        <v>42611.64583</v>
      </c>
      <c r="B1149" s="1">
        <f>IFERROR(__xludf.DUMMYFUNCTION("""COMPUTED_VALUE"""),5280.0)</f>
        <v>5280</v>
      </c>
      <c r="C1149" s="1">
        <f>IFERROR(__xludf.DUMMYFUNCTION("""COMPUTED_VALUE"""),5450.0)</f>
        <v>5450</v>
      </c>
      <c r="D1149" s="1">
        <f>IFERROR(__xludf.DUMMYFUNCTION("""COMPUTED_VALUE"""),5260.0)</f>
        <v>5260</v>
      </c>
      <c r="E1149" s="1">
        <f>IFERROR(__xludf.DUMMYFUNCTION("""COMPUTED_VALUE"""),5300.0)</f>
        <v>5300</v>
      </c>
      <c r="F1149" s="1">
        <f>IFERROR(__xludf.DUMMYFUNCTION("""COMPUTED_VALUE"""),34487.0)</f>
        <v>34487</v>
      </c>
    </row>
    <row r="1150">
      <c r="A1150" s="2">
        <f>IFERROR(__xludf.DUMMYFUNCTION("""COMPUTED_VALUE"""),42612.64583333333)</f>
        <v>42612.64583</v>
      </c>
      <c r="B1150" s="1">
        <f>IFERROR(__xludf.DUMMYFUNCTION("""COMPUTED_VALUE"""),5280.0)</f>
        <v>5280</v>
      </c>
      <c r="C1150" s="1">
        <f>IFERROR(__xludf.DUMMYFUNCTION("""COMPUTED_VALUE"""),5380.0)</f>
        <v>5380</v>
      </c>
      <c r="D1150" s="1">
        <f>IFERROR(__xludf.DUMMYFUNCTION("""COMPUTED_VALUE"""),5270.0)</f>
        <v>5270</v>
      </c>
      <c r="E1150" s="1">
        <f>IFERROR(__xludf.DUMMYFUNCTION("""COMPUTED_VALUE"""),5370.0)</f>
        <v>5370</v>
      </c>
      <c r="F1150" s="1">
        <f>IFERROR(__xludf.DUMMYFUNCTION("""COMPUTED_VALUE"""),16039.0)</f>
        <v>16039</v>
      </c>
    </row>
    <row r="1151">
      <c r="A1151" s="2">
        <f>IFERROR(__xludf.DUMMYFUNCTION("""COMPUTED_VALUE"""),42613.64583333333)</f>
        <v>42613.64583</v>
      </c>
      <c r="B1151" s="1">
        <f>IFERROR(__xludf.DUMMYFUNCTION("""COMPUTED_VALUE"""),5360.0)</f>
        <v>5360</v>
      </c>
      <c r="C1151" s="1">
        <f>IFERROR(__xludf.DUMMYFUNCTION("""COMPUTED_VALUE"""),5390.0)</f>
        <v>5390</v>
      </c>
      <c r="D1151" s="1">
        <f>IFERROR(__xludf.DUMMYFUNCTION("""COMPUTED_VALUE"""),5300.0)</f>
        <v>5300</v>
      </c>
      <c r="E1151" s="1">
        <f>IFERROR(__xludf.DUMMYFUNCTION("""COMPUTED_VALUE"""),5340.0)</f>
        <v>5340</v>
      </c>
      <c r="F1151" s="1">
        <f>IFERROR(__xludf.DUMMYFUNCTION("""COMPUTED_VALUE"""),18847.0)</f>
        <v>18847</v>
      </c>
    </row>
    <row r="1152">
      <c r="A1152" s="2">
        <f>IFERROR(__xludf.DUMMYFUNCTION("""COMPUTED_VALUE"""),42614.64583333333)</f>
        <v>42614.64583</v>
      </c>
      <c r="B1152" s="1">
        <f>IFERROR(__xludf.DUMMYFUNCTION("""COMPUTED_VALUE"""),5340.0)</f>
        <v>5340</v>
      </c>
      <c r="C1152" s="1">
        <f>IFERROR(__xludf.DUMMYFUNCTION("""COMPUTED_VALUE"""),5350.0)</f>
        <v>5350</v>
      </c>
      <c r="D1152" s="1">
        <f>IFERROR(__xludf.DUMMYFUNCTION("""COMPUTED_VALUE"""),5280.0)</f>
        <v>5280</v>
      </c>
      <c r="E1152" s="1">
        <f>IFERROR(__xludf.DUMMYFUNCTION("""COMPUTED_VALUE"""),5340.0)</f>
        <v>5340</v>
      </c>
      <c r="F1152" s="1">
        <f>IFERROR(__xludf.DUMMYFUNCTION("""COMPUTED_VALUE"""),6690.0)</f>
        <v>6690</v>
      </c>
    </row>
    <row r="1153">
      <c r="A1153" s="2">
        <f>IFERROR(__xludf.DUMMYFUNCTION("""COMPUTED_VALUE"""),42615.64583333333)</f>
        <v>42615.64583</v>
      </c>
      <c r="B1153" s="1">
        <f>IFERROR(__xludf.DUMMYFUNCTION("""COMPUTED_VALUE"""),5340.0)</f>
        <v>5340</v>
      </c>
      <c r="C1153" s="1">
        <f>IFERROR(__xludf.DUMMYFUNCTION("""COMPUTED_VALUE"""),5370.0)</f>
        <v>5370</v>
      </c>
      <c r="D1153" s="1">
        <f>IFERROR(__xludf.DUMMYFUNCTION("""COMPUTED_VALUE"""),5290.0)</f>
        <v>5290</v>
      </c>
      <c r="E1153" s="1">
        <f>IFERROR(__xludf.DUMMYFUNCTION("""COMPUTED_VALUE"""),5330.0)</f>
        <v>5330</v>
      </c>
      <c r="F1153" s="1">
        <f>IFERROR(__xludf.DUMMYFUNCTION("""COMPUTED_VALUE"""),21892.0)</f>
        <v>21892</v>
      </c>
    </row>
    <row r="1154">
      <c r="A1154" s="2">
        <f>IFERROR(__xludf.DUMMYFUNCTION("""COMPUTED_VALUE"""),42618.64583333333)</f>
        <v>42618.64583</v>
      </c>
      <c r="B1154" s="1">
        <f>IFERROR(__xludf.DUMMYFUNCTION("""COMPUTED_VALUE"""),5290.0)</f>
        <v>5290</v>
      </c>
      <c r="C1154" s="1">
        <f>IFERROR(__xludf.DUMMYFUNCTION("""COMPUTED_VALUE"""),5340.0)</f>
        <v>5340</v>
      </c>
      <c r="D1154" s="1">
        <f>IFERROR(__xludf.DUMMYFUNCTION("""COMPUTED_VALUE"""),5290.0)</f>
        <v>5290</v>
      </c>
      <c r="E1154" s="1">
        <f>IFERROR(__xludf.DUMMYFUNCTION("""COMPUTED_VALUE"""),5340.0)</f>
        <v>5340</v>
      </c>
      <c r="F1154" s="1">
        <f>IFERROR(__xludf.DUMMYFUNCTION("""COMPUTED_VALUE"""),10549.0)</f>
        <v>10549</v>
      </c>
    </row>
    <row r="1155">
      <c r="A1155" s="2">
        <f>IFERROR(__xludf.DUMMYFUNCTION("""COMPUTED_VALUE"""),42619.64583333333)</f>
        <v>42619.64583</v>
      </c>
      <c r="B1155" s="1">
        <f>IFERROR(__xludf.DUMMYFUNCTION("""COMPUTED_VALUE"""),5350.0)</f>
        <v>5350</v>
      </c>
      <c r="C1155" s="1">
        <f>IFERROR(__xludf.DUMMYFUNCTION("""COMPUTED_VALUE"""),5370.0)</f>
        <v>5370</v>
      </c>
      <c r="D1155" s="1">
        <f>IFERROR(__xludf.DUMMYFUNCTION("""COMPUTED_VALUE"""),5300.0)</f>
        <v>5300</v>
      </c>
      <c r="E1155" s="1">
        <f>IFERROR(__xludf.DUMMYFUNCTION("""COMPUTED_VALUE"""),5360.0)</f>
        <v>5360</v>
      </c>
      <c r="F1155" s="1">
        <f>IFERROR(__xludf.DUMMYFUNCTION("""COMPUTED_VALUE"""),28820.0)</f>
        <v>28820</v>
      </c>
    </row>
    <row r="1156">
      <c r="A1156" s="2">
        <f>IFERROR(__xludf.DUMMYFUNCTION("""COMPUTED_VALUE"""),42620.64583333333)</f>
        <v>42620.64583</v>
      </c>
      <c r="B1156" s="1">
        <f>IFERROR(__xludf.DUMMYFUNCTION("""COMPUTED_VALUE"""),5360.0)</f>
        <v>5360</v>
      </c>
      <c r="C1156" s="1">
        <f>IFERROR(__xludf.DUMMYFUNCTION("""COMPUTED_VALUE"""),5400.0)</f>
        <v>5400</v>
      </c>
      <c r="D1156" s="1">
        <f>IFERROR(__xludf.DUMMYFUNCTION("""COMPUTED_VALUE"""),5330.0)</f>
        <v>5330</v>
      </c>
      <c r="E1156" s="1">
        <f>IFERROR(__xludf.DUMMYFUNCTION("""COMPUTED_VALUE"""),5400.0)</f>
        <v>5400</v>
      </c>
      <c r="F1156" s="1">
        <f>IFERROR(__xludf.DUMMYFUNCTION("""COMPUTED_VALUE"""),23012.0)</f>
        <v>23012</v>
      </c>
    </row>
    <row r="1157">
      <c r="A1157" s="2">
        <f>IFERROR(__xludf.DUMMYFUNCTION("""COMPUTED_VALUE"""),42621.64583333333)</f>
        <v>42621.64583</v>
      </c>
      <c r="B1157" s="1">
        <f>IFERROR(__xludf.DUMMYFUNCTION("""COMPUTED_VALUE"""),5400.0)</f>
        <v>5400</v>
      </c>
      <c r="C1157" s="1">
        <f>IFERROR(__xludf.DUMMYFUNCTION("""COMPUTED_VALUE"""),5400.0)</f>
        <v>5400</v>
      </c>
      <c r="D1157" s="1">
        <f>IFERROR(__xludf.DUMMYFUNCTION("""COMPUTED_VALUE"""),5320.0)</f>
        <v>5320</v>
      </c>
      <c r="E1157" s="1">
        <f>IFERROR(__xludf.DUMMYFUNCTION("""COMPUTED_VALUE"""),5400.0)</f>
        <v>5400</v>
      </c>
      <c r="F1157" s="1">
        <f>IFERROR(__xludf.DUMMYFUNCTION("""COMPUTED_VALUE"""),7614.0)</f>
        <v>7614</v>
      </c>
    </row>
    <row r="1158">
      <c r="A1158" s="2">
        <f>IFERROR(__xludf.DUMMYFUNCTION("""COMPUTED_VALUE"""),42622.64583333333)</f>
        <v>42622.64583</v>
      </c>
      <c r="B1158" s="1">
        <f>IFERROR(__xludf.DUMMYFUNCTION("""COMPUTED_VALUE"""),5380.0)</f>
        <v>5380</v>
      </c>
      <c r="C1158" s="1">
        <f>IFERROR(__xludf.DUMMYFUNCTION("""COMPUTED_VALUE"""),5400.0)</f>
        <v>5400</v>
      </c>
      <c r="D1158" s="1">
        <f>IFERROR(__xludf.DUMMYFUNCTION("""COMPUTED_VALUE"""),5330.0)</f>
        <v>5330</v>
      </c>
      <c r="E1158" s="1">
        <f>IFERROR(__xludf.DUMMYFUNCTION("""COMPUTED_VALUE"""),5400.0)</f>
        <v>5400</v>
      </c>
      <c r="F1158" s="1">
        <f>IFERROR(__xludf.DUMMYFUNCTION("""COMPUTED_VALUE"""),3262.0)</f>
        <v>3262</v>
      </c>
    </row>
    <row r="1159">
      <c r="A1159" s="2">
        <f>IFERROR(__xludf.DUMMYFUNCTION("""COMPUTED_VALUE"""),42625.64583333333)</f>
        <v>42625.64583</v>
      </c>
      <c r="B1159" s="1">
        <f>IFERROR(__xludf.DUMMYFUNCTION("""COMPUTED_VALUE"""),5390.0)</f>
        <v>5390</v>
      </c>
      <c r="C1159" s="1">
        <f>IFERROR(__xludf.DUMMYFUNCTION("""COMPUTED_VALUE"""),5390.0)</f>
        <v>5390</v>
      </c>
      <c r="D1159" s="1">
        <f>IFERROR(__xludf.DUMMYFUNCTION("""COMPUTED_VALUE"""),5300.0)</f>
        <v>5300</v>
      </c>
      <c r="E1159" s="1">
        <f>IFERROR(__xludf.DUMMYFUNCTION("""COMPUTED_VALUE"""),5390.0)</f>
        <v>5390</v>
      </c>
      <c r="F1159" s="1">
        <f>IFERROR(__xludf.DUMMYFUNCTION("""COMPUTED_VALUE"""),15691.0)</f>
        <v>15691</v>
      </c>
    </row>
    <row r="1160">
      <c r="A1160" s="2">
        <f>IFERROR(__xludf.DUMMYFUNCTION("""COMPUTED_VALUE"""),42626.64583333333)</f>
        <v>42626.64583</v>
      </c>
      <c r="B1160" s="1">
        <f>IFERROR(__xludf.DUMMYFUNCTION("""COMPUTED_VALUE"""),5320.0)</f>
        <v>5320</v>
      </c>
      <c r="C1160" s="1">
        <f>IFERROR(__xludf.DUMMYFUNCTION("""COMPUTED_VALUE"""),5390.0)</f>
        <v>5390</v>
      </c>
      <c r="D1160" s="1">
        <f>IFERROR(__xludf.DUMMYFUNCTION("""COMPUTED_VALUE"""),5320.0)</f>
        <v>5320</v>
      </c>
      <c r="E1160" s="1">
        <f>IFERROR(__xludf.DUMMYFUNCTION("""COMPUTED_VALUE"""),5390.0)</f>
        <v>5390</v>
      </c>
      <c r="F1160" s="1">
        <f>IFERROR(__xludf.DUMMYFUNCTION("""COMPUTED_VALUE"""),10062.0)</f>
        <v>10062</v>
      </c>
    </row>
    <row r="1161">
      <c r="A1161" s="2">
        <f>IFERROR(__xludf.DUMMYFUNCTION("""COMPUTED_VALUE"""),42632.64583333333)</f>
        <v>42632.64583</v>
      </c>
      <c r="B1161" s="1">
        <f>IFERROR(__xludf.DUMMYFUNCTION("""COMPUTED_VALUE"""),5400.0)</f>
        <v>5400</v>
      </c>
      <c r="C1161" s="1">
        <f>IFERROR(__xludf.DUMMYFUNCTION("""COMPUTED_VALUE"""),5400.0)</f>
        <v>5400</v>
      </c>
      <c r="D1161" s="1">
        <f>IFERROR(__xludf.DUMMYFUNCTION("""COMPUTED_VALUE"""),5320.0)</f>
        <v>5320</v>
      </c>
      <c r="E1161" s="1">
        <f>IFERROR(__xludf.DUMMYFUNCTION("""COMPUTED_VALUE"""),5320.0)</f>
        <v>5320</v>
      </c>
      <c r="F1161" s="1">
        <f>IFERROR(__xludf.DUMMYFUNCTION("""COMPUTED_VALUE"""),5884.0)</f>
        <v>5884</v>
      </c>
    </row>
    <row r="1162">
      <c r="A1162" s="2">
        <f>IFERROR(__xludf.DUMMYFUNCTION("""COMPUTED_VALUE"""),42633.64583333333)</f>
        <v>42633.64583</v>
      </c>
      <c r="B1162" s="1">
        <f>IFERROR(__xludf.DUMMYFUNCTION("""COMPUTED_VALUE"""),5320.0)</f>
        <v>5320</v>
      </c>
      <c r="C1162" s="1">
        <f>IFERROR(__xludf.DUMMYFUNCTION("""COMPUTED_VALUE"""),5350.0)</f>
        <v>5350</v>
      </c>
      <c r="D1162" s="1">
        <f>IFERROR(__xludf.DUMMYFUNCTION("""COMPUTED_VALUE"""),5300.0)</f>
        <v>5300</v>
      </c>
      <c r="E1162" s="1">
        <f>IFERROR(__xludf.DUMMYFUNCTION("""COMPUTED_VALUE"""),5320.0)</f>
        <v>5320</v>
      </c>
      <c r="F1162" s="1">
        <f>IFERROR(__xludf.DUMMYFUNCTION("""COMPUTED_VALUE"""),14554.0)</f>
        <v>14554</v>
      </c>
    </row>
    <row r="1163">
      <c r="A1163" s="2">
        <f>IFERROR(__xludf.DUMMYFUNCTION("""COMPUTED_VALUE"""),42634.64583333333)</f>
        <v>42634.64583</v>
      </c>
      <c r="B1163" s="1">
        <f>IFERROR(__xludf.DUMMYFUNCTION("""COMPUTED_VALUE"""),5320.0)</f>
        <v>5320</v>
      </c>
      <c r="C1163" s="1">
        <f>IFERROR(__xludf.DUMMYFUNCTION("""COMPUTED_VALUE"""),6700.0)</f>
        <v>6700</v>
      </c>
      <c r="D1163" s="1">
        <f>IFERROR(__xludf.DUMMYFUNCTION("""COMPUTED_VALUE"""),5300.0)</f>
        <v>5300</v>
      </c>
      <c r="E1163" s="1">
        <f>IFERROR(__xludf.DUMMYFUNCTION("""COMPUTED_VALUE"""),5980.0)</f>
        <v>5980</v>
      </c>
      <c r="F1163" s="1">
        <f>IFERROR(__xludf.DUMMYFUNCTION("""COMPUTED_VALUE"""),751114.0)</f>
        <v>751114</v>
      </c>
    </row>
    <row r="1164">
      <c r="A1164" s="2">
        <f>IFERROR(__xludf.DUMMYFUNCTION("""COMPUTED_VALUE"""),42635.64583333333)</f>
        <v>42635.64583</v>
      </c>
      <c r="B1164" s="1">
        <f>IFERROR(__xludf.DUMMYFUNCTION("""COMPUTED_VALUE"""),5810.0)</f>
        <v>5810</v>
      </c>
      <c r="C1164" s="1">
        <f>IFERROR(__xludf.DUMMYFUNCTION("""COMPUTED_VALUE"""),6050.0)</f>
        <v>6050</v>
      </c>
      <c r="D1164" s="1">
        <f>IFERROR(__xludf.DUMMYFUNCTION("""COMPUTED_VALUE"""),5730.0)</f>
        <v>5730</v>
      </c>
      <c r="E1164" s="1">
        <f>IFERROR(__xludf.DUMMYFUNCTION("""COMPUTED_VALUE"""),5730.0)</f>
        <v>5730</v>
      </c>
      <c r="F1164" s="1">
        <f>IFERROR(__xludf.DUMMYFUNCTION("""COMPUTED_VALUE"""),220484.0)</f>
        <v>220484</v>
      </c>
    </row>
    <row r="1165">
      <c r="A1165" s="2">
        <f>IFERROR(__xludf.DUMMYFUNCTION("""COMPUTED_VALUE"""),42636.64583333333)</f>
        <v>42636.64583</v>
      </c>
      <c r="B1165" s="1">
        <f>IFERROR(__xludf.DUMMYFUNCTION("""COMPUTED_VALUE"""),5860.0)</f>
        <v>5860</v>
      </c>
      <c r="C1165" s="1">
        <f>IFERROR(__xludf.DUMMYFUNCTION("""COMPUTED_VALUE"""),5870.0)</f>
        <v>5870</v>
      </c>
      <c r="D1165" s="1">
        <f>IFERROR(__xludf.DUMMYFUNCTION("""COMPUTED_VALUE"""),5590.0)</f>
        <v>5590</v>
      </c>
      <c r="E1165" s="1">
        <f>IFERROR(__xludf.DUMMYFUNCTION("""COMPUTED_VALUE"""),5640.0)</f>
        <v>5640</v>
      </c>
      <c r="F1165" s="1">
        <f>IFERROR(__xludf.DUMMYFUNCTION("""COMPUTED_VALUE"""),97926.0)</f>
        <v>97926</v>
      </c>
    </row>
    <row r="1166">
      <c r="A1166" s="2">
        <f>IFERROR(__xludf.DUMMYFUNCTION("""COMPUTED_VALUE"""),42639.64583333333)</f>
        <v>42639.64583</v>
      </c>
      <c r="B1166" s="1">
        <f>IFERROR(__xludf.DUMMYFUNCTION("""COMPUTED_VALUE"""),5710.0)</f>
        <v>5710</v>
      </c>
      <c r="C1166" s="1">
        <f>IFERROR(__xludf.DUMMYFUNCTION("""COMPUTED_VALUE"""),6500.0)</f>
        <v>6500</v>
      </c>
      <c r="D1166" s="1">
        <f>IFERROR(__xludf.DUMMYFUNCTION("""COMPUTED_VALUE"""),5680.0)</f>
        <v>5680</v>
      </c>
      <c r="E1166" s="1">
        <f>IFERROR(__xludf.DUMMYFUNCTION("""COMPUTED_VALUE"""),5840.0)</f>
        <v>5840</v>
      </c>
      <c r="F1166" s="1">
        <f>IFERROR(__xludf.DUMMYFUNCTION("""COMPUTED_VALUE"""),501320.0)</f>
        <v>501320</v>
      </c>
    </row>
    <row r="1167">
      <c r="A1167" s="2">
        <f>IFERROR(__xludf.DUMMYFUNCTION("""COMPUTED_VALUE"""),42640.64583333333)</f>
        <v>42640.64583</v>
      </c>
      <c r="B1167" s="1">
        <f>IFERROR(__xludf.DUMMYFUNCTION("""COMPUTED_VALUE"""),5800.0)</f>
        <v>5800</v>
      </c>
      <c r="C1167" s="1">
        <f>IFERROR(__xludf.DUMMYFUNCTION("""COMPUTED_VALUE"""),5880.0)</f>
        <v>5880</v>
      </c>
      <c r="D1167" s="1">
        <f>IFERROR(__xludf.DUMMYFUNCTION("""COMPUTED_VALUE"""),5580.0)</f>
        <v>5580</v>
      </c>
      <c r="E1167" s="1">
        <f>IFERROR(__xludf.DUMMYFUNCTION("""COMPUTED_VALUE"""),5690.0)</f>
        <v>5690</v>
      </c>
      <c r="F1167" s="1">
        <f>IFERROR(__xludf.DUMMYFUNCTION("""COMPUTED_VALUE"""),119117.0)</f>
        <v>119117</v>
      </c>
    </row>
    <row r="1168">
      <c r="A1168" s="2">
        <f>IFERROR(__xludf.DUMMYFUNCTION("""COMPUTED_VALUE"""),42641.64583333333)</f>
        <v>42641.64583</v>
      </c>
      <c r="B1168" s="1">
        <f>IFERROR(__xludf.DUMMYFUNCTION("""COMPUTED_VALUE"""),5700.0)</f>
        <v>5700</v>
      </c>
      <c r="C1168" s="1">
        <f>IFERROR(__xludf.DUMMYFUNCTION("""COMPUTED_VALUE"""),7390.0)</f>
        <v>7390</v>
      </c>
      <c r="D1168" s="1">
        <f>IFERROR(__xludf.DUMMYFUNCTION("""COMPUTED_VALUE"""),5640.0)</f>
        <v>5640</v>
      </c>
      <c r="E1168" s="1">
        <f>IFERROR(__xludf.DUMMYFUNCTION("""COMPUTED_VALUE"""),6600.0)</f>
        <v>6600</v>
      </c>
      <c r="F1168" s="1">
        <f>IFERROR(__xludf.DUMMYFUNCTION("""COMPUTED_VALUE"""),2813097.0)</f>
        <v>2813097</v>
      </c>
    </row>
    <row r="1169">
      <c r="A1169" s="2">
        <f>IFERROR(__xludf.DUMMYFUNCTION("""COMPUTED_VALUE"""),42642.64583333333)</f>
        <v>42642.64583</v>
      </c>
      <c r="B1169" s="1">
        <f>IFERROR(__xludf.DUMMYFUNCTION("""COMPUTED_VALUE"""),6400.0)</f>
        <v>6400</v>
      </c>
      <c r="C1169" s="1">
        <f>IFERROR(__xludf.DUMMYFUNCTION("""COMPUTED_VALUE"""),6930.0)</f>
        <v>6930</v>
      </c>
      <c r="D1169" s="1">
        <f>IFERROR(__xludf.DUMMYFUNCTION("""COMPUTED_VALUE"""),6260.0)</f>
        <v>6260</v>
      </c>
      <c r="E1169" s="1">
        <f>IFERROR(__xludf.DUMMYFUNCTION("""COMPUTED_VALUE"""),6610.0)</f>
        <v>6610</v>
      </c>
      <c r="F1169" s="1">
        <f>IFERROR(__xludf.DUMMYFUNCTION("""COMPUTED_VALUE"""),831572.0)</f>
        <v>831572</v>
      </c>
    </row>
    <row r="1170">
      <c r="A1170" s="2">
        <f>IFERROR(__xludf.DUMMYFUNCTION("""COMPUTED_VALUE"""),42643.64583333333)</f>
        <v>42643.64583</v>
      </c>
      <c r="B1170" s="1">
        <f>IFERROR(__xludf.DUMMYFUNCTION("""COMPUTED_VALUE"""),6750.0)</f>
        <v>6750</v>
      </c>
      <c r="C1170" s="1">
        <f>IFERROR(__xludf.DUMMYFUNCTION("""COMPUTED_VALUE"""),7050.0)</f>
        <v>7050</v>
      </c>
      <c r="D1170" s="1">
        <f>IFERROR(__xludf.DUMMYFUNCTION("""COMPUTED_VALUE"""),6170.0)</f>
        <v>6170</v>
      </c>
      <c r="E1170" s="1">
        <f>IFERROR(__xludf.DUMMYFUNCTION("""COMPUTED_VALUE"""),6250.0)</f>
        <v>6250</v>
      </c>
      <c r="F1170" s="1">
        <f>IFERROR(__xludf.DUMMYFUNCTION("""COMPUTED_VALUE"""),562208.0)</f>
        <v>562208</v>
      </c>
    </row>
    <row r="1171">
      <c r="A1171" s="2">
        <f>IFERROR(__xludf.DUMMYFUNCTION("""COMPUTED_VALUE"""),42647.64583333333)</f>
        <v>42647.64583</v>
      </c>
      <c r="B1171" s="1">
        <f>IFERROR(__xludf.DUMMYFUNCTION("""COMPUTED_VALUE"""),6310.0)</f>
        <v>6310</v>
      </c>
      <c r="C1171" s="1">
        <f>IFERROR(__xludf.DUMMYFUNCTION("""COMPUTED_VALUE"""),6360.0)</f>
        <v>6360</v>
      </c>
      <c r="D1171" s="1">
        <f>IFERROR(__xludf.DUMMYFUNCTION("""COMPUTED_VALUE"""),6090.0)</f>
        <v>6090</v>
      </c>
      <c r="E1171" s="1">
        <f>IFERROR(__xludf.DUMMYFUNCTION("""COMPUTED_VALUE"""),6360.0)</f>
        <v>6360</v>
      </c>
      <c r="F1171" s="1">
        <f>IFERROR(__xludf.DUMMYFUNCTION("""COMPUTED_VALUE"""),174294.0)</f>
        <v>174294</v>
      </c>
    </row>
    <row r="1172">
      <c r="A1172" s="2">
        <f>IFERROR(__xludf.DUMMYFUNCTION("""COMPUTED_VALUE"""),42648.64583333333)</f>
        <v>42648.64583</v>
      </c>
      <c r="B1172" s="1">
        <f>IFERROR(__xludf.DUMMYFUNCTION("""COMPUTED_VALUE"""),6420.0)</f>
        <v>6420</v>
      </c>
      <c r="C1172" s="1">
        <f>IFERROR(__xludf.DUMMYFUNCTION("""COMPUTED_VALUE"""),8070.0)</f>
        <v>8070</v>
      </c>
      <c r="D1172" s="1">
        <f>IFERROR(__xludf.DUMMYFUNCTION("""COMPUTED_VALUE"""),6420.0)</f>
        <v>6420</v>
      </c>
      <c r="E1172" s="1">
        <f>IFERROR(__xludf.DUMMYFUNCTION("""COMPUTED_VALUE"""),7300.0)</f>
        <v>7300</v>
      </c>
      <c r="F1172" s="1">
        <f>IFERROR(__xludf.DUMMYFUNCTION("""COMPUTED_VALUE"""),5658194.0)</f>
        <v>5658194</v>
      </c>
    </row>
    <row r="1173">
      <c r="A1173" s="2">
        <f>IFERROR(__xludf.DUMMYFUNCTION("""COMPUTED_VALUE"""),42649.64583333333)</f>
        <v>42649.64583</v>
      </c>
      <c r="B1173" s="1">
        <f>IFERROR(__xludf.DUMMYFUNCTION("""COMPUTED_VALUE"""),7170.0)</f>
        <v>7170</v>
      </c>
      <c r="C1173" s="1">
        <f>IFERROR(__xludf.DUMMYFUNCTION("""COMPUTED_VALUE"""),7230.0)</f>
        <v>7230</v>
      </c>
      <c r="D1173" s="1">
        <f>IFERROR(__xludf.DUMMYFUNCTION("""COMPUTED_VALUE"""),6860.0)</f>
        <v>6860</v>
      </c>
      <c r="E1173" s="1">
        <f>IFERROR(__xludf.DUMMYFUNCTION("""COMPUTED_VALUE"""),7070.0)</f>
        <v>7070</v>
      </c>
      <c r="F1173" s="1">
        <f>IFERROR(__xludf.DUMMYFUNCTION("""COMPUTED_VALUE"""),896502.0)</f>
        <v>896502</v>
      </c>
    </row>
    <row r="1174">
      <c r="A1174" s="2">
        <f>IFERROR(__xludf.DUMMYFUNCTION("""COMPUTED_VALUE"""),42650.64583333333)</f>
        <v>42650.64583</v>
      </c>
      <c r="B1174" s="1">
        <f>IFERROR(__xludf.DUMMYFUNCTION("""COMPUTED_VALUE"""),6910.0)</f>
        <v>6910</v>
      </c>
      <c r="C1174" s="1">
        <f>IFERROR(__xludf.DUMMYFUNCTION("""COMPUTED_VALUE"""),7190.0)</f>
        <v>7190</v>
      </c>
      <c r="D1174" s="1">
        <f>IFERROR(__xludf.DUMMYFUNCTION("""COMPUTED_VALUE"""),6700.0)</f>
        <v>6700</v>
      </c>
      <c r="E1174" s="1">
        <f>IFERROR(__xludf.DUMMYFUNCTION("""COMPUTED_VALUE"""),6730.0)</f>
        <v>6730</v>
      </c>
      <c r="F1174" s="1">
        <f>IFERROR(__xludf.DUMMYFUNCTION("""COMPUTED_VALUE"""),451853.0)</f>
        <v>451853</v>
      </c>
    </row>
    <row r="1175">
      <c r="A1175" s="2">
        <f>IFERROR(__xludf.DUMMYFUNCTION("""COMPUTED_VALUE"""),42653.64583333333)</f>
        <v>42653.64583</v>
      </c>
      <c r="B1175" s="1">
        <f>IFERROR(__xludf.DUMMYFUNCTION("""COMPUTED_VALUE"""),6680.0)</f>
        <v>6680</v>
      </c>
      <c r="C1175" s="1">
        <f>IFERROR(__xludf.DUMMYFUNCTION("""COMPUTED_VALUE"""),6890.0)</f>
        <v>6890</v>
      </c>
      <c r="D1175" s="1">
        <f>IFERROR(__xludf.DUMMYFUNCTION("""COMPUTED_VALUE"""),6600.0)</f>
        <v>6600</v>
      </c>
      <c r="E1175" s="1">
        <f>IFERROR(__xludf.DUMMYFUNCTION("""COMPUTED_VALUE"""),6670.0)</f>
        <v>6670</v>
      </c>
      <c r="F1175" s="1">
        <f>IFERROR(__xludf.DUMMYFUNCTION("""COMPUTED_VALUE"""),205470.0)</f>
        <v>205470</v>
      </c>
    </row>
    <row r="1176">
      <c r="A1176" s="2">
        <f>IFERROR(__xludf.DUMMYFUNCTION("""COMPUTED_VALUE"""),42654.64583333333)</f>
        <v>42654.64583</v>
      </c>
      <c r="B1176" s="1">
        <f>IFERROR(__xludf.DUMMYFUNCTION("""COMPUTED_VALUE"""),6710.0)</f>
        <v>6710</v>
      </c>
      <c r="C1176" s="1">
        <f>IFERROR(__xludf.DUMMYFUNCTION("""COMPUTED_VALUE"""),6780.0)</f>
        <v>6780</v>
      </c>
      <c r="D1176" s="1">
        <f>IFERROR(__xludf.DUMMYFUNCTION("""COMPUTED_VALUE"""),6400.0)</f>
        <v>6400</v>
      </c>
      <c r="E1176" s="1">
        <f>IFERROR(__xludf.DUMMYFUNCTION("""COMPUTED_VALUE"""),6440.0)</f>
        <v>6440</v>
      </c>
      <c r="F1176" s="1">
        <f>IFERROR(__xludf.DUMMYFUNCTION("""COMPUTED_VALUE"""),259126.0)</f>
        <v>259126</v>
      </c>
    </row>
    <row r="1177">
      <c r="A1177" s="2">
        <f>IFERROR(__xludf.DUMMYFUNCTION("""COMPUTED_VALUE"""),42655.64583333333)</f>
        <v>42655.64583</v>
      </c>
      <c r="B1177" s="1">
        <f>IFERROR(__xludf.DUMMYFUNCTION("""COMPUTED_VALUE"""),6440.0)</f>
        <v>6440</v>
      </c>
      <c r="C1177" s="1">
        <f>IFERROR(__xludf.DUMMYFUNCTION("""COMPUTED_VALUE"""),6500.0)</f>
        <v>6500</v>
      </c>
      <c r="D1177" s="1">
        <f>IFERROR(__xludf.DUMMYFUNCTION("""COMPUTED_VALUE"""),6320.0)</f>
        <v>6320</v>
      </c>
      <c r="E1177" s="1">
        <f>IFERROR(__xludf.DUMMYFUNCTION("""COMPUTED_VALUE"""),6430.0)</f>
        <v>6430</v>
      </c>
      <c r="F1177" s="1">
        <f>IFERROR(__xludf.DUMMYFUNCTION("""COMPUTED_VALUE"""),146591.0)</f>
        <v>146591</v>
      </c>
    </row>
    <row r="1178">
      <c r="A1178" s="2">
        <f>IFERROR(__xludf.DUMMYFUNCTION("""COMPUTED_VALUE"""),42656.64583333333)</f>
        <v>42656.64583</v>
      </c>
      <c r="B1178" s="1">
        <f>IFERROR(__xludf.DUMMYFUNCTION("""COMPUTED_VALUE"""),6370.0)</f>
        <v>6370</v>
      </c>
      <c r="C1178" s="1">
        <f>IFERROR(__xludf.DUMMYFUNCTION("""COMPUTED_VALUE"""),6430.0)</f>
        <v>6430</v>
      </c>
      <c r="D1178" s="1">
        <f>IFERROR(__xludf.DUMMYFUNCTION("""COMPUTED_VALUE"""),6200.0)</f>
        <v>6200</v>
      </c>
      <c r="E1178" s="1">
        <f>IFERROR(__xludf.DUMMYFUNCTION("""COMPUTED_VALUE"""),6200.0)</f>
        <v>6200</v>
      </c>
      <c r="F1178" s="1">
        <f>IFERROR(__xludf.DUMMYFUNCTION("""COMPUTED_VALUE"""),142099.0)</f>
        <v>142099</v>
      </c>
    </row>
    <row r="1179">
      <c r="A1179" s="2">
        <f>IFERROR(__xludf.DUMMYFUNCTION("""COMPUTED_VALUE"""),42657.64583333333)</f>
        <v>42657.64583</v>
      </c>
      <c r="B1179" s="1">
        <f>IFERROR(__xludf.DUMMYFUNCTION("""COMPUTED_VALUE"""),6270.0)</f>
        <v>6270</v>
      </c>
      <c r="C1179" s="1">
        <f>IFERROR(__xludf.DUMMYFUNCTION("""COMPUTED_VALUE"""),6510.0)</f>
        <v>6510</v>
      </c>
      <c r="D1179" s="1">
        <f>IFERROR(__xludf.DUMMYFUNCTION("""COMPUTED_VALUE"""),6160.0)</f>
        <v>6160</v>
      </c>
      <c r="E1179" s="1">
        <f>IFERROR(__xludf.DUMMYFUNCTION("""COMPUTED_VALUE"""),6400.0)</f>
        <v>6400</v>
      </c>
      <c r="F1179" s="1">
        <f>IFERROR(__xludf.DUMMYFUNCTION("""COMPUTED_VALUE"""),235289.0)</f>
        <v>235289</v>
      </c>
    </row>
    <row r="1180">
      <c r="A1180" s="2">
        <f>IFERROR(__xludf.DUMMYFUNCTION("""COMPUTED_VALUE"""),42660.64583333333)</f>
        <v>42660.64583</v>
      </c>
      <c r="B1180" s="1">
        <f>IFERROR(__xludf.DUMMYFUNCTION("""COMPUTED_VALUE"""),6410.0)</f>
        <v>6410</v>
      </c>
      <c r="C1180" s="1">
        <f>IFERROR(__xludf.DUMMYFUNCTION("""COMPUTED_VALUE"""),6430.0)</f>
        <v>6430</v>
      </c>
      <c r="D1180" s="1">
        <f>IFERROR(__xludf.DUMMYFUNCTION("""COMPUTED_VALUE"""),6010.0)</f>
        <v>6010</v>
      </c>
      <c r="E1180" s="1">
        <f>IFERROR(__xludf.DUMMYFUNCTION("""COMPUTED_VALUE"""),6090.0)</f>
        <v>6090</v>
      </c>
      <c r="F1180" s="1">
        <f>IFERROR(__xludf.DUMMYFUNCTION("""COMPUTED_VALUE"""),122875.0)</f>
        <v>122875</v>
      </c>
    </row>
    <row r="1181">
      <c r="A1181" s="2">
        <f>IFERROR(__xludf.DUMMYFUNCTION("""COMPUTED_VALUE"""),42661.64583333333)</f>
        <v>42661.64583</v>
      </c>
      <c r="B1181" s="1">
        <f>IFERROR(__xludf.DUMMYFUNCTION("""COMPUTED_VALUE"""),6110.0)</f>
        <v>6110</v>
      </c>
      <c r="C1181" s="1">
        <f>IFERROR(__xludf.DUMMYFUNCTION("""COMPUTED_VALUE"""),6550.0)</f>
        <v>6550</v>
      </c>
      <c r="D1181" s="1">
        <f>IFERROR(__xludf.DUMMYFUNCTION("""COMPUTED_VALUE"""),6060.0)</f>
        <v>6060</v>
      </c>
      <c r="E1181" s="1">
        <f>IFERROR(__xludf.DUMMYFUNCTION("""COMPUTED_VALUE"""),6080.0)</f>
        <v>6080</v>
      </c>
      <c r="F1181" s="1">
        <f>IFERROR(__xludf.DUMMYFUNCTION("""COMPUTED_VALUE"""),439405.0)</f>
        <v>439405</v>
      </c>
    </row>
    <row r="1182">
      <c r="A1182" s="2">
        <f>IFERROR(__xludf.DUMMYFUNCTION("""COMPUTED_VALUE"""),42662.64583333333)</f>
        <v>42662.64583</v>
      </c>
      <c r="B1182" s="1">
        <f>IFERROR(__xludf.DUMMYFUNCTION("""COMPUTED_VALUE"""),6010.0)</f>
        <v>6010</v>
      </c>
      <c r="C1182" s="1">
        <f>IFERROR(__xludf.DUMMYFUNCTION("""COMPUTED_VALUE"""),6220.0)</f>
        <v>6220</v>
      </c>
      <c r="D1182" s="1">
        <f>IFERROR(__xludf.DUMMYFUNCTION("""COMPUTED_VALUE"""),6010.0)</f>
        <v>6010</v>
      </c>
      <c r="E1182" s="1">
        <f>IFERROR(__xludf.DUMMYFUNCTION("""COMPUTED_VALUE"""),6090.0)</f>
        <v>6090</v>
      </c>
      <c r="F1182" s="1">
        <f>IFERROR(__xludf.DUMMYFUNCTION("""COMPUTED_VALUE"""),94269.0)</f>
        <v>94269</v>
      </c>
    </row>
    <row r="1183">
      <c r="A1183" s="2">
        <f>IFERROR(__xludf.DUMMYFUNCTION("""COMPUTED_VALUE"""),42663.64583333333)</f>
        <v>42663.64583</v>
      </c>
      <c r="B1183" s="1">
        <f>IFERROR(__xludf.DUMMYFUNCTION("""COMPUTED_VALUE"""),6070.0)</f>
        <v>6070</v>
      </c>
      <c r="C1183" s="1">
        <f>IFERROR(__xludf.DUMMYFUNCTION("""COMPUTED_VALUE"""),6210.0)</f>
        <v>6210</v>
      </c>
      <c r="D1183" s="1">
        <f>IFERROR(__xludf.DUMMYFUNCTION("""COMPUTED_VALUE"""),5870.0)</f>
        <v>5870</v>
      </c>
      <c r="E1183" s="1">
        <f>IFERROR(__xludf.DUMMYFUNCTION("""COMPUTED_VALUE"""),5900.0)</f>
        <v>5900</v>
      </c>
      <c r="F1183" s="1">
        <f>IFERROR(__xludf.DUMMYFUNCTION("""COMPUTED_VALUE"""),91328.0)</f>
        <v>91328</v>
      </c>
    </row>
    <row r="1184">
      <c r="A1184" s="2">
        <f>IFERROR(__xludf.DUMMYFUNCTION("""COMPUTED_VALUE"""),42664.64583333333)</f>
        <v>42664.64583</v>
      </c>
      <c r="B1184" s="1">
        <f>IFERROR(__xludf.DUMMYFUNCTION("""COMPUTED_VALUE"""),5900.0)</f>
        <v>5900</v>
      </c>
      <c r="C1184" s="1">
        <f>IFERROR(__xludf.DUMMYFUNCTION("""COMPUTED_VALUE"""),6070.0)</f>
        <v>6070</v>
      </c>
      <c r="D1184" s="1">
        <f>IFERROR(__xludf.DUMMYFUNCTION("""COMPUTED_VALUE"""),5860.0)</f>
        <v>5860</v>
      </c>
      <c r="E1184" s="1">
        <f>IFERROR(__xludf.DUMMYFUNCTION("""COMPUTED_VALUE"""),5940.0)</f>
        <v>5940</v>
      </c>
      <c r="F1184" s="1">
        <f>IFERROR(__xludf.DUMMYFUNCTION("""COMPUTED_VALUE"""),51184.0)</f>
        <v>51184</v>
      </c>
    </row>
    <row r="1185">
      <c r="A1185" s="2">
        <f>IFERROR(__xludf.DUMMYFUNCTION("""COMPUTED_VALUE"""),42667.64583333333)</f>
        <v>42667.64583</v>
      </c>
      <c r="B1185" s="1">
        <f>IFERROR(__xludf.DUMMYFUNCTION("""COMPUTED_VALUE"""),5940.0)</f>
        <v>5940</v>
      </c>
      <c r="C1185" s="1">
        <f>IFERROR(__xludf.DUMMYFUNCTION("""COMPUTED_VALUE"""),6210.0)</f>
        <v>6210</v>
      </c>
      <c r="D1185" s="1">
        <f>IFERROR(__xludf.DUMMYFUNCTION("""COMPUTED_VALUE"""),5870.0)</f>
        <v>5870</v>
      </c>
      <c r="E1185" s="1">
        <f>IFERROR(__xludf.DUMMYFUNCTION("""COMPUTED_VALUE"""),6090.0)</f>
        <v>6090</v>
      </c>
      <c r="F1185" s="1">
        <f>IFERROR(__xludf.DUMMYFUNCTION("""COMPUTED_VALUE"""),96515.0)</f>
        <v>96515</v>
      </c>
    </row>
    <row r="1186">
      <c r="A1186" s="2">
        <f>IFERROR(__xludf.DUMMYFUNCTION("""COMPUTED_VALUE"""),42668.64583333333)</f>
        <v>42668.64583</v>
      </c>
      <c r="B1186" s="1">
        <f>IFERROR(__xludf.DUMMYFUNCTION("""COMPUTED_VALUE"""),6130.0)</f>
        <v>6130</v>
      </c>
      <c r="C1186" s="1">
        <f>IFERROR(__xludf.DUMMYFUNCTION("""COMPUTED_VALUE"""),6140.0)</f>
        <v>6140</v>
      </c>
      <c r="D1186" s="1">
        <f>IFERROR(__xludf.DUMMYFUNCTION("""COMPUTED_VALUE"""),5890.0)</f>
        <v>5890</v>
      </c>
      <c r="E1186" s="1">
        <f>IFERROR(__xludf.DUMMYFUNCTION("""COMPUTED_VALUE"""),6050.0)</f>
        <v>6050</v>
      </c>
      <c r="F1186" s="1">
        <f>IFERROR(__xludf.DUMMYFUNCTION("""COMPUTED_VALUE"""),71343.0)</f>
        <v>71343</v>
      </c>
    </row>
    <row r="1187">
      <c r="A1187" s="2">
        <f>IFERROR(__xludf.DUMMYFUNCTION("""COMPUTED_VALUE"""),42669.64583333333)</f>
        <v>42669.64583</v>
      </c>
      <c r="B1187" s="1">
        <f>IFERROR(__xludf.DUMMYFUNCTION("""COMPUTED_VALUE"""),6050.0)</f>
        <v>6050</v>
      </c>
      <c r="C1187" s="1">
        <f>IFERROR(__xludf.DUMMYFUNCTION("""COMPUTED_VALUE"""),6050.0)</f>
        <v>6050</v>
      </c>
      <c r="D1187" s="1">
        <f>IFERROR(__xludf.DUMMYFUNCTION("""COMPUTED_VALUE"""),5660.0)</f>
        <v>5660</v>
      </c>
      <c r="E1187" s="1">
        <f>IFERROR(__xludf.DUMMYFUNCTION("""COMPUTED_VALUE"""),5750.0)</f>
        <v>5750</v>
      </c>
      <c r="F1187" s="1">
        <f>IFERROR(__xludf.DUMMYFUNCTION("""COMPUTED_VALUE"""),121039.0)</f>
        <v>121039</v>
      </c>
    </row>
    <row r="1188">
      <c r="A1188" s="2">
        <f>IFERROR(__xludf.DUMMYFUNCTION("""COMPUTED_VALUE"""),42670.64583333333)</f>
        <v>42670.64583</v>
      </c>
      <c r="B1188" s="1">
        <f>IFERROR(__xludf.DUMMYFUNCTION("""COMPUTED_VALUE"""),5750.0)</f>
        <v>5750</v>
      </c>
      <c r="C1188" s="1">
        <f>IFERROR(__xludf.DUMMYFUNCTION("""COMPUTED_VALUE"""),5950.0)</f>
        <v>5950</v>
      </c>
      <c r="D1188" s="1">
        <f>IFERROR(__xludf.DUMMYFUNCTION("""COMPUTED_VALUE"""),5750.0)</f>
        <v>5750</v>
      </c>
      <c r="E1188" s="1">
        <f>IFERROR(__xludf.DUMMYFUNCTION("""COMPUTED_VALUE"""),5910.0)</f>
        <v>5910</v>
      </c>
      <c r="F1188" s="1">
        <f>IFERROR(__xludf.DUMMYFUNCTION("""COMPUTED_VALUE"""),30427.0)</f>
        <v>30427</v>
      </c>
    </row>
    <row r="1189">
      <c r="A1189" s="2">
        <f>IFERROR(__xludf.DUMMYFUNCTION("""COMPUTED_VALUE"""),42671.64583333333)</f>
        <v>42671.64583</v>
      </c>
      <c r="B1189" s="1">
        <f>IFERROR(__xludf.DUMMYFUNCTION("""COMPUTED_VALUE"""),5850.0)</f>
        <v>5850</v>
      </c>
      <c r="C1189" s="1">
        <f>IFERROR(__xludf.DUMMYFUNCTION("""COMPUTED_VALUE"""),5940.0)</f>
        <v>5940</v>
      </c>
      <c r="D1189" s="1">
        <f>IFERROR(__xludf.DUMMYFUNCTION("""COMPUTED_VALUE"""),5760.0)</f>
        <v>5760</v>
      </c>
      <c r="E1189" s="1">
        <f>IFERROR(__xludf.DUMMYFUNCTION("""COMPUTED_VALUE"""),5830.0)</f>
        <v>5830</v>
      </c>
      <c r="F1189" s="1">
        <f>IFERROR(__xludf.DUMMYFUNCTION("""COMPUTED_VALUE"""),43119.0)</f>
        <v>43119</v>
      </c>
    </row>
    <row r="1190">
      <c r="A1190" s="2">
        <f>IFERROR(__xludf.DUMMYFUNCTION("""COMPUTED_VALUE"""),42674.64583333333)</f>
        <v>42674.64583</v>
      </c>
      <c r="B1190" s="1">
        <f>IFERROR(__xludf.DUMMYFUNCTION("""COMPUTED_VALUE"""),5800.0)</f>
        <v>5800</v>
      </c>
      <c r="C1190" s="1">
        <f>IFERROR(__xludf.DUMMYFUNCTION("""COMPUTED_VALUE"""),5910.0)</f>
        <v>5910</v>
      </c>
      <c r="D1190" s="1">
        <f>IFERROR(__xludf.DUMMYFUNCTION("""COMPUTED_VALUE"""),5770.0)</f>
        <v>5770</v>
      </c>
      <c r="E1190" s="1">
        <f>IFERROR(__xludf.DUMMYFUNCTION("""COMPUTED_VALUE"""),5810.0)</f>
        <v>5810</v>
      </c>
      <c r="F1190" s="1">
        <f>IFERROR(__xludf.DUMMYFUNCTION("""COMPUTED_VALUE"""),37558.0)</f>
        <v>37558</v>
      </c>
    </row>
    <row r="1191">
      <c r="A1191" s="2">
        <f>IFERROR(__xludf.DUMMYFUNCTION("""COMPUTED_VALUE"""),42675.64583333333)</f>
        <v>42675.64583</v>
      </c>
      <c r="B1191" s="1">
        <f>IFERROR(__xludf.DUMMYFUNCTION("""COMPUTED_VALUE"""),5760.0)</f>
        <v>5760</v>
      </c>
      <c r="C1191" s="1">
        <f>IFERROR(__xludf.DUMMYFUNCTION("""COMPUTED_VALUE"""),6080.0)</f>
        <v>6080</v>
      </c>
      <c r="D1191" s="1">
        <f>IFERROR(__xludf.DUMMYFUNCTION("""COMPUTED_VALUE"""),5760.0)</f>
        <v>5760</v>
      </c>
      <c r="E1191" s="1">
        <f>IFERROR(__xludf.DUMMYFUNCTION("""COMPUTED_VALUE"""),6020.0)</f>
        <v>6020</v>
      </c>
      <c r="F1191" s="1">
        <f>IFERROR(__xludf.DUMMYFUNCTION("""COMPUTED_VALUE"""),57571.0)</f>
        <v>57571</v>
      </c>
    </row>
    <row r="1192">
      <c r="A1192" s="2">
        <f>IFERROR(__xludf.DUMMYFUNCTION("""COMPUTED_VALUE"""),42676.64583333333)</f>
        <v>42676.64583</v>
      </c>
      <c r="B1192" s="1">
        <f>IFERROR(__xludf.DUMMYFUNCTION("""COMPUTED_VALUE"""),5900.0)</f>
        <v>5900</v>
      </c>
      <c r="C1192" s="1">
        <f>IFERROR(__xludf.DUMMYFUNCTION("""COMPUTED_VALUE"""),6000.0)</f>
        <v>6000</v>
      </c>
      <c r="D1192" s="1">
        <f>IFERROR(__xludf.DUMMYFUNCTION("""COMPUTED_VALUE"""),5660.0)</f>
        <v>5660</v>
      </c>
      <c r="E1192" s="1">
        <f>IFERROR(__xludf.DUMMYFUNCTION("""COMPUTED_VALUE"""),5710.0)</f>
        <v>5710</v>
      </c>
      <c r="F1192" s="1">
        <f>IFERROR(__xludf.DUMMYFUNCTION("""COMPUTED_VALUE"""),63989.0)</f>
        <v>63989</v>
      </c>
    </row>
    <row r="1193">
      <c r="A1193" s="2">
        <f>IFERROR(__xludf.DUMMYFUNCTION("""COMPUTED_VALUE"""),42677.64583333333)</f>
        <v>42677.64583</v>
      </c>
      <c r="B1193" s="1">
        <f>IFERROR(__xludf.DUMMYFUNCTION("""COMPUTED_VALUE"""),5710.0)</f>
        <v>5710</v>
      </c>
      <c r="C1193" s="1">
        <f>IFERROR(__xludf.DUMMYFUNCTION("""COMPUTED_VALUE"""),5750.0)</f>
        <v>5750</v>
      </c>
      <c r="D1193" s="1">
        <f>IFERROR(__xludf.DUMMYFUNCTION("""COMPUTED_VALUE"""),5610.0)</f>
        <v>5610</v>
      </c>
      <c r="E1193" s="1">
        <f>IFERROR(__xludf.DUMMYFUNCTION("""COMPUTED_VALUE"""),5690.0)</f>
        <v>5690</v>
      </c>
      <c r="F1193" s="1">
        <f>IFERROR(__xludf.DUMMYFUNCTION("""COMPUTED_VALUE"""),48109.0)</f>
        <v>48109</v>
      </c>
    </row>
    <row r="1194">
      <c r="A1194" s="2">
        <f>IFERROR(__xludf.DUMMYFUNCTION("""COMPUTED_VALUE"""),42678.64583333333)</f>
        <v>42678.64583</v>
      </c>
      <c r="B1194" s="1">
        <f>IFERROR(__xludf.DUMMYFUNCTION("""COMPUTED_VALUE"""),5660.0)</f>
        <v>5660</v>
      </c>
      <c r="C1194" s="1">
        <f>IFERROR(__xludf.DUMMYFUNCTION("""COMPUTED_VALUE"""),5760.0)</f>
        <v>5760</v>
      </c>
      <c r="D1194" s="1">
        <f>IFERROR(__xludf.DUMMYFUNCTION("""COMPUTED_VALUE"""),5660.0)</f>
        <v>5660</v>
      </c>
      <c r="E1194" s="1">
        <f>IFERROR(__xludf.DUMMYFUNCTION("""COMPUTED_VALUE"""),5730.0)</f>
        <v>5730</v>
      </c>
      <c r="F1194" s="1">
        <f>IFERROR(__xludf.DUMMYFUNCTION("""COMPUTED_VALUE"""),22088.0)</f>
        <v>22088</v>
      </c>
    </row>
    <row r="1195">
      <c r="A1195" s="2">
        <f>IFERROR(__xludf.DUMMYFUNCTION("""COMPUTED_VALUE"""),42681.64583333333)</f>
        <v>42681.64583</v>
      </c>
      <c r="B1195" s="1">
        <f>IFERROR(__xludf.DUMMYFUNCTION("""COMPUTED_VALUE"""),5800.0)</f>
        <v>5800</v>
      </c>
      <c r="C1195" s="1">
        <f>IFERROR(__xludf.DUMMYFUNCTION("""COMPUTED_VALUE"""),5880.0)</f>
        <v>5880</v>
      </c>
      <c r="D1195" s="1">
        <f>IFERROR(__xludf.DUMMYFUNCTION("""COMPUTED_VALUE"""),5710.0)</f>
        <v>5710</v>
      </c>
      <c r="E1195" s="1">
        <f>IFERROR(__xludf.DUMMYFUNCTION("""COMPUTED_VALUE"""),5760.0)</f>
        <v>5760</v>
      </c>
      <c r="F1195" s="1">
        <f>IFERROR(__xludf.DUMMYFUNCTION("""COMPUTED_VALUE"""),16212.0)</f>
        <v>16212</v>
      </c>
    </row>
    <row r="1196">
      <c r="A1196" s="2">
        <f>IFERROR(__xludf.DUMMYFUNCTION("""COMPUTED_VALUE"""),42682.64583333333)</f>
        <v>42682.64583</v>
      </c>
      <c r="B1196" s="1">
        <f>IFERROR(__xludf.DUMMYFUNCTION("""COMPUTED_VALUE"""),5800.0)</f>
        <v>5800</v>
      </c>
      <c r="C1196" s="1">
        <f>IFERROR(__xludf.DUMMYFUNCTION("""COMPUTED_VALUE"""),5920.0)</f>
        <v>5920</v>
      </c>
      <c r="D1196" s="1">
        <f>IFERROR(__xludf.DUMMYFUNCTION("""COMPUTED_VALUE"""),5760.0)</f>
        <v>5760</v>
      </c>
      <c r="E1196" s="1">
        <f>IFERROR(__xludf.DUMMYFUNCTION("""COMPUTED_VALUE"""),5770.0)</f>
        <v>5770</v>
      </c>
      <c r="F1196" s="1">
        <f>IFERROR(__xludf.DUMMYFUNCTION("""COMPUTED_VALUE"""),35959.0)</f>
        <v>35959</v>
      </c>
    </row>
    <row r="1197">
      <c r="A1197" s="2">
        <f>IFERROR(__xludf.DUMMYFUNCTION("""COMPUTED_VALUE"""),42683.64583333333)</f>
        <v>42683.64583</v>
      </c>
      <c r="B1197" s="1">
        <f>IFERROR(__xludf.DUMMYFUNCTION("""COMPUTED_VALUE"""),5780.0)</f>
        <v>5780</v>
      </c>
      <c r="C1197" s="1">
        <f>IFERROR(__xludf.DUMMYFUNCTION("""COMPUTED_VALUE"""),5830.0)</f>
        <v>5830</v>
      </c>
      <c r="D1197" s="1">
        <f>IFERROR(__xludf.DUMMYFUNCTION("""COMPUTED_VALUE"""),5400.0)</f>
        <v>5400</v>
      </c>
      <c r="E1197" s="1">
        <f>IFERROR(__xludf.DUMMYFUNCTION("""COMPUTED_VALUE"""),5600.0)</f>
        <v>5600</v>
      </c>
      <c r="F1197" s="1">
        <f>IFERROR(__xludf.DUMMYFUNCTION("""COMPUTED_VALUE"""),115778.0)</f>
        <v>115778</v>
      </c>
    </row>
    <row r="1198">
      <c r="A1198" s="2">
        <f>IFERROR(__xludf.DUMMYFUNCTION("""COMPUTED_VALUE"""),42684.64583333333)</f>
        <v>42684.64583</v>
      </c>
      <c r="B1198" s="1">
        <f>IFERROR(__xludf.DUMMYFUNCTION("""COMPUTED_VALUE"""),5610.0)</f>
        <v>5610</v>
      </c>
      <c r="C1198" s="1">
        <f>IFERROR(__xludf.DUMMYFUNCTION("""COMPUTED_VALUE"""),5740.0)</f>
        <v>5740</v>
      </c>
      <c r="D1198" s="1">
        <f>IFERROR(__xludf.DUMMYFUNCTION("""COMPUTED_VALUE"""),5600.0)</f>
        <v>5600</v>
      </c>
      <c r="E1198" s="1">
        <f>IFERROR(__xludf.DUMMYFUNCTION("""COMPUTED_VALUE"""),5700.0)</f>
        <v>5700</v>
      </c>
      <c r="F1198" s="1">
        <f>IFERROR(__xludf.DUMMYFUNCTION("""COMPUTED_VALUE"""),33522.0)</f>
        <v>33522</v>
      </c>
    </row>
    <row r="1199">
      <c r="A1199" s="2">
        <f>IFERROR(__xludf.DUMMYFUNCTION("""COMPUTED_VALUE"""),42685.64583333333)</f>
        <v>42685.64583</v>
      </c>
      <c r="B1199" s="1">
        <f>IFERROR(__xludf.DUMMYFUNCTION("""COMPUTED_VALUE"""),5650.0)</f>
        <v>5650</v>
      </c>
      <c r="C1199" s="1">
        <f>IFERROR(__xludf.DUMMYFUNCTION("""COMPUTED_VALUE"""),5920.0)</f>
        <v>5920</v>
      </c>
      <c r="D1199" s="1">
        <f>IFERROR(__xludf.DUMMYFUNCTION("""COMPUTED_VALUE"""),5650.0)</f>
        <v>5650</v>
      </c>
      <c r="E1199" s="1">
        <f>IFERROR(__xludf.DUMMYFUNCTION("""COMPUTED_VALUE"""),5820.0)</f>
        <v>5820</v>
      </c>
      <c r="F1199" s="1">
        <f>IFERROR(__xludf.DUMMYFUNCTION("""COMPUTED_VALUE"""),58108.0)</f>
        <v>58108</v>
      </c>
    </row>
    <row r="1200">
      <c r="A1200" s="2">
        <f>IFERROR(__xludf.DUMMYFUNCTION("""COMPUTED_VALUE"""),42688.64583333333)</f>
        <v>42688.64583</v>
      </c>
      <c r="B1200" s="1">
        <f>IFERROR(__xludf.DUMMYFUNCTION("""COMPUTED_VALUE"""),5820.0)</f>
        <v>5820</v>
      </c>
      <c r="C1200" s="1">
        <f>IFERROR(__xludf.DUMMYFUNCTION("""COMPUTED_VALUE"""),5960.0)</f>
        <v>5960</v>
      </c>
      <c r="D1200" s="1">
        <f>IFERROR(__xludf.DUMMYFUNCTION("""COMPUTED_VALUE"""),5820.0)</f>
        <v>5820</v>
      </c>
      <c r="E1200" s="1">
        <f>IFERROR(__xludf.DUMMYFUNCTION("""COMPUTED_VALUE"""),5850.0)</f>
        <v>5850</v>
      </c>
      <c r="F1200" s="1">
        <f>IFERROR(__xludf.DUMMYFUNCTION("""COMPUTED_VALUE"""),26567.0)</f>
        <v>26567</v>
      </c>
    </row>
    <row r="1201">
      <c r="A1201" s="2">
        <f>IFERROR(__xludf.DUMMYFUNCTION("""COMPUTED_VALUE"""),42689.64583333333)</f>
        <v>42689.64583</v>
      </c>
      <c r="B1201" s="1">
        <f>IFERROR(__xludf.DUMMYFUNCTION("""COMPUTED_VALUE"""),5850.0)</f>
        <v>5850</v>
      </c>
      <c r="C1201" s="1">
        <f>IFERROR(__xludf.DUMMYFUNCTION("""COMPUTED_VALUE"""),5930.0)</f>
        <v>5930</v>
      </c>
      <c r="D1201" s="1">
        <f>IFERROR(__xludf.DUMMYFUNCTION("""COMPUTED_VALUE"""),5750.0)</f>
        <v>5750</v>
      </c>
      <c r="E1201" s="1">
        <f>IFERROR(__xludf.DUMMYFUNCTION("""COMPUTED_VALUE"""),5860.0)</f>
        <v>5860</v>
      </c>
      <c r="F1201" s="1">
        <f>IFERROR(__xludf.DUMMYFUNCTION("""COMPUTED_VALUE"""),45464.0)</f>
        <v>45464</v>
      </c>
    </row>
    <row r="1202">
      <c r="A1202" s="2">
        <f>IFERROR(__xludf.DUMMYFUNCTION("""COMPUTED_VALUE"""),42690.64583333333)</f>
        <v>42690.64583</v>
      </c>
      <c r="B1202" s="1">
        <f>IFERROR(__xludf.DUMMYFUNCTION("""COMPUTED_VALUE"""),5860.0)</f>
        <v>5860</v>
      </c>
      <c r="C1202" s="1">
        <f>IFERROR(__xludf.DUMMYFUNCTION("""COMPUTED_VALUE"""),6000.0)</f>
        <v>6000</v>
      </c>
      <c r="D1202" s="1">
        <f>IFERROR(__xludf.DUMMYFUNCTION("""COMPUTED_VALUE"""),5840.0)</f>
        <v>5840</v>
      </c>
      <c r="E1202" s="1">
        <f>IFERROR(__xludf.DUMMYFUNCTION("""COMPUTED_VALUE"""),5980.0)</f>
        <v>5980</v>
      </c>
      <c r="F1202" s="1">
        <f>IFERROR(__xludf.DUMMYFUNCTION("""COMPUTED_VALUE"""),35476.0)</f>
        <v>35476</v>
      </c>
    </row>
    <row r="1203">
      <c r="A1203" s="2">
        <f>IFERROR(__xludf.DUMMYFUNCTION("""COMPUTED_VALUE"""),42691.64583333333)</f>
        <v>42691.64583</v>
      </c>
      <c r="B1203" s="1">
        <f>IFERROR(__xludf.DUMMYFUNCTION("""COMPUTED_VALUE"""),5980.0)</f>
        <v>5980</v>
      </c>
      <c r="C1203" s="1">
        <f>IFERROR(__xludf.DUMMYFUNCTION("""COMPUTED_VALUE"""),6010.0)</f>
        <v>6010</v>
      </c>
      <c r="D1203" s="1">
        <f>IFERROR(__xludf.DUMMYFUNCTION("""COMPUTED_VALUE"""),5840.0)</f>
        <v>5840</v>
      </c>
      <c r="E1203" s="1">
        <f>IFERROR(__xludf.DUMMYFUNCTION("""COMPUTED_VALUE"""),5920.0)</f>
        <v>5920</v>
      </c>
      <c r="F1203" s="1">
        <f>IFERROR(__xludf.DUMMYFUNCTION("""COMPUTED_VALUE"""),33867.0)</f>
        <v>33867</v>
      </c>
    </row>
    <row r="1204">
      <c r="A1204" s="2">
        <f>IFERROR(__xludf.DUMMYFUNCTION("""COMPUTED_VALUE"""),42692.64583333333)</f>
        <v>42692.64583</v>
      </c>
      <c r="B1204" s="1">
        <f>IFERROR(__xludf.DUMMYFUNCTION("""COMPUTED_VALUE"""),5850.0)</f>
        <v>5850</v>
      </c>
      <c r="C1204" s="1">
        <f>IFERROR(__xludf.DUMMYFUNCTION("""COMPUTED_VALUE"""),5940.0)</f>
        <v>5940</v>
      </c>
      <c r="D1204" s="1">
        <f>IFERROR(__xludf.DUMMYFUNCTION("""COMPUTED_VALUE"""),5800.0)</f>
        <v>5800</v>
      </c>
      <c r="E1204" s="1">
        <f>IFERROR(__xludf.DUMMYFUNCTION("""COMPUTED_VALUE"""),5920.0)</f>
        <v>5920</v>
      </c>
      <c r="F1204" s="1">
        <f>IFERROR(__xludf.DUMMYFUNCTION("""COMPUTED_VALUE"""),35511.0)</f>
        <v>35511</v>
      </c>
    </row>
    <row r="1205">
      <c r="A1205" s="2">
        <f>IFERROR(__xludf.DUMMYFUNCTION("""COMPUTED_VALUE"""),42695.64583333333)</f>
        <v>42695.64583</v>
      </c>
      <c r="B1205" s="1">
        <f>IFERROR(__xludf.DUMMYFUNCTION("""COMPUTED_VALUE"""),5860.0)</f>
        <v>5860</v>
      </c>
      <c r="C1205" s="1">
        <f>IFERROR(__xludf.DUMMYFUNCTION("""COMPUTED_VALUE"""),5920.0)</f>
        <v>5920</v>
      </c>
      <c r="D1205" s="1">
        <f>IFERROR(__xludf.DUMMYFUNCTION("""COMPUTED_VALUE"""),5670.0)</f>
        <v>5670</v>
      </c>
      <c r="E1205" s="1">
        <f>IFERROR(__xludf.DUMMYFUNCTION("""COMPUTED_VALUE"""),5670.0)</f>
        <v>5670</v>
      </c>
      <c r="F1205" s="1">
        <f>IFERROR(__xludf.DUMMYFUNCTION("""COMPUTED_VALUE"""),42925.0)</f>
        <v>42925</v>
      </c>
    </row>
    <row r="1206">
      <c r="A1206" s="2">
        <f>IFERROR(__xludf.DUMMYFUNCTION("""COMPUTED_VALUE"""),42696.64583333333)</f>
        <v>42696.64583</v>
      </c>
      <c r="B1206" s="1">
        <f>IFERROR(__xludf.DUMMYFUNCTION("""COMPUTED_VALUE"""),5630.0)</f>
        <v>5630</v>
      </c>
      <c r="C1206" s="1">
        <f>IFERROR(__xludf.DUMMYFUNCTION("""COMPUTED_VALUE"""),5780.0)</f>
        <v>5780</v>
      </c>
      <c r="D1206" s="1">
        <f>IFERROR(__xludf.DUMMYFUNCTION("""COMPUTED_VALUE"""),5630.0)</f>
        <v>5630</v>
      </c>
      <c r="E1206" s="1">
        <f>IFERROR(__xludf.DUMMYFUNCTION("""COMPUTED_VALUE"""),5770.0)</f>
        <v>5770</v>
      </c>
      <c r="F1206" s="1">
        <f>IFERROR(__xludf.DUMMYFUNCTION("""COMPUTED_VALUE"""),45537.0)</f>
        <v>45537</v>
      </c>
    </row>
    <row r="1207">
      <c r="A1207" s="2">
        <f>IFERROR(__xludf.DUMMYFUNCTION("""COMPUTED_VALUE"""),42697.64583333333)</f>
        <v>42697.64583</v>
      </c>
      <c r="B1207" s="1">
        <f>IFERROR(__xludf.DUMMYFUNCTION("""COMPUTED_VALUE"""),5740.0)</f>
        <v>5740</v>
      </c>
      <c r="C1207" s="1">
        <f>IFERROR(__xludf.DUMMYFUNCTION("""COMPUTED_VALUE"""),5810.0)</f>
        <v>5810</v>
      </c>
      <c r="D1207" s="1">
        <f>IFERROR(__xludf.DUMMYFUNCTION("""COMPUTED_VALUE"""),5700.0)</f>
        <v>5700</v>
      </c>
      <c r="E1207" s="1">
        <f>IFERROR(__xludf.DUMMYFUNCTION("""COMPUTED_VALUE"""),5700.0)</f>
        <v>5700</v>
      </c>
      <c r="F1207" s="1">
        <f>IFERROR(__xludf.DUMMYFUNCTION("""COMPUTED_VALUE"""),39821.0)</f>
        <v>39821</v>
      </c>
    </row>
    <row r="1208">
      <c r="A1208" s="2">
        <f>IFERROR(__xludf.DUMMYFUNCTION("""COMPUTED_VALUE"""),42698.64583333333)</f>
        <v>42698.64583</v>
      </c>
      <c r="B1208" s="1">
        <f>IFERROR(__xludf.DUMMYFUNCTION("""COMPUTED_VALUE"""),5660.0)</f>
        <v>5660</v>
      </c>
      <c r="C1208" s="1">
        <f>IFERROR(__xludf.DUMMYFUNCTION("""COMPUTED_VALUE"""),5780.0)</f>
        <v>5780</v>
      </c>
      <c r="D1208" s="1">
        <f>IFERROR(__xludf.DUMMYFUNCTION("""COMPUTED_VALUE"""),5610.0)</f>
        <v>5610</v>
      </c>
      <c r="E1208" s="1">
        <f>IFERROR(__xludf.DUMMYFUNCTION("""COMPUTED_VALUE"""),5650.0)</f>
        <v>5650</v>
      </c>
      <c r="F1208" s="1">
        <f>IFERROR(__xludf.DUMMYFUNCTION("""COMPUTED_VALUE"""),34788.0)</f>
        <v>34788</v>
      </c>
    </row>
    <row r="1209">
      <c r="A1209" s="2">
        <f>IFERROR(__xludf.DUMMYFUNCTION("""COMPUTED_VALUE"""),42699.64583333333)</f>
        <v>42699.64583</v>
      </c>
      <c r="B1209" s="1">
        <f>IFERROR(__xludf.DUMMYFUNCTION("""COMPUTED_VALUE"""),5650.0)</f>
        <v>5650</v>
      </c>
      <c r="C1209" s="1">
        <f>IFERROR(__xludf.DUMMYFUNCTION("""COMPUTED_VALUE"""),5730.0)</f>
        <v>5730</v>
      </c>
      <c r="D1209" s="1">
        <f>IFERROR(__xludf.DUMMYFUNCTION("""COMPUTED_VALUE"""),5580.0)</f>
        <v>5580</v>
      </c>
      <c r="E1209" s="1">
        <f>IFERROR(__xludf.DUMMYFUNCTION("""COMPUTED_VALUE"""),5600.0)</f>
        <v>5600</v>
      </c>
      <c r="F1209" s="1">
        <f>IFERROR(__xludf.DUMMYFUNCTION("""COMPUTED_VALUE"""),36502.0)</f>
        <v>36502</v>
      </c>
    </row>
    <row r="1210">
      <c r="A1210" s="2">
        <f>IFERROR(__xludf.DUMMYFUNCTION("""COMPUTED_VALUE"""),42702.64583333333)</f>
        <v>42702.64583</v>
      </c>
      <c r="B1210" s="1">
        <f>IFERROR(__xludf.DUMMYFUNCTION("""COMPUTED_VALUE"""),5600.0)</f>
        <v>5600</v>
      </c>
      <c r="C1210" s="1">
        <f>IFERROR(__xludf.DUMMYFUNCTION("""COMPUTED_VALUE"""),5660.0)</f>
        <v>5660</v>
      </c>
      <c r="D1210" s="1">
        <f>IFERROR(__xludf.DUMMYFUNCTION("""COMPUTED_VALUE"""),5560.0)</f>
        <v>5560</v>
      </c>
      <c r="E1210" s="1">
        <f>IFERROR(__xludf.DUMMYFUNCTION("""COMPUTED_VALUE"""),5590.0)</f>
        <v>5590</v>
      </c>
      <c r="F1210" s="1">
        <f>IFERROR(__xludf.DUMMYFUNCTION("""COMPUTED_VALUE"""),13200.0)</f>
        <v>13200</v>
      </c>
    </row>
    <row r="1211">
      <c r="A1211" s="2">
        <f>IFERROR(__xludf.DUMMYFUNCTION("""COMPUTED_VALUE"""),42703.64583333333)</f>
        <v>42703.64583</v>
      </c>
      <c r="B1211" s="1">
        <f>IFERROR(__xludf.DUMMYFUNCTION("""COMPUTED_VALUE"""),5590.0)</f>
        <v>5590</v>
      </c>
      <c r="C1211" s="1">
        <f>IFERROR(__xludf.DUMMYFUNCTION("""COMPUTED_VALUE"""),5630.0)</f>
        <v>5630</v>
      </c>
      <c r="D1211" s="1">
        <f>IFERROR(__xludf.DUMMYFUNCTION("""COMPUTED_VALUE"""),5500.0)</f>
        <v>5500</v>
      </c>
      <c r="E1211" s="1">
        <f>IFERROR(__xludf.DUMMYFUNCTION("""COMPUTED_VALUE"""),5570.0)</f>
        <v>5570</v>
      </c>
      <c r="F1211" s="1">
        <f>IFERROR(__xludf.DUMMYFUNCTION("""COMPUTED_VALUE"""),31312.0)</f>
        <v>31312</v>
      </c>
    </row>
    <row r="1212">
      <c r="A1212" s="2">
        <f>IFERROR(__xludf.DUMMYFUNCTION("""COMPUTED_VALUE"""),42704.64583333333)</f>
        <v>42704.64583</v>
      </c>
      <c r="B1212" s="1">
        <f>IFERROR(__xludf.DUMMYFUNCTION("""COMPUTED_VALUE"""),5600.0)</f>
        <v>5600</v>
      </c>
      <c r="C1212" s="1">
        <f>IFERROR(__xludf.DUMMYFUNCTION("""COMPUTED_VALUE"""),5870.0)</f>
        <v>5870</v>
      </c>
      <c r="D1212" s="1">
        <f>IFERROR(__xludf.DUMMYFUNCTION("""COMPUTED_VALUE"""),5560.0)</f>
        <v>5560</v>
      </c>
      <c r="E1212" s="1">
        <f>IFERROR(__xludf.DUMMYFUNCTION("""COMPUTED_VALUE"""),5820.0)</f>
        <v>5820</v>
      </c>
      <c r="F1212" s="1">
        <f>IFERROR(__xludf.DUMMYFUNCTION("""COMPUTED_VALUE"""),48310.0)</f>
        <v>48310</v>
      </c>
    </row>
    <row r="1213">
      <c r="A1213" s="2">
        <f>IFERROR(__xludf.DUMMYFUNCTION("""COMPUTED_VALUE"""),42705.64583333333)</f>
        <v>42705.64583</v>
      </c>
      <c r="B1213" s="1">
        <f>IFERROR(__xludf.DUMMYFUNCTION("""COMPUTED_VALUE"""),5830.0)</f>
        <v>5830</v>
      </c>
      <c r="C1213" s="1">
        <f>IFERROR(__xludf.DUMMYFUNCTION("""COMPUTED_VALUE"""),5870.0)</f>
        <v>5870</v>
      </c>
      <c r="D1213" s="1">
        <f>IFERROR(__xludf.DUMMYFUNCTION("""COMPUTED_VALUE"""),5770.0)</f>
        <v>5770</v>
      </c>
      <c r="E1213" s="1">
        <f>IFERROR(__xludf.DUMMYFUNCTION("""COMPUTED_VALUE"""),5800.0)</f>
        <v>5800</v>
      </c>
      <c r="F1213" s="1">
        <f>IFERROR(__xludf.DUMMYFUNCTION("""COMPUTED_VALUE"""),14422.0)</f>
        <v>14422</v>
      </c>
    </row>
    <row r="1214">
      <c r="A1214" s="2">
        <f>IFERROR(__xludf.DUMMYFUNCTION("""COMPUTED_VALUE"""),42706.64583333333)</f>
        <v>42706.64583</v>
      </c>
      <c r="B1214" s="1">
        <f>IFERROR(__xludf.DUMMYFUNCTION("""COMPUTED_VALUE"""),5830.0)</f>
        <v>5830</v>
      </c>
      <c r="C1214" s="1">
        <f>IFERROR(__xludf.DUMMYFUNCTION("""COMPUTED_VALUE"""),6110.0)</f>
        <v>6110</v>
      </c>
      <c r="D1214" s="1">
        <f>IFERROR(__xludf.DUMMYFUNCTION("""COMPUTED_VALUE"""),5780.0)</f>
        <v>5780</v>
      </c>
      <c r="E1214" s="1">
        <f>IFERROR(__xludf.DUMMYFUNCTION("""COMPUTED_VALUE"""),5920.0)</f>
        <v>5920</v>
      </c>
      <c r="F1214" s="1">
        <f>IFERROR(__xludf.DUMMYFUNCTION("""COMPUTED_VALUE"""),144780.0)</f>
        <v>144780</v>
      </c>
    </row>
    <row r="1215">
      <c r="A1215" s="2">
        <f>IFERROR(__xludf.DUMMYFUNCTION("""COMPUTED_VALUE"""),42709.64583333333)</f>
        <v>42709.64583</v>
      </c>
      <c r="B1215" s="1">
        <f>IFERROR(__xludf.DUMMYFUNCTION("""COMPUTED_VALUE"""),5920.0)</f>
        <v>5920</v>
      </c>
      <c r="C1215" s="1">
        <f>IFERROR(__xludf.DUMMYFUNCTION("""COMPUTED_VALUE"""),5940.0)</f>
        <v>5940</v>
      </c>
      <c r="D1215" s="1">
        <f>IFERROR(__xludf.DUMMYFUNCTION("""COMPUTED_VALUE"""),5720.0)</f>
        <v>5720</v>
      </c>
      <c r="E1215" s="1">
        <f>IFERROR(__xludf.DUMMYFUNCTION("""COMPUTED_VALUE"""),5810.0)</f>
        <v>5810</v>
      </c>
      <c r="F1215" s="1">
        <f>IFERROR(__xludf.DUMMYFUNCTION("""COMPUTED_VALUE"""),28088.0)</f>
        <v>28088</v>
      </c>
    </row>
    <row r="1216">
      <c r="A1216" s="2">
        <f>IFERROR(__xludf.DUMMYFUNCTION("""COMPUTED_VALUE"""),42710.64583333333)</f>
        <v>42710.64583</v>
      </c>
      <c r="B1216" s="1">
        <f>IFERROR(__xludf.DUMMYFUNCTION("""COMPUTED_VALUE"""),5760.0)</f>
        <v>5760</v>
      </c>
      <c r="C1216" s="1">
        <f>IFERROR(__xludf.DUMMYFUNCTION("""COMPUTED_VALUE"""),5860.0)</f>
        <v>5860</v>
      </c>
      <c r="D1216" s="1">
        <f>IFERROR(__xludf.DUMMYFUNCTION("""COMPUTED_VALUE"""),5720.0)</f>
        <v>5720</v>
      </c>
      <c r="E1216" s="1">
        <f>IFERROR(__xludf.DUMMYFUNCTION("""COMPUTED_VALUE"""),5810.0)</f>
        <v>5810</v>
      </c>
      <c r="F1216" s="1">
        <f>IFERROR(__xludf.DUMMYFUNCTION("""COMPUTED_VALUE"""),16612.0)</f>
        <v>16612</v>
      </c>
    </row>
    <row r="1217">
      <c r="A1217" s="2">
        <f>IFERROR(__xludf.DUMMYFUNCTION("""COMPUTED_VALUE"""),42711.64583333333)</f>
        <v>42711.64583</v>
      </c>
      <c r="B1217" s="1">
        <f>IFERROR(__xludf.DUMMYFUNCTION("""COMPUTED_VALUE"""),5820.0)</f>
        <v>5820</v>
      </c>
      <c r="C1217" s="1">
        <f>IFERROR(__xludf.DUMMYFUNCTION("""COMPUTED_VALUE"""),5940.0)</f>
        <v>5940</v>
      </c>
      <c r="D1217" s="1">
        <f>IFERROR(__xludf.DUMMYFUNCTION("""COMPUTED_VALUE"""),5760.0)</f>
        <v>5760</v>
      </c>
      <c r="E1217" s="1">
        <f>IFERROR(__xludf.DUMMYFUNCTION("""COMPUTED_VALUE"""),5920.0)</f>
        <v>5920</v>
      </c>
      <c r="F1217" s="1">
        <f>IFERROR(__xludf.DUMMYFUNCTION("""COMPUTED_VALUE"""),30938.0)</f>
        <v>30938</v>
      </c>
    </row>
    <row r="1218">
      <c r="A1218" s="2">
        <f>IFERROR(__xludf.DUMMYFUNCTION("""COMPUTED_VALUE"""),42712.64583333333)</f>
        <v>42712.64583</v>
      </c>
      <c r="B1218" s="1">
        <f>IFERROR(__xludf.DUMMYFUNCTION("""COMPUTED_VALUE"""),5950.0)</f>
        <v>5950</v>
      </c>
      <c r="C1218" s="1">
        <f>IFERROR(__xludf.DUMMYFUNCTION("""COMPUTED_VALUE"""),6030.0)</f>
        <v>6030</v>
      </c>
      <c r="D1218" s="1">
        <f>IFERROR(__xludf.DUMMYFUNCTION("""COMPUTED_VALUE"""),5880.0)</f>
        <v>5880</v>
      </c>
      <c r="E1218" s="1">
        <f>IFERROR(__xludf.DUMMYFUNCTION("""COMPUTED_VALUE"""),5930.0)</f>
        <v>5930</v>
      </c>
      <c r="F1218" s="1">
        <f>IFERROR(__xludf.DUMMYFUNCTION("""COMPUTED_VALUE"""),27128.0)</f>
        <v>27128</v>
      </c>
    </row>
    <row r="1219">
      <c r="A1219" s="2">
        <f>IFERROR(__xludf.DUMMYFUNCTION("""COMPUTED_VALUE"""),42713.64583333333)</f>
        <v>42713.64583</v>
      </c>
      <c r="B1219" s="1">
        <f>IFERROR(__xludf.DUMMYFUNCTION("""COMPUTED_VALUE"""),5980.0)</f>
        <v>5980</v>
      </c>
      <c r="C1219" s="1">
        <f>IFERROR(__xludf.DUMMYFUNCTION("""COMPUTED_VALUE"""),6110.0)</f>
        <v>6110</v>
      </c>
      <c r="D1219" s="1">
        <f>IFERROR(__xludf.DUMMYFUNCTION("""COMPUTED_VALUE"""),5900.0)</f>
        <v>5900</v>
      </c>
      <c r="E1219" s="1">
        <f>IFERROR(__xludf.DUMMYFUNCTION("""COMPUTED_VALUE"""),5920.0)</f>
        <v>5920</v>
      </c>
      <c r="F1219" s="1">
        <f>IFERROR(__xludf.DUMMYFUNCTION("""COMPUTED_VALUE"""),45823.0)</f>
        <v>45823</v>
      </c>
    </row>
    <row r="1220">
      <c r="A1220" s="2">
        <f>IFERROR(__xludf.DUMMYFUNCTION("""COMPUTED_VALUE"""),42716.64583333333)</f>
        <v>42716.64583</v>
      </c>
      <c r="B1220" s="1">
        <f>IFERROR(__xludf.DUMMYFUNCTION("""COMPUTED_VALUE"""),6000.0)</f>
        <v>6000</v>
      </c>
      <c r="C1220" s="1">
        <f>IFERROR(__xludf.DUMMYFUNCTION("""COMPUTED_VALUE"""),6040.0)</f>
        <v>6040</v>
      </c>
      <c r="D1220" s="1">
        <f>IFERROR(__xludf.DUMMYFUNCTION("""COMPUTED_VALUE"""),5900.0)</f>
        <v>5900</v>
      </c>
      <c r="E1220" s="1">
        <f>IFERROR(__xludf.DUMMYFUNCTION("""COMPUTED_VALUE"""),6030.0)</f>
        <v>6030</v>
      </c>
      <c r="F1220" s="1">
        <f>IFERROR(__xludf.DUMMYFUNCTION("""COMPUTED_VALUE"""),40903.0)</f>
        <v>40903</v>
      </c>
    </row>
    <row r="1221">
      <c r="A1221" s="2">
        <f>IFERROR(__xludf.DUMMYFUNCTION("""COMPUTED_VALUE"""),42717.64583333333)</f>
        <v>42717.64583</v>
      </c>
      <c r="B1221" s="1">
        <f>IFERROR(__xludf.DUMMYFUNCTION("""COMPUTED_VALUE"""),6100.0)</f>
        <v>6100</v>
      </c>
      <c r="C1221" s="1">
        <f>IFERROR(__xludf.DUMMYFUNCTION("""COMPUTED_VALUE"""),6100.0)</f>
        <v>6100</v>
      </c>
      <c r="D1221" s="1">
        <f>IFERROR(__xludf.DUMMYFUNCTION("""COMPUTED_VALUE"""),5910.0)</f>
        <v>5910</v>
      </c>
      <c r="E1221" s="1">
        <f>IFERROR(__xludf.DUMMYFUNCTION("""COMPUTED_VALUE"""),5990.0)</f>
        <v>5990</v>
      </c>
      <c r="F1221" s="1">
        <f>IFERROR(__xludf.DUMMYFUNCTION("""COMPUTED_VALUE"""),21033.0)</f>
        <v>21033</v>
      </c>
    </row>
    <row r="1222">
      <c r="A1222" s="2">
        <f>IFERROR(__xludf.DUMMYFUNCTION("""COMPUTED_VALUE"""),42718.64583333333)</f>
        <v>42718.64583</v>
      </c>
      <c r="B1222" s="1">
        <f>IFERROR(__xludf.DUMMYFUNCTION("""COMPUTED_VALUE"""),6030.0)</f>
        <v>6030</v>
      </c>
      <c r="C1222" s="1">
        <f>IFERROR(__xludf.DUMMYFUNCTION("""COMPUTED_VALUE"""),6030.0)</f>
        <v>6030</v>
      </c>
      <c r="D1222" s="1">
        <f>IFERROR(__xludf.DUMMYFUNCTION("""COMPUTED_VALUE"""),5920.0)</f>
        <v>5920</v>
      </c>
      <c r="E1222" s="1">
        <f>IFERROR(__xludf.DUMMYFUNCTION("""COMPUTED_VALUE"""),5970.0)</f>
        <v>5970</v>
      </c>
      <c r="F1222" s="1">
        <f>IFERROR(__xludf.DUMMYFUNCTION("""COMPUTED_VALUE"""),24212.0)</f>
        <v>24212</v>
      </c>
    </row>
    <row r="1223">
      <c r="A1223" s="2">
        <f>IFERROR(__xludf.DUMMYFUNCTION("""COMPUTED_VALUE"""),42719.64583333333)</f>
        <v>42719.64583</v>
      </c>
      <c r="B1223" s="1">
        <f>IFERROR(__xludf.DUMMYFUNCTION("""COMPUTED_VALUE"""),5890.0)</f>
        <v>5890</v>
      </c>
      <c r="C1223" s="1">
        <f>IFERROR(__xludf.DUMMYFUNCTION("""COMPUTED_VALUE"""),6010.0)</f>
        <v>6010</v>
      </c>
      <c r="D1223" s="1">
        <f>IFERROR(__xludf.DUMMYFUNCTION("""COMPUTED_VALUE"""),5820.0)</f>
        <v>5820</v>
      </c>
      <c r="E1223" s="1">
        <f>IFERROR(__xludf.DUMMYFUNCTION("""COMPUTED_VALUE"""),5890.0)</f>
        <v>5890</v>
      </c>
      <c r="F1223" s="1">
        <f>IFERROR(__xludf.DUMMYFUNCTION("""COMPUTED_VALUE"""),32328.0)</f>
        <v>32328</v>
      </c>
    </row>
    <row r="1224">
      <c r="A1224" s="2">
        <f>IFERROR(__xludf.DUMMYFUNCTION("""COMPUTED_VALUE"""),42720.64583333333)</f>
        <v>42720.64583</v>
      </c>
      <c r="B1224" s="1">
        <f>IFERROR(__xludf.DUMMYFUNCTION("""COMPUTED_VALUE"""),5860.0)</f>
        <v>5860</v>
      </c>
      <c r="C1224" s="1">
        <f>IFERROR(__xludf.DUMMYFUNCTION("""COMPUTED_VALUE"""),6030.0)</f>
        <v>6030</v>
      </c>
      <c r="D1224" s="1">
        <f>IFERROR(__xludf.DUMMYFUNCTION("""COMPUTED_VALUE"""),5860.0)</f>
        <v>5860</v>
      </c>
      <c r="E1224" s="1">
        <f>IFERROR(__xludf.DUMMYFUNCTION("""COMPUTED_VALUE"""),6000.0)</f>
        <v>6000</v>
      </c>
      <c r="F1224" s="1">
        <f>IFERROR(__xludf.DUMMYFUNCTION("""COMPUTED_VALUE"""),23908.0)</f>
        <v>23908</v>
      </c>
    </row>
    <row r="1225">
      <c r="A1225" s="2">
        <f>IFERROR(__xludf.DUMMYFUNCTION("""COMPUTED_VALUE"""),42723.64583333333)</f>
        <v>42723.64583</v>
      </c>
      <c r="B1225" s="1">
        <f>IFERROR(__xludf.DUMMYFUNCTION("""COMPUTED_VALUE"""),6010.0)</f>
        <v>6010</v>
      </c>
      <c r="C1225" s="1">
        <f>IFERROR(__xludf.DUMMYFUNCTION("""COMPUTED_VALUE"""),6140.0)</f>
        <v>6140</v>
      </c>
      <c r="D1225" s="1">
        <f>IFERROR(__xludf.DUMMYFUNCTION("""COMPUTED_VALUE"""),5950.0)</f>
        <v>5950</v>
      </c>
      <c r="E1225" s="1">
        <f>IFERROR(__xludf.DUMMYFUNCTION("""COMPUTED_VALUE"""),6080.0)</f>
        <v>6080</v>
      </c>
      <c r="F1225" s="1">
        <f>IFERROR(__xludf.DUMMYFUNCTION("""COMPUTED_VALUE"""),50555.0)</f>
        <v>50555</v>
      </c>
    </row>
    <row r="1226">
      <c r="A1226" s="2">
        <f>IFERROR(__xludf.DUMMYFUNCTION("""COMPUTED_VALUE"""),42724.64583333333)</f>
        <v>42724.64583</v>
      </c>
      <c r="B1226" s="1">
        <f>IFERROR(__xludf.DUMMYFUNCTION("""COMPUTED_VALUE"""),6070.0)</f>
        <v>6070</v>
      </c>
      <c r="C1226" s="1">
        <f>IFERROR(__xludf.DUMMYFUNCTION("""COMPUTED_VALUE"""),6230.0)</f>
        <v>6230</v>
      </c>
      <c r="D1226" s="1">
        <f>IFERROR(__xludf.DUMMYFUNCTION("""COMPUTED_VALUE"""),6000.0)</f>
        <v>6000</v>
      </c>
      <c r="E1226" s="1">
        <f>IFERROR(__xludf.DUMMYFUNCTION("""COMPUTED_VALUE"""),6080.0)</f>
        <v>6080</v>
      </c>
      <c r="F1226" s="1">
        <f>IFERROR(__xludf.DUMMYFUNCTION("""COMPUTED_VALUE"""),46051.0)</f>
        <v>46051</v>
      </c>
    </row>
    <row r="1227">
      <c r="A1227" s="2">
        <f>IFERROR(__xludf.DUMMYFUNCTION("""COMPUTED_VALUE"""),42725.64583333333)</f>
        <v>42725.64583</v>
      </c>
      <c r="B1227" s="1">
        <f>IFERROR(__xludf.DUMMYFUNCTION("""COMPUTED_VALUE"""),6080.0)</f>
        <v>6080</v>
      </c>
      <c r="C1227" s="1">
        <f>IFERROR(__xludf.DUMMYFUNCTION("""COMPUTED_VALUE"""),6120.0)</f>
        <v>6120</v>
      </c>
      <c r="D1227" s="1">
        <f>IFERROR(__xludf.DUMMYFUNCTION("""COMPUTED_VALUE"""),6020.0)</f>
        <v>6020</v>
      </c>
      <c r="E1227" s="1">
        <f>IFERROR(__xludf.DUMMYFUNCTION("""COMPUTED_VALUE"""),6110.0)</f>
        <v>6110</v>
      </c>
      <c r="F1227" s="1">
        <f>IFERROR(__xludf.DUMMYFUNCTION("""COMPUTED_VALUE"""),34834.0)</f>
        <v>34834</v>
      </c>
    </row>
    <row r="1228">
      <c r="A1228" s="2">
        <f>IFERROR(__xludf.DUMMYFUNCTION("""COMPUTED_VALUE"""),42726.64583333333)</f>
        <v>42726.64583</v>
      </c>
      <c r="B1228" s="1">
        <f>IFERROR(__xludf.DUMMYFUNCTION("""COMPUTED_VALUE"""),6110.0)</f>
        <v>6110</v>
      </c>
      <c r="C1228" s="1">
        <f>IFERROR(__xludf.DUMMYFUNCTION("""COMPUTED_VALUE"""),6220.0)</f>
        <v>6220</v>
      </c>
      <c r="D1228" s="1">
        <f>IFERROR(__xludf.DUMMYFUNCTION("""COMPUTED_VALUE"""),6070.0)</f>
        <v>6070</v>
      </c>
      <c r="E1228" s="1">
        <f>IFERROR(__xludf.DUMMYFUNCTION("""COMPUTED_VALUE"""),6160.0)</f>
        <v>6160</v>
      </c>
      <c r="F1228" s="1">
        <f>IFERROR(__xludf.DUMMYFUNCTION("""COMPUTED_VALUE"""),91869.0)</f>
        <v>91869</v>
      </c>
    </row>
    <row r="1229">
      <c r="A1229" s="2">
        <f>IFERROR(__xludf.DUMMYFUNCTION("""COMPUTED_VALUE"""),42727.64583333333)</f>
        <v>42727.64583</v>
      </c>
      <c r="B1229" s="1">
        <f>IFERROR(__xludf.DUMMYFUNCTION("""COMPUTED_VALUE"""),6150.0)</f>
        <v>6150</v>
      </c>
      <c r="C1229" s="1">
        <f>IFERROR(__xludf.DUMMYFUNCTION("""COMPUTED_VALUE"""),6190.0)</f>
        <v>6190</v>
      </c>
      <c r="D1229" s="1">
        <f>IFERROR(__xludf.DUMMYFUNCTION("""COMPUTED_VALUE"""),5980.0)</f>
        <v>5980</v>
      </c>
      <c r="E1229" s="1">
        <f>IFERROR(__xludf.DUMMYFUNCTION("""COMPUTED_VALUE"""),6060.0)</f>
        <v>6060</v>
      </c>
      <c r="F1229" s="1">
        <f>IFERROR(__xludf.DUMMYFUNCTION("""COMPUTED_VALUE"""),59917.0)</f>
        <v>59917</v>
      </c>
    </row>
    <row r="1230">
      <c r="A1230" s="2">
        <f>IFERROR(__xludf.DUMMYFUNCTION("""COMPUTED_VALUE"""),42730.64583333333)</f>
        <v>42730.64583</v>
      </c>
      <c r="B1230" s="1">
        <f>IFERROR(__xludf.DUMMYFUNCTION("""COMPUTED_VALUE"""),6060.0)</f>
        <v>6060</v>
      </c>
      <c r="C1230" s="1">
        <f>IFERROR(__xludf.DUMMYFUNCTION("""COMPUTED_VALUE"""),6060.0)</f>
        <v>6060</v>
      </c>
      <c r="D1230" s="1">
        <f>IFERROR(__xludf.DUMMYFUNCTION("""COMPUTED_VALUE"""),5960.0)</f>
        <v>5960</v>
      </c>
      <c r="E1230" s="1">
        <f>IFERROR(__xludf.DUMMYFUNCTION("""COMPUTED_VALUE"""),6010.0)</f>
        <v>6010</v>
      </c>
      <c r="F1230" s="1">
        <f>IFERROR(__xludf.DUMMYFUNCTION("""COMPUTED_VALUE"""),68685.0)</f>
        <v>68685</v>
      </c>
    </row>
    <row r="1231">
      <c r="A1231" s="2">
        <f>IFERROR(__xludf.DUMMYFUNCTION("""COMPUTED_VALUE"""),42731.64583333333)</f>
        <v>42731.64583</v>
      </c>
      <c r="B1231" s="1">
        <f>IFERROR(__xludf.DUMMYFUNCTION("""COMPUTED_VALUE"""),5990.0)</f>
        <v>5990</v>
      </c>
      <c r="C1231" s="1">
        <f>IFERROR(__xludf.DUMMYFUNCTION("""COMPUTED_VALUE"""),6090.0)</f>
        <v>6090</v>
      </c>
      <c r="D1231" s="1">
        <f>IFERROR(__xludf.DUMMYFUNCTION("""COMPUTED_VALUE"""),5960.0)</f>
        <v>5960</v>
      </c>
      <c r="E1231" s="1">
        <f>IFERROR(__xludf.DUMMYFUNCTION("""COMPUTED_VALUE"""),6020.0)</f>
        <v>6020</v>
      </c>
      <c r="F1231" s="1">
        <f>IFERROR(__xludf.DUMMYFUNCTION("""COMPUTED_VALUE"""),42408.0)</f>
        <v>42408</v>
      </c>
    </row>
    <row r="1232">
      <c r="A1232" s="2">
        <f>IFERROR(__xludf.DUMMYFUNCTION("""COMPUTED_VALUE"""),42732.64583333333)</f>
        <v>42732.64583</v>
      </c>
      <c r="B1232" s="1">
        <f>IFERROR(__xludf.DUMMYFUNCTION("""COMPUTED_VALUE"""),6020.0)</f>
        <v>6020</v>
      </c>
      <c r="C1232" s="1">
        <f>IFERROR(__xludf.DUMMYFUNCTION("""COMPUTED_VALUE"""),6030.0)</f>
        <v>6030</v>
      </c>
      <c r="D1232" s="1">
        <f>IFERROR(__xludf.DUMMYFUNCTION("""COMPUTED_VALUE"""),5810.0)</f>
        <v>5810</v>
      </c>
      <c r="E1232" s="1">
        <f>IFERROR(__xludf.DUMMYFUNCTION("""COMPUTED_VALUE"""),5850.0)</f>
        <v>5850</v>
      </c>
      <c r="F1232" s="1">
        <f>IFERROR(__xludf.DUMMYFUNCTION("""COMPUTED_VALUE"""),35554.0)</f>
        <v>35554</v>
      </c>
    </row>
    <row r="1233">
      <c r="A1233" s="2">
        <f>IFERROR(__xludf.DUMMYFUNCTION("""COMPUTED_VALUE"""),42733.64583333333)</f>
        <v>42733.64583</v>
      </c>
      <c r="B1233" s="1">
        <f>IFERROR(__xludf.DUMMYFUNCTION("""COMPUTED_VALUE"""),5810.0)</f>
        <v>5810</v>
      </c>
      <c r="C1233" s="1">
        <f>IFERROR(__xludf.DUMMYFUNCTION("""COMPUTED_VALUE"""),5840.0)</f>
        <v>5840</v>
      </c>
      <c r="D1233" s="1">
        <f>IFERROR(__xludf.DUMMYFUNCTION("""COMPUTED_VALUE"""),5740.0)</f>
        <v>5740</v>
      </c>
      <c r="E1233" s="1">
        <f>IFERROR(__xludf.DUMMYFUNCTION("""COMPUTED_VALUE"""),5800.0)</f>
        <v>5800</v>
      </c>
      <c r="F1233" s="1">
        <f>IFERROR(__xludf.DUMMYFUNCTION("""COMPUTED_VALUE"""),26878.0)</f>
        <v>26878</v>
      </c>
    </row>
    <row r="1234">
      <c r="A1234" s="2">
        <f>IFERROR(__xludf.DUMMYFUNCTION("""COMPUTED_VALUE"""),42737.64583333333)</f>
        <v>42737.64583</v>
      </c>
      <c r="B1234" s="1">
        <f>IFERROR(__xludf.DUMMYFUNCTION("""COMPUTED_VALUE"""),5800.0)</f>
        <v>5800</v>
      </c>
      <c r="C1234" s="1">
        <f>IFERROR(__xludf.DUMMYFUNCTION("""COMPUTED_VALUE"""),5880.0)</f>
        <v>5880</v>
      </c>
      <c r="D1234" s="1">
        <f>IFERROR(__xludf.DUMMYFUNCTION("""COMPUTED_VALUE"""),5750.0)</f>
        <v>5750</v>
      </c>
      <c r="E1234" s="1">
        <f>IFERROR(__xludf.DUMMYFUNCTION("""COMPUTED_VALUE"""),5860.0)</f>
        <v>5860</v>
      </c>
      <c r="F1234" s="1">
        <f>IFERROR(__xludf.DUMMYFUNCTION("""COMPUTED_VALUE"""),18612.0)</f>
        <v>18612</v>
      </c>
    </row>
    <row r="1235">
      <c r="A1235" s="2">
        <f>IFERROR(__xludf.DUMMYFUNCTION("""COMPUTED_VALUE"""),42738.64583333333)</f>
        <v>42738.64583</v>
      </c>
      <c r="B1235" s="1">
        <f>IFERROR(__xludf.DUMMYFUNCTION("""COMPUTED_VALUE"""),5860.0)</f>
        <v>5860</v>
      </c>
      <c r="C1235" s="1">
        <f>IFERROR(__xludf.DUMMYFUNCTION("""COMPUTED_VALUE"""),5880.0)</f>
        <v>5880</v>
      </c>
      <c r="D1235" s="1">
        <f>IFERROR(__xludf.DUMMYFUNCTION("""COMPUTED_VALUE"""),5780.0)</f>
        <v>5780</v>
      </c>
      <c r="E1235" s="1">
        <f>IFERROR(__xludf.DUMMYFUNCTION("""COMPUTED_VALUE"""),5780.0)</f>
        <v>5780</v>
      </c>
      <c r="F1235" s="1">
        <f>IFERROR(__xludf.DUMMYFUNCTION("""COMPUTED_VALUE"""),24934.0)</f>
        <v>24934</v>
      </c>
    </row>
    <row r="1236">
      <c r="A1236" s="2">
        <f>IFERROR(__xludf.DUMMYFUNCTION("""COMPUTED_VALUE"""),42739.64583333333)</f>
        <v>42739.64583</v>
      </c>
      <c r="B1236" s="1">
        <f>IFERROR(__xludf.DUMMYFUNCTION("""COMPUTED_VALUE"""),5840.0)</f>
        <v>5840</v>
      </c>
      <c r="C1236" s="1">
        <f>IFERROR(__xludf.DUMMYFUNCTION("""COMPUTED_VALUE"""),5920.0)</f>
        <v>5920</v>
      </c>
      <c r="D1236" s="1">
        <f>IFERROR(__xludf.DUMMYFUNCTION("""COMPUTED_VALUE"""),5790.0)</f>
        <v>5790</v>
      </c>
      <c r="E1236" s="1">
        <f>IFERROR(__xludf.DUMMYFUNCTION("""COMPUTED_VALUE"""),5850.0)</f>
        <v>5850</v>
      </c>
      <c r="F1236" s="1">
        <f>IFERROR(__xludf.DUMMYFUNCTION("""COMPUTED_VALUE"""),23138.0)</f>
        <v>23138</v>
      </c>
    </row>
    <row r="1237">
      <c r="A1237" s="2">
        <f>IFERROR(__xludf.DUMMYFUNCTION("""COMPUTED_VALUE"""),42740.64583333333)</f>
        <v>42740.64583</v>
      </c>
      <c r="B1237" s="1">
        <f>IFERROR(__xludf.DUMMYFUNCTION("""COMPUTED_VALUE"""),5900.0)</f>
        <v>5900</v>
      </c>
      <c r="C1237" s="1">
        <f>IFERROR(__xludf.DUMMYFUNCTION("""COMPUTED_VALUE"""),6060.0)</f>
        <v>6060</v>
      </c>
      <c r="D1237" s="1">
        <f>IFERROR(__xludf.DUMMYFUNCTION("""COMPUTED_VALUE"""),5850.0)</f>
        <v>5850</v>
      </c>
      <c r="E1237" s="1">
        <f>IFERROR(__xludf.DUMMYFUNCTION("""COMPUTED_VALUE"""),6040.0)</f>
        <v>6040</v>
      </c>
      <c r="F1237" s="1">
        <f>IFERROR(__xludf.DUMMYFUNCTION("""COMPUTED_VALUE"""),64147.0)</f>
        <v>64147</v>
      </c>
    </row>
    <row r="1238">
      <c r="A1238" s="2">
        <f>IFERROR(__xludf.DUMMYFUNCTION("""COMPUTED_VALUE"""),42741.64583333333)</f>
        <v>42741.64583</v>
      </c>
      <c r="B1238" s="1">
        <f>IFERROR(__xludf.DUMMYFUNCTION("""COMPUTED_VALUE"""),6040.0)</f>
        <v>6040</v>
      </c>
      <c r="C1238" s="1">
        <f>IFERROR(__xludf.DUMMYFUNCTION("""COMPUTED_VALUE"""),6050.0)</f>
        <v>6050</v>
      </c>
      <c r="D1238" s="1">
        <f>IFERROR(__xludf.DUMMYFUNCTION("""COMPUTED_VALUE"""),5940.0)</f>
        <v>5940</v>
      </c>
      <c r="E1238" s="1">
        <f>IFERROR(__xludf.DUMMYFUNCTION("""COMPUTED_VALUE"""),5990.0)</f>
        <v>5990</v>
      </c>
      <c r="F1238" s="1">
        <f>IFERROR(__xludf.DUMMYFUNCTION("""COMPUTED_VALUE"""),41066.0)</f>
        <v>41066</v>
      </c>
    </row>
    <row r="1239">
      <c r="A1239" s="2">
        <f>IFERROR(__xludf.DUMMYFUNCTION("""COMPUTED_VALUE"""),42744.64583333333)</f>
        <v>42744.64583</v>
      </c>
      <c r="B1239" s="1">
        <f>IFERROR(__xludf.DUMMYFUNCTION("""COMPUTED_VALUE"""),5960.0)</f>
        <v>5960</v>
      </c>
      <c r="C1239" s="1">
        <f>IFERROR(__xludf.DUMMYFUNCTION("""COMPUTED_VALUE"""),6150.0)</f>
        <v>6150</v>
      </c>
      <c r="D1239" s="1">
        <f>IFERROR(__xludf.DUMMYFUNCTION("""COMPUTED_VALUE"""),5960.0)</f>
        <v>5960</v>
      </c>
      <c r="E1239" s="1">
        <f>IFERROR(__xludf.DUMMYFUNCTION("""COMPUTED_VALUE"""),6080.0)</f>
        <v>6080</v>
      </c>
      <c r="F1239" s="1">
        <f>IFERROR(__xludf.DUMMYFUNCTION("""COMPUTED_VALUE"""),94252.0)</f>
        <v>94252</v>
      </c>
    </row>
    <row r="1240">
      <c r="A1240" s="2">
        <f>IFERROR(__xludf.DUMMYFUNCTION("""COMPUTED_VALUE"""),42745.64583333333)</f>
        <v>42745.64583</v>
      </c>
      <c r="B1240" s="1">
        <f>IFERROR(__xludf.DUMMYFUNCTION("""COMPUTED_VALUE"""),6070.0)</f>
        <v>6070</v>
      </c>
      <c r="C1240" s="1">
        <f>IFERROR(__xludf.DUMMYFUNCTION("""COMPUTED_VALUE"""),6380.0)</f>
        <v>6380</v>
      </c>
      <c r="D1240" s="1">
        <f>IFERROR(__xludf.DUMMYFUNCTION("""COMPUTED_VALUE"""),6040.0)</f>
        <v>6040</v>
      </c>
      <c r="E1240" s="1">
        <f>IFERROR(__xludf.DUMMYFUNCTION("""COMPUTED_VALUE"""),6070.0)</f>
        <v>6070</v>
      </c>
      <c r="F1240" s="1">
        <f>IFERROR(__xludf.DUMMYFUNCTION("""COMPUTED_VALUE"""),248262.0)</f>
        <v>248262</v>
      </c>
    </row>
    <row r="1241">
      <c r="A1241" s="2">
        <f>IFERROR(__xludf.DUMMYFUNCTION("""COMPUTED_VALUE"""),42746.64583333333)</f>
        <v>42746.64583</v>
      </c>
      <c r="B1241" s="1">
        <f>IFERROR(__xludf.DUMMYFUNCTION("""COMPUTED_VALUE"""),6100.0)</f>
        <v>6100</v>
      </c>
      <c r="C1241" s="1">
        <f>IFERROR(__xludf.DUMMYFUNCTION("""COMPUTED_VALUE"""),6150.0)</f>
        <v>6150</v>
      </c>
      <c r="D1241" s="1">
        <f>IFERROR(__xludf.DUMMYFUNCTION("""COMPUTED_VALUE"""),5940.0)</f>
        <v>5940</v>
      </c>
      <c r="E1241" s="1">
        <f>IFERROR(__xludf.DUMMYFUNCTION("""COMPUTED_VALUE"""),6000.0)</f>
        <v>6000</v>
      </c>
      <c r="F1241" s="1">
        <f>IFERROR(__xludf.DUMMYFUNCTION("""COMPUTED_VALUE"""),65411.0)</f>
        <v>65411</v>
      </c>
    </row>
    <row r="1242">
      <c r="A1242" s="2">
        <f>IFERROR(__xludf.DUMMYFUNCTION("""COMPUTED_VALUE"""),42747.64583333333)</f>
        <v>42747.64583</v>
      </c>
      <c r="B1242" s="1">
        <f>IFERROR(__xludf.DUMMYFUNCTION("""COMPUTED_VALUE"""),6000.0)</f>
        <v>6000</v>
      </c>
      <c r="C1242" s="1">
        <f>IFERROR(__xludf.DUMMYFUNCTION("""COMPUTED_VALUE"""),6100.0)</f>
        <v>6100</v>
      </c>
      <c r="D1242" s="1">
        <f>IFERROR(__xludf.DUMMYFUNCTION("""COMPUTED_VALUE"""),5960.0)</f>
        <v>5960</v>
      </c>
      <c r="E1242" s="1">
        <f>IFERROR(__xludf.DUMMYFUNCTION("""COMPUTED_VALUE"""),6090.0)</f>
        <v>6090</v>
      </c>
      <c r="F1242" s="1">
        <f>IFERROR(__xludf.DUMMYFUNCTION("""COMPUTED_VALUE"""),23826.0)</f>
        <v>23826</v>
      </c>
    </row>
    <row r="1243">
      <c r="A1243" s="2">
        <f>IFERROR(__xludf.DUMMYFUNCTION("""COMPUTED_VALUE"""),42748.64583333333)</f>
        <v>42748.64583</v>
      </c>
      <c r="B1243" s="1">
        <f>IFERROR(__xludf.DUMMYFUNCTION("""COMPUTED_VALUE"""),6090.0)</f>
        <v>6090</v>
      </c>
      <c r="C1243" s="1">
        <f>IFERROR(__xludf.DUMMYFUNCTION("""COMPUTED_VALUE"""),6090.0)</f>
        <v>6090</v>
      </c>
      <c r="D1243" s="1">
        <f>IFERROR(__xludf.DUMMYFUNCTION("""COMPUTED_VALUE"""),5890.0)</f>
        <v>5890</v>
      </c>
      <c r="E1243" s="1">
        <f>IFERROR(__xludf.DUMMYFUNCTION("""COMPUTED_VALUE"""),5890.0)</f>
        <v>5890</v>
      </c>
      <c r="F1243" s="1">
        <f>IFERROR(__xludf.DUMMYFUNCTION("""COMPUTED_VALUE"""),61785.0)</f>
        <v>61785</v>
      </c>
    </row>
    <row r="1244">
      <c r="A1244" s="2">
        <f>IFERROR(__xludf.DUMMYFUNCTION("""COMPUTED_VALUE"""),42751.64583333333)</f>
        <v>42751.64583</v>
      </c>
      <c r="B1244" s="1">
        <f>IFERROR(__xludf.DUMMYFUNCTION("""COMPUTED_VALUE"""),5890.0)</f>
        <v>5890</v>
      </c>
      <c r="C1244" s="1">
        <f>IFERROR(__xludf.DUMMYFUNCTION("""COMPUTED_VALUE"""),5960.0)</f>
        <v>5960</v>
      </c>
      <c r="D1244" s="1">
        <f>IFERROR(__xludf.DUMMYFUNCTION("""COMPUTED_VALUE"""),5830.0)</f>
        <v>5830</v>
      </c>
      <c r="E1244" s="1">
        <f>IFERROR(__xludf.DUMMYFUNCTION("""COMPUTED_VALUE"""),5860.0)</f>
        <v>5860</v>
      </c>
      <c r="F1244" s="1">
        <f>IFERROR(__xludf.DUMMYFUNCTION("""COMPUTED_VALUE"""),11746.0)</f>
        <v>11746</v>
      </c>
    </row>
    <row r="1245">
      <c r="A1245" s="2">
        <f>IFERROR(__xludf.DUMMYFUNCTION("""COMPUTED_VALUE"""),42752.64583333333)</f>
        <v>42752.64583</v>
      </c>
      <c r="B1245" s="1">
        <f>IFERROR(__xludf.DUMMYFUNCTION("""COMPUTED_VALUE"""),5830.0)</f>
        <v>5830</v>
      </c>
      <c r="C1245" s="1">
        <f>IFERROR(__xludf.DUMMYFUNCTION("""COMPUTED_VALUE"""),5960.0)</f>
        <v>5960</v>
      </c>
      <c r="D1245" s="1">
        <f>IFERROR(__xludf.DUMMYFUNCTION("""COMPUTED_VALUE"""),5810.0)</f>
        <v>5810</v>
      </c>
      <c r="E1245" s="1">
        <f>IFERROR(__xludf.DUMMYFUNCTION("""COMPUTED_VALUE"""),5810.0)</f>
        <v>5810</v>
      </c>
      <c r="F1245" s="1">
        <f>IFERROR(__xludf.DUMMYFUNCTION("""COMPUTED_VALUE"""),16076.0)</f>
        <v>16076</v>
      </c>
    </row>
    <row r="1246">
      <c r="A1246" s="2">
        <f>IFERROR(__xludf.DUMMYFUNCTION("""COMPUTED_VALUE"""),42753.64583333333)</f>
        <v>42753.64583</v>
      </c>
      <c r="B1246" s="1">
        <f>IFERROR(__xludf.DUMMYFUNCTION("""COMPUTED_VALUE"""),5810.0)</f>
        <v>5810</v>
      </c>
      <c r="C1246" s="1">
        <f>IFERROR(__xludf.DUMMYFUNCTION("""COMPUTED_VALUE"""),5880.0)</f>
        <v>5880</v>
      </c>
      <c r="D1246" s="1">
        <f>IFERROR(__xludf.DUMMYFUNCTION("""COMPUTED_VALUE"""),5730.0)</f>
        <v>5730</v>
      </c>
      <c r="E1246" s="1">
        <f>IFERROR(__xludf.DUMMYFUNCTION("""COMPUTED_VALUE"""),5780.0)</f>
        <v>5780</v>
      </c>
      <c r="F1246" s="1">
        <f>IFERROR(__xludf.DUMMYFUNCTION("""COMPUTED_VALUE"""),34284.0)</f>
        <v>34284</v>
      </c>
    </row>
    <row r="1247">
      <c r="A1247" s="2">
        <f>IFERROR(__xludf.DUMMYFUNCTION("""COMPUTED_VALUE"""),42754.64583333333)</f>
        <v>42754.64583</v>
      </c>
      <c r="B1247" s="1">
        <f>IFERROR(__xludf.DUMMYFUNCTION("""COMPUTED_VALUE"""),5830.0)</f>
        <v>5830</v>
      </c>
      <c r="C1247" s="1">
        <f>IFERROR(__xludf.DUMMYFUNCTION("""COMPUTED_VALUE"""),5860.0)</f>
        <v>5860</v>
      </c>
      <c r="D1247" s="1">
        <f>IFERROR(__xludf.DUMMYFUNCTION("""COMPUTED_VALUE"""),5740.0)</f>
        <v>5740</v>
      </c>
      <c r="E1247" s="1">
        <f>IFERROR(__xludf.DUMMYFUNCTION("""COMPUTED_VALUE"""),5840.0)</f>
        <v>5840</v>
      </c>
      <c r="F1247" s="1">
        <f>IFERROR(__xludf.DUMMYFUNCTION("""COMPUTED_VALUE"""),19459.0)</f>
        <v>19459</v>
      </c>
    </row>
    <row r="1248">
      <c r="A1248" s="2">
        <f>IFERROR(__xludf.DUMMYFUNCTION("""COMPUTED_VALUE"""),42755.64583333333)</f>
        <v>42755.64583</v>
      </c>
      <c r="B1248" s="1">
        <f>IFERROR(__xludf.DUMMYFUNCTION("""COMPUTED_VALUE"""),5860.0)</f>
        <v>5860</v>
      </c>
      <c r="C1248" s="1">
        <f>IFERROR(__xludf.DUMMYFUNCTION("""COMPUTED_VALUE"""),5860.0)</f>
        <v>5860</v>
      </c>
      <c r="D1248" s="1">
        <f>IFERROR(__xludf.DUMMYFUNCTION("""COMPUTED_VALUE"""),5770.0)</f>
        <v>5770</v>
      </c>
      <c r="E1248" s="1">
        <f>IFERROR(__xludf.DUMMYFUNCTION("""COMPUTED_VALUE"""),5780.0)</f>
        <v>5780</v>
      </c>
      <c r="F1248" s="1">
        <f>IFERROR(__xludf.DUMMYFUNCTION("""COMPUTED_VALUE"""),23211.0)</f>
        <v>23211</v>
      </c>
    </row>
    <row r="1249">
      <c r="A1249" s="2">
        <f>IFERROR(__xludf.DUMMYFUNCTION("""COMPUTED_VALUE"""),42758.64583333333)</f>
        <v>42758.64583</v>
      </c>
      <c r="B1249" s="1">
        <f>IFERROR(__xludf.DUMMYFUNCTION("""COMPUTED_VALUE"""),5780.0)</f>
        <v>5780</v>
      </c>
      <c r="C1249" s="1">
        <f>IFERROR(__xludf.DUMMYFUNCTION("""COMPUTED_VALUE"""),5800.0)</f>
        <v>5800</v>
      </c>
      <c r="D1249" s="1">
        <f>IFERROR(__xludf.DUMMYFUNCTION("""COMPUTED_VALUE"""),5710.0)</f>
        <v>5710</v>
      </c>
      <c r="E1249" s="1">
        <f>IFERROR(__xludf.DUMMYFUNCTION("""COMPUTED_VALUE"""),5760.0)</f>
        <v>5760</v>
      </c>
      <c r="F1249" s="1">
        <f>IFERROR(__xludf.DUMMYFUNCTION("""COMPUTED_VALUE"""),24374.0)</f>
        <v>24374</v>
      </c>
    </row>
    <row r="1250">
      <c r="A1250" s="2">
        <f>IFERROR(__xludf.DUMMYFUNCTION("""COMPUTED_VALUE"""),42759.64583333333)</f>
        <v>42759.64583</v>
      </c>
      <c r="B1250" s="1">
        <f>IFERROR(__xludf.DUMMYFUNCTION("""COMPUTED_VALUE"""),5720.0)</f>
        <v>5720</v>
      </c>
      <c r="C1250" s="1">
        <f>IFERROR(__xludf.DUMMYFUNCTION("""COMPUTED_VALUE"""),5840.0)</f>
        <v>5840</v>
      </c>
      <c r="D1250" s="1">
        <f>IFERROR(__xludf.DUMMYFUNCTION("""COMPUTED_VALUE"""),5710.0)</f>
        <v>5710</v>
      </c>
      <c r="E1250" s="1">
        <f>IFERROR(__xludf.DUMMYFUNCTION("""COMPUTED_VALUE"""),5800.0)</f>
        <v>5800</v>
      </c>
      <c r="F1250" s="1">
        <f>IFERROR(__xludf.DUMMYFUNCTION("""COMPUTED_VALUE"""),16353.0)</f>
        <v>16353</v>
      </c>
    </row>
    <row r="1251">
      <c r="A1251" s="2">
        <f>IFERROR(__xludf.DUMMYFUNCTION("""COMPUTED_VALUE"""),42760.64583333333)</f>
        <v>42760.64583</v>
      </c>
      <c r="B1251" s="1">
        <f>IFERROR(__xludf.DUMMYFUNCTION("""COMPUTED_VALUE"""),5830.0)</f>
        <v>5830</v>
      </c>
      <c r="C1251" s="1">
        <f>IFERROR(__xludf.DUMMYFUNCTION("""COMPUTED_VALUE"""),5840.0)</f>
        <v>5840</v>
      </c>
      <c r="D1251" s="1">
        <f>IFERROR(__xludf.DUMMYFUNCTION("""COMPUTED_VALUE"""),5710.0)</f>
        <v>5710</v>
      </c>
      <c r="E1251" s="1">
        <f>IFERROR(__xludf.DUMMYFUNCTION("""COMPUTED_VALUE"""),5810.0)</f>
        <v>5810</v>
      </c>
      <c r="F1251" s="1">
        <f>IFERROR(__xludf.DUMMYFUNCTION("""COMPUTED_VALUE"""),16641.0)</f>
        <v>16641</v>
      </c>
    </row>
    <row r="1252">
      <c r="A1252" s="2">
        <f>IFERROR(__xludf.DUMMYFUNCTION("""COMPUTED_VALUE"""),42761.64583333333)</f>
        <v>42761.64583</v>
      </c>
      <c r="B1252" s="1">
        <f>IFERROR(__xludf.DUMMYFUNCTION("""COMPUTED_VALUE"""),5820.0)</f>
        <v>5820</v>
      </c>
      <c r="C1252" s="1">
        <f>IFERROR(__xludf.DUMMYFUNCTION("""COMPUTED_VALUE"""),5880.0)</f>
        <v>5880</v>
      </c>
      <c r="D1252" s="1">
        <f>IFERROR(__xludf.DUMMYFUNCTION("""COMPUTED_VALUE"""),5700.0)</f>
        <v>5700</v>
      </c>
      <c r="E1252" s="1">
        <f>IFERROR(__xludf.DUMMYFUNCTION("""COMPUTED_VALUE"""),5880.0)</f>
        <v>5880</v>
      </c>
      <c r="F1252" s="1">
        <f>IFERROR(__xludf.DUMMYFUNCTION("""COMPUTED_VALUE"""),10736.0)</f>
        <v>10736</v>
      </c>
    </row>
    <row r="1253">
      <c r="A1253" s="2">
        <f>IFERROR(__xludf.DUMMYFUNCTION("""COMPUTED_VALUE"""),42766.64583333333)</f>
        <v>42766.64583</v>
      </c>
      <c r="B1253" s="1">
        <f>IFERROR(__xludf.DUMMYFUNCTION("""COMPUTED_VALUE"""),5770.0)</f>
        <v>5770</v>
      </c>
      <c r="C1253" s="1">
        <f>IFERROR(__xludf.DUMMYFUNCTION("""COMPUTED_VALUE"""),5830.0)</f>
        <v>5830</v>
      </c>
      <c r="D1253" s="1">
        <f>IFERROR(__xludf.DUMMYFUNCTION("""COMPUTED_VALUE"""),5740.0)</f>
        <v>5740</v>
      </c>
      <c r="E1253" s="1">
        <f>IFERROR(__xludf.DUMMYFUNCTION("""COMPUTED_VALUE"""),5790.0)</f>
        <v>5790</v>
      </c>
      <c r="F1253" s="1">
        <f>IFERROR(__xludf.DUMMYFUNCTION("""COMPUTED_VALUE"""),22522.0)</f>
        <v>22522</v>
      </c>
    </row>
    <row r="1254">
      <c r="A1254" s="2">
        <f>IFERROR(__xludf.DUMMYFUNCTION("""COMPUTED_VALUE"""),42767.64583333333)</f>
        <v>42767.64583</v>
      </c>
      <c r="B1254" s="1">
        <f>IFERROR(__xludf.DUMMYFUNCTION("""COMPUTED_VALUE"""),5770.0)</f>
        <v>5770</v>
      </c>
      <c r="C1254" s="1">
        <f>IFERROR(__xludf.DUMMYFUNCTION("""COMPUTED_VALUE"""),5890.0)</f>
        <v>5890</v>
      </c>
      <c r="D1254" s="1">
        <f>IFERROR(__xludf.DUMMYFUNCTION("""COMPUTED_VALUE"""),5750.0)</f>
        <v>5750</v>
      </c>
      <c r="E1254" s="1">
        <f>IFERROR(__xludf.DUMMYFUNCTION("""COMPUTED_VALUE"""),5880.0)</f>
        <v>5880</v>
      </c>
      <c r="F1254" s="1">
        <f>IFERROR(__xludf.DUMMYFUNCTION("""COMPUTED_VALUE"""),21528.0)</f>
        <v>21528</v>
      </c>
    </row>
    <row r="1255">
      <c r="A1255" s="2">
        <f>IFERROR(__xludf.DUMMYFUNCTION("""COMPUTED_VALUE"""),42768.64583333333)</f>
        <v>42768.64583</v>
      </c>
      <c r="B1255" s="1">
        <f>IFERROR(__xludf.DUMMYFUNCTION("""COMPUTED_VALUE"""),5760.0)</f>
        <v>5760</v>
      </c>
      <c r="C1255" s="1">
        <f>IFERROR(__xludf.DUMMYFUNCTION("""COMPUTED_VALUE"""),5890.0)</f>
        <v>5890</v>
      </c>
      <c r="D1255" s="1">
        <f>IFERROR(__xludf.DUMMYFUNCTION("""COMPUTED_VALUE"""),5740.0)</f>
        <v>5740</v>
      </c>
      <c r="E1255" s="1">
        <f>IFERROR(__xludf.DUMMYFUNCTION("""COMPUTED_VALUE"""),5770.0)</f>
        <v>5770</v>
      </c>
      <c r="F1255" s="1">
        <f>IFERROR(__xludf.DUMMYFUNCTION("""COMPUTED_VALUE"""),34418.0)</f>
        <v>34418</v>
      </c>
    </row>
    <row r="1256">
      <c r="A1256" s="2">
        <f>IFERROR(__xludf.DUMMYFUNCTION("""COMPUTED_VALUE"""),42769.64583333333)</f>
        <v>42769.64583</v>
      </c>
      <c r="B1256" s="1">
        <f>IFERROR(__xludf.DUMMYFUNCTION("""COMPUTED_VALUE"""),5790.0)</f>
        <v>5790</v>
      </c>
      <c r="C1256" s="1">
        <f>IFERROR(__xludf.DUMMYFUNCTION("""COMPUTED_VALUE"""),5830.0)</f>
        <v>5830</v>
      </c>
      <c r="D1256" s="1">
        <f>IFERROR(__xludf.DUMMYFUNCTION("""COMPUTED_VALUE"""),5710.0)</f>
        <v>5710</v>
      </c>
      <c r="E1256" s="1">
        <f>IFERROR(__xludf.DUMMYFUNCTION("""COMPUTED_VALUE"""),5770.0)</f>
        <v>5770</v>
      </c>
      <c r="F1256" s="1">
        <f>IFERROR(__xludf.DUMMYFUNCTION("""COMPUTED_VALUE"""),20028.0)</f>
        <v>20028</v>
      </c>
    </row>
    <row r="1257">
      <c r="A1257" s="2">
        <f>IFERROR(__xludf.DUMMYFUNCTION("""COMPUTED_VALUE"""),42772.64583333333)</f>
        <v>42772.64583</v>
      </c>
      <c r="B1257" s="1">
        <f>IFERROR(__xludf.DUMMYFUNCTION("""COMPUTED_VALUE"""),5760.0)</f>
        <v>5760</v>
      </c>
      <c r="C1257" s="1">
        <f>IFERROR(__xludf.DUMMYFUNCTION("""COMPUTED_VALUE"""),5800.0)</f>
        <v>5800</v>
      </c>
      <c r="D1257" s="1">
        <f>IFERROR(__xludf.DUMMYFUNCTION("""COMPUTED_VALUE"""),5740.0)</f>
        <v>5740</v>
      </c>
      <c r="E1257" s="1">
        <f>IFERROR(__xludf.DUMMYFUNCTION("""COMPUTED_VALUE"""),5770.0)</f>
        <v>5770</v>
      </c>
      <c r="F1257" s="1">
        <f>IFERROR(__xludf.DUMMYFUNCTION("""COMPUTED_VALUE"""),16055.0)</f>
        <v>16055</v>
      </c>
    </row>
    <row r="1258">
      <c r="A1258" s="2">
        <f>IFERROR(__xludf.DUMMYFUNCTION("""COMPUTED_VALUE"""),42773.64583333333)</f>
        <v>42773.64583</v>
      </c>
      <c r="B1258" s="1">
        <f>IFERROR(__xludf.DUMMYFUNCTION("""COMPUTED_VALUE"""),5770.0)</f>
        <v>5770</v>
      </c>
      <c r="C1258" s="1">
        <f>IFERROR(__xludf.DUMMYFUNCTION("""COMPUTED_VALUE"""),5770.0)</f>
        <v>5770</v>
      </c>
      <c r="D1258" s="1">
        <f>IFERROR(__xludf.DUMMYFUNCTION("""COMPUTED_VALUE"""),5470.0)</f>
        <v>5470</v>
      </c>
      <c r="E1258" s="1">
        <f>IFERROR(__xludf.DUMMYFUNCTION("""COMPUTED_VALUE"""),5710.0)</f>
        <v>5710</v>
      </c>
      <c r="F1258" s="1">
        <f>IFERROR(__xludf.DUMMYFUNCTION("""COMPUTED_VALUE"""),51323.0)</f>
        <v>51323</v>
      </c>
    </row>
    <row r="1259">
      <c r="A1259" s="2">
        <f>IFERROR(__xludf.DUMMYFUNCTION("""COMPUTED_VALUE"""),42774.64583333333)</f>
        <v>42774.64583</v>
      </c>
      <c r="B1259" s="1">
        <f>IFERROR(__xludf.DUMMYFUNCTION("""COMPUTED_VALUE"""),5720.0)</f>
        <v>5720</v>
      </c>
      <c r="C1259" s="1">
        <f>IFERROR(__xludf.DUMMYFUNCTION("""COMPUTED_VALUE"""),5720.0)</f>
        <v>5720</v>
      </c>
      <c r="D1259" s="1">
        <f>IFERROR(__xludf.DUMMYFUNCTION("""COMPUTED_VALUE"""),5540.0)</f>
        <v>5540</v>
      </c>
      <c r="E1259" s="1">
        <f>IFERROR(__xludf.DUMMYFUNCTION("""COMPUTED_VALUE"""),5610.0)</f>
        <v>5610</v>
      </c>
      <c r="F1259" s="1">
        <f>IFERROR(__xludf.DUMMYFUNCTION("""COMPUTED_VALUE"""),36265.0)</f>
        <v>36265</v>
      </c>
    </row>
    <row r="1260">
      <c r="A1260" s="2">
        <f>IFERROR(__xludf.DUMMYFUNCTION("""COMPUTED_VALUE"""),42775.64583333333)</f>
        <v>42775.64583</v>
      </c>
      <c r="B1260" s="1">
        <f>IFERROR(__xludf.DUMMYFUNCTION("""COMPUTED_VALUE"""),5610.0)</f>
        <v>5610</v>
      </c>
      <c r="C1260" s="1">
        <f>IFERROR(__xludf.DUMMYFUNCTION("""COMPUTED_VALUE"""),5650.0)</f>
        <v>5650</v>
      </c>
      <c r="D1260" s="1">
        <f>IFERROR(__xludf.DUMMYFUNCTION("""COMPUTED_VALUE"""),5550.0)</f>
        <v>5550</v>
      </c>
      <c r="E1260" s="1">
        <f>IFERROR(__xludf.DUMMYFUNCTION("""COMPUTED_VALUE"""),5600.0)</f>
        <v>5600</v>
      </c>
      <c r="F1260" s="1">
        <f>IFERROR(__xludf.DUMMYFUNCTION("""COMPUTED_VALUE"""),17528.0)</f>
        <v>17528</v>
      </c>
    </row>
    <row r="1261">
      <c r="A1261" s="2">
        <f>IFERROR(__xludf.DUMMYFUNCTION("""COMPUTED_VALUE"""),42776.64583333333)</f>
        <v>42776.64583</v>
      </c>
      <c r="B1261" s="1">
        <f>IFERROR(__xludf.DUMMYFUNCTION("""COMPUTED_VALUE"""),5620.0)</f>
        <v>5620</v>
      </c>
      <c r="C1261" s="1">
        <f>IFERROR(__xludf.DUMMYFUNCTION("""COMPUTED_VALUE"""),5620.0)</f>
        <v>5620</v>
      </c>
      <c r="D1261" s="1">
        <f>IFERROR(__xludf.DUMMYFUNCTION("""COMPUTED_VALUE"""),5520.0)</f>
        <v>5520</v>
      </c>
      <c r="E1261" s="1">
        <f>IFERROR(__xludf.DUMMYFUNCTION("""COMPUTED_VALUE"""),5590.0)</f>
        <v>5590</v>
      </c>
      <c r="F1261" s="1">
        <f>IFERROR(__xludf.DUMMYFUNCTION("""COMPUTED_VALUE"""),26612.0)</f>
        <v>26612</v>
      </c>
    </row>
    <row r="1262">
      <c r="A1262" s="2">
        <f>IFERROR(__xludf.DUMMYFUNCTION("""COMPUTED_VALUE"""),42779.64583333333)</f>
        <v>42779.64583</v>
      </c>
      <c r="B1262" s="1">
        <f>IFERROR(__xludf.DUMMYFUNCTION("""COMPUTED_VALUE"""),5560.0)</f>
        <v>5560</v>
      </c>
      <c r="C1262" s="1">
        <f>IFERROR(__xludf.DUMMYFUNCTION("""COMPUTED_VALUE"""),5650.0)</f>
        <v>5650</v>
      </c>
      <c r="D1262" s="1">
        <f>IFERROR(__xludf.DUMMYFUNCTION("""COMPUTED_VALUE"""),5510.0)</f>
        <v>5510</v>
      </c>
      <c r="E1262" s="1">
        <f>IFERROR(__xludf.DUMMYFUNCTION("""COMPUTED_VALUE"""),5640.0)</f>
        <v>5640</v>
      </c>
      <c r="F1262" s="1">
        <f>IFERROR(__xludf.DUMMYFUNCTION("""COMPUTED_VALUE"""),22124.0)</f>
        <v>22124</v>
      </c>
    </row>
    <row r="1263">
      <c r="A1263" s="2">
        <f>IFERROR(__xludf.DUMMYFUNCTION("""COMPUTED_VALUE"""),42780.64583333333)</f>
        <v>42780.64583</v>
      </c>
      <c r="B1263" s="1">
        <f>IFERROR(__xludf.DUMMYFUNCTION("""COMPUTED_VALUE"""),5600.0)</f>
        <v>5600</v>
      </c>
      <c r="C1263" s="1">
        <f>IFERROR(__xludf.DUMMYFUNCTION("""COMPUTED_VALUE"""),5640.0)</f>
        <v>5640</v>
      </c>
      <c r="D1263" s="1">
        <f>IFERROR(__xludf.DUMMYFUNCTION("""COMPUTED_VALUE"""),5590.0)</f>
        <v>5590</v>
      </c>
      <c r="E1263" s="1">
        <f>IFERROR(__xludf.DUMMYFUNCTION("""COMPUTED_VALUE"""),5640.0)</f>
        <v>5640</v>
      </c>
      <c r="F1263" s="1">
        <f>IFERROR(__xludf.DUMMYFUNCTION("""COMPUTED_VALUE"""),9251.0)</f>
        <v>9251</v>
      </c>
    </row>
    <row r="1264">
      <c r="A1264" s="2">
        <f>IFERROR(__xludf.DUMMYFUNCTION("""COMPUTED_VALUE"""),42781.64583333333)</f>
        <v>42781.64583</v>
      </c>
      <c r="B1264" s="1">
        <f>IFERROR(__xludf.DUMMYFUNCTION("""COMPUTED_VALUE"""),5600.0)</f>
        <v>5600</v>
      </c>
      <c r="C1264" s="1">
        <f>IFERROR(__xludf.DUMMYFUNCTION("""COMPUTED_VALUE"""),5640.0)</f>
        <v>5640</v>
      </c>
      <c r="D1264" s="1">
        <f>IFERROR(__xludf.DUMMYFUNCTION("""COMPUTED_VALUE"""),5550.0)</f>
        <v>5550</v>
      </c>
      <c r="E1264" s="1">
        <f>IFERROR(__xludf.DUMMYFUNCTION("""COMPUTED_VALUE"""),5640.0)</f>
        <v>5640</v>
      </c>
      <c r="F1264" s="1">
        <f>IFERROR(__xludf.DUMMYFUNCTION("""COMPUTED_VALUE"""),17484.0)</f>
        <v>17484</v>
      </c>
    </row>
    <row r="1265">
      <c r="A1265" s="2">
        <f>IFERROR(__xludf.DUMMYFUNCTION("""COMPUTED_VALUE"""),42782.64583333333)</f>
        <v>42782.64583</v>
      </c>
      <c r="B1265" s="1">
        <f>IFERROR(__xludf.DUMMYFUNCTION("""COMPUTED_VALUE"""),5640.0)</f>
        <v>5640</v>
      </c>
      <c r="C1265" s="1">
        <f>IFERROR(__xludf.DUMMYFUNCTION("""COMPUTED_VALUE"""),5750.0)</f>
        <v>5750</v>
      </c>
      <c r="D1265" s="1">
        <f>IFERROR(__xludf.DUMMYFUNCTION("""COMPUTED_VALUE"""),5610.0)</f>
        <v>5610</v>
      </c>
      <c r="E1265" s="1">
        <f>IFERROR(__xludf.DUMMYFUNCTION("""COMPUTED_VALUE"""),5680.0)</f>
        <v>5680</v>
      </c>
      <c r="F1265" s="1">
        <f>IFERROR(__xludf.DUMMYFUNCTION("""COMPUTED_VALUE"""),10041.0)</f>
        <v>10041</v>
      </c>
    </row>
    <row r="1266">
      <c r="A1266" s="2">
        <f>IFERROR(__xludf.DUMMYFUNCTION("""COMPUTED_VALUE"""),42783.64583333333)</f>
        <v>42783.64583</v>
      </c>
      <c r="B1266" s="1">
        <f>IFERROR(__xludf.DUMMYFUNCTION("""COMPUTED_VALUE"""),5700.0)</f>
        <v>5700</v>
      </c>
      <c r="C1266" s="1">
        <f>IFERROR(__xludf.DUMMYFUNCTION("""COMPUTED_VALUE"""),5710.0)</f>
        <v>5710</v>
      </c>
      <c r="D1266" s="1">
        <f>IFERROR(__xludf.DUMMYFUNCTION("""COMPUTED_VALUE"""),5580.0)</f>
        <v>5580</v>
      </c>
      <c r="E1266" s="1">
        <f>IFERROR(__xludf.DUMMYFUNCTION("""COMPUTED_VALUE"""),5670.0)</f>
        <v>5670</v>
      </c>
      <c r="F1266" s="1">
        <f>IFERROR(__xludf.DUMMYFUNCTION("""COMPUTED_VALUE"""),13779.0)</f>
        <v>13779</v>
      </c>
    </row>
    <row r="1267">
      <c r="A1267" s="2">
        <f>IFERROR(__xludf.DUMMYFUNCTION("""COMPUTED_VALUE"""),42786.64583333333)</f>
        <v>42786.64583</v>
      </c>
      <c r="B1267" s="1">
        <f>IFERROR(__xludf.DUMMYFUNCTION("""COMPUTED_VALUE"""),5610.0)</f>
        <v>5610</v>
      </c>
      <c r="C1267" s="1">
        <f>IFERROR(__xludf.DUMMYFUNCTION("""COMPUTED_VALUE"""),5650.0)</f>
        <v>5650</v>
      </c>
      <c r="D1267" s="1">
        <f>IFERROR(__xludf.DUMMYFUNCTION("""COMPUTED_VALUE"""),5550.0)</f>
        <v>5550</v>
      </c>
      <c r="E1267" s="1">
        <f>IFERROR(__xludf.DUMMYFUNCTION("""COMPUTED_VALUE"""),5600.0)</f>
        <v>5600</v>
      </c>
      <c r="F1267" s="1">
        <f>IFERROR(__xludf.DUMMYFUNCTION("""COMPUTED_VALUE"""),14619.0)</f>
        <v>14619</v>
      </c>
    </row>
    <row r="1268">
      <c r="A1268" s="2">
        <f>IFERROR(__xludf.DUMMYFUNCTION("""COMPUTED_VALUE"""),42787.64583333333)</f>
        <v>42787.64583</v>
      </c>
      <c r="B1268" s="1">
        <f>IFERROR(__xludf.DUMMYFUNCTION("""COMPUTED_VALUE"""),5620.0)</f>
        <v>5620</v>
      </c>
      <c r="C1268" s="1">
        <f>IFERROR(__xludf.DUMMYFUNCTION("""COMPUTED_VALUE"""),5670.0)</f>
        <v>5670</v>
      </c>
      <c r="D1268" s="1">
        <f>IFERROR(__xludf.DUMMYFUNCTION("""COMPUTED_VALUE"""),5550.0)</f>
        <v>5550</v>
      </c>
      <c r="E1268" s="1">
        <f>IFERROR(__xludf.DUMMYFUNCTION("""COMPUTED_VALUE"""),5670.0)</f>
        <v>5670</v>
      </c>
      <c r="F1268" s="1">
        <f>IFERROR(__xludf.DUMMYFUNCTION("""COMPUTED_VALUE"""),26449.0)</f>
        <v>26449</v>
      </c>
    </row>
    <row r="1269">
      <c r="A1269" s="2">
        <f>IFERROR(__xludf.DUMMYFUNCTION("""COMPUTED_VALUE"""),42788.64583333333)</f>
        <v>42788.64583</v>
      </c>
      <c r="B1269" s="1">
        <f>IFERROR(__xludf.DUMMYFUNCTION("""COMPUTED_VALUE"""),5670.0)</f>
        <v>5670</v>
      </c>
      <c r="C1269" s="1">
        <f>IFERROR(__xludf.DUMMYFUNCTION("""COMPUTED_VALUE"""),5670.0)</f>
        <v>5670</v>
      </c>
      <c r="D1269" s="1">
        <f>IFERROR(__xludf.DUMMYFUNCTION("""COMPUTED_VALUE"""),5570.0)</f>
        <v>5570</v>
      </c>
      <c r="E1269" s="1">
        <f>IFERROR(__xludf.DUMMYFUNCTION("""COMPUTED_VALUE"""),5650.0)</f>
        <v>5650</v>
      </c>
      <c r="F1269" s="1">
        <f>IFERROR(__xludf.DUMMYFUNCTION("""COMPUTED_VALUE"""),19626.0)</f>
        <v>19626</v>
      </c>
    </row>
    <row r="1270">
      <c r="A1270" s="2">
        <f>IFERROR(__xludf.DUMMYFUNCTION("""COMPUTED_VALUE"""),42789.64583333333)</f>
        <v>42789.64583</v>
      </c>
      <c r="B1270" s="1">
        <f>IFERROR(__xludf.DUMMYFUNCTION("""COMPUTED_VALUE"""),5650.0)</f>
        <v>5650</v>
      </c>
      <c r="C1270" s="1">
        <f>IFERROR(__xludf.DUMMYFUNCTION("""COMPUTED_VALUE"""),5660.0)</f>
        <v>5660</v>
      </c>
      <c r="D1270" s="1">
        <f>IFERROR(__xludf.DUMMYFUNCTION("""COMPUTED_VALUE"""),5600.0)</f>
        <v>5600</v>
      </c>
      <c r="E1270" s="1">
        <f>IFERROR(__xludf.DUMMYFUNCTION("""COMPUTED_VALUE"""),5650.0)</f>
        <v>5650</v>
      </c>
      <c r="F1270" s="1">
        <f>IFERROR(__xludf.DUMMYFUNCTION("""COMPUTED_VALUE"""),11887.0)</f>
        <v>11887</v>
      </c>
    </row>
    <row r="1271">
      <c r="A1271" s="2">
        <f>IFERROR(__xludf.DUMMYFUNCTION("""COMPUTED_VALUE"""),42790.64583333333)</f>
        <v>42790.64583</v>
      </c>
      <c r="B1271" s="1">
        <f>IFERROR(__xludf.DUMMYFUNCTION("""COMPUTED_VALUE"""),5650.0)</f>
        <v>5650</v>
      </c>
      <c r="C1271" s="1">
        <f>IFERROR(__xludf.DUMMYFUNCTION("""COMPUTED_VALUE"""),5830.0)</f>
        <v>5830</v>
      </c>
      <c r="D1271" s="1">
        <f>IFERROR(__xludf.DUMMYFUNCTION("""COMPUTED_VALUE"""),5570.0)</f>
        <v>5570</v>
      </c>
      <c r="E1271" s="1">
        <f>IFERROR(__xludf.DUMMYFUNCTION("""COMPUTED_VALUE"""),5810.0)</f>
        <v>5810</v>
      </c>
      <c r="F1271" s="1">
        <f>IFERROR(__xludf.DUMMYFUNCTION("""COMPUTED_VALUE"""),107896.0)</f>
        <v>107896</v>
      </c>
    </row>
    <row r="1272">
      <c r="A1272" s="2">
        <f>IFERROR(__xludf.DUMMYFUNCTION("""COMPUTED_VALUE"""),42793.64583333333)</f>
        <v>42793.64583</v>
      </c>
      <c r="B1272" s="1">
        <f>IFERROR(__xludf.DUMMYFUNCTION("""COMPUTED_VALUE"""),5810.0)</f>
        <v>5810</v>
      </c>
      <c r="C1272" s="1">
        <f>IFERROR(__xludf.DUMMYFUNCTION("""COMPUTED_VALUE"""),5810.0)</f>
        <v>5810</v>
      </c>
      <c r="D1272" s="1">
        <f>IFERROR(__xludf.DUMMYFUNCTION("""COMPUTED_VALUE"""),5600.0)</f>
        <v>5600</v>
      </c>
      <c r="E1272" s="1">
        <f>IFERROR(__xludf.DUMMYFUNCTION("""COMPUTED_VALUE"""),5650.0)</f>
        <v>5650</v>
      </c>
      <c r="F1272" s="1">
        <f>IFERROR(__xludf.DUMMYFUNCTION("""COMPUTED_VALUE"""),37095.0)</f>
        <v>37095</v>
      </c>
    </row>
    <row r="1273">
      <c r="A1273" s="2">
        <f>IFERROR(__xludf.DUMMYFUNCTION("""COMPUTED_VALUE"""),42794.64583333333)</f>
        <v>42794.64583</v>
      </c>
      <c r="B1273" s="1">
        <f>IFERROR(__xludf.DUMMYFUNCTION("""COMPUTED_VALUE"""),5650.0)</f>
        <v>5650</v>
      </c>
      <c r="C1273" s="1">
        <f>IFERROR(__xludf.DUMMYFUNCTION("""COMPUTED_VALUE"""),5700.0)</f>
        <v>5700</v>
      </c>
      <c r="D1273" s="1">
        <f>IFERROR(__xludf.DUMMYFUNCTION("""COMPUTED_VALUE"""),5620.0)</f>
        <v>5620</v>
      </c>
      <c r="E1273" s="1">
        <f>IFERROR(__xludf.DUMMYFUNCTION("""COMPUTED_VALUE"""),5630.0)</f>
        <v>5630</v>
      </c>
      <c r="F1273" s="1">
        <f>IFERROR(__xludf.DUMMYFUNCTION("""COMPUTED_VALUE"""),16777.0)</f>
        <v>16777</v>
      </c>
    </row>
    <row r="1274">
      <c r="A1274" s="2">
        <f>IFERROR(__xludf.DUMMYFUNCTION("""COMPUTED_VALUE"""),42796.64583333333)</f>
        <v>42796.64583</v>
      </c>
      <c r="B1274" s="1">
        <f>IFERROR(__xludf.DUMMYFUNCTION("""COMPUTED_VALUE"""),5640.0)</f>
        <v>5640</v>
      </c>
      <c r="C1274" s="1">
        <f>IFERROR(__xludf.DUMMYFUNCTION("""COMPUTED_VALUE"""),5700.0)</f>
        <v>5700</v>
      </c>
      <c r="D1274" s="1">
        <f>IFERROR(__xludf.DUMMYFUNCTION("""COMPUTED_VALUE"""),5630.0)</f>
        <v>5630</v>
      </c>
      <c r="E1274" s="1">
        <f>IFERROR(__xludf.DUMMYFUNCTION("""COMPUTED_VALUE"""),5650.0)</f>
        <v>5650</v>
      </c>
      <c r="F1274" s="1">
        <f>IFERROR(__xludf.DUMMYFUNCTION("""COMPUTED_VALUE"""),17179.0)</f>
        <v>17179</v>
      </c>
    </row>
    <row r="1275">
      <c r="A1275" s="2">
        <f>IFERROR(__xludf.DUMMYFUNCTION("""COMPUTED_VALUE"""),42797.64583333333)</f>
        <v>42797.64583</v>
      </c>
      <c r="B1275" s="1">
        <f>IFERROR(__xludf.DUMMYFUNCTION("""COMPUTED_VALUE"""),5620.0)</f>
        <v>5620</v>
      </c>
      <c r="C1275" s="1">
        <f>IFERROR(__xludf.DUMMYFUNCTION("""COMPUTED_VALUE"""),5730.0)</f>
        <v>5730</v>
      </c>
      <c r="D1275" s="1">
        <f>IFERROR(__xludf.DUMMYFUNCTION("""COMPUTED_VALUE"""),5550.0)</f>
        <v>5550</v>
      </c>
      <c r="E1275" s="1">
        <f>IFERROR(__xludf.DUMMYFUNCTION("""COMPUTED_VALUE"""),5580.0)</f>
        <v>5580</v>
      </c>
      <c r="F1275" s="1">
        <f>IFERROR(__xludf.DUMMYFUNCTION("""COMPUTED_VALUE"""),42474.0)</f>
        <v>42474</v>
      </c>
    </row>
    <row r="1276">
      <c r="A1276" s="2">
        <f>IFERROR(__xludf.DUMMYFUNCTION("""COMPUTED_VALUE"""),42800.64583333333)</f>
        <v>42800.64583</v>
      </c>
      <c r="B1276" s="1">
        <f>IFERROR(__xludf.DUMMYFUNCTION("""COMPUTED_VALUE"""),5570.0)</f>
        <v>5570</v>
      </c>
      <c r="C1276" s="1">
        <f>IFERROR(__xludf.DUMMYFUNCTION("""COMPUTED_VALUE"""),5580.0)</f>
        <v>5580</v>
      </c>
      <c r="D1276" s="1">
        <f>IFERROR(__xludf.DUMMYFUNCTION("""COMPUTED_VALUE"""),5440.0)</f>
        <v>5440</v>
      </c>
      <c r="E1276" s="1">
        <f>IFERROR(__xludf.DUMMYFUNCTION("""COMPUTED_VALUE"""),5450.0)</f>
        <v>5450</v>
      </c>
      <c r="F1276" s="1">
        <f>IFERROR(__xludf.DUMMYFUNCTION("""COMPUTED_VALUE"""),60324.0)</f>
        <v>60324</v>
      </c>
    </row>
    <row r="1277">
      <c r="A1277" s="2">
        <f>IFERROR(__xludf.DUMMYFUNCTION("""COMPUTED_VALUE"""),42801.64583333333)</f>
        <v>42801.64583</v>
      </c>
      <c r="B1277" s="1">
        <f>IFERROR(__xludf.DUMMYFUNCTION("""COMPUTED_VALUE"""),5520.0)</f>
        <v>5520</v>
      </c>
      <c r="C1277" s="1">
        <f>IFERROR(__xludf.DUMMYFUNCTION("""COMPUTED_VALUE"""),5560.0)</f>
        <v>5560</v>
      </c>
      <c r="D1277" s="1">
        <f>IFERROR(__xludf.DUMMYFUNCTION("""COMPUTED_VALUE"""),5490.0)</f>
        <v>5490</v>
      </c>
      <c r="E1277" s="1">
        <f>IFERROR(__xludf.DUMMYFUNCTION("""COMPUTED_VALUE"""),5550.0)</f>
        <v>5550</v>
      </c>
      <c r="F1277" s="1">
        <f>IFERROR(__xludf.DUMMYFUNCTION("""COMPUTED_VALUE"""),20117.0)</f>
        <v>20117</v>
      </c>
    </row>
    <row r="1278">
      <c r="A1278" s="2">
        <f>IFERROR(__xludf.DUMMYFUNCTION("""COMPUTED_VALUE"""),42802.64583333333)</f>
        <v>42802.64583</v>
      </c>
      <c r="B1278" s="1">
        <f>IFERROR(__xludf.DUMMYFUNCTION("""COMPUTED_VALUE"""),5550.0)</f>
        <v>5550</v>
      </c>
      <c r="C1278" s="1">
        <f>IFERROR(__xludf.DUMMYFUNCTION("""COMPUTED_VALUE"""),5570.0)</f>
        <v>5570</v>
      </c>
      <c r="D1278" s="1">
        <f>IFERROR(__xludf.DUMMYFUNCTION("""COMPUTED_VALUE"""),5490.0)</f>
        <v>5490</v>
      </c>
      <c r="E1278" s="1">
        <f>IFERROR(__xludf.DUMMYFUNCTION("""COMPUTED_VALUE"""),5550.0)</f>
        <v>5550</v>
      </c>
      <c r="F1278" s="1">
        <f>IFERROR(__xludf.DUMMYFUNCTION("""COMPUTED_VALUE"""),17135.0)</f>
        <v>17135</v>
      </c>
    </row>
    <row r="1279">
      <c r="A1279" s="2">
        <f>IFERROR(__xludf.DUMMYFUNCTION("""COMPUTED_VALUE"""),42803.64583333333)</f>
        <v>42803.64583</v>
      </c>
      <c r="B1279" s="1">
        <f>IFERROR(__xludf.DUMMYFUNCTION("""COMPUTED_VALUE"""),5520.0)</f>
        <v>5520</v>
      </c>
      <c r="C1279" s="1">
        <f>IFERROR(__xludf.DUMMYFUNCTION("""COMPUTED_VALUE"""),5570.0)</f>
        <v>5570</v>
      </c>
      <c r="D1279" s="1">
        <f>IFERROR(__xludf.DUMMYFUNCTION("""COMPUTED_VALUE"""),5520.0)</f>
        <v>5520</v>
      </c>
      <c r="E1279" s="1">
        <f>IFERROR(__xludf.DUMMYFUNCTION("""COMPUTED_VALUE"""),5570.0)</f>
        <v>5570</v>
      </c>
      <c r="F1279" s="1">
        <f>IFERROR(__xludf.DUMMYFUNCTION("""COMPUTED_VALUE"""),13879.0)</f>
        <v>13879</v>
      </c>
    </row>
    <row r="1280">
      <c r="A1280" s="2">
        <f>IFERROR(__xludf.DUMMYFUNCTION("""COMPUTED_VALUE"""),42804.64583333333)</f>
        <v>42804.64583</v>
      </c>
      <c r="B1280" s="1">
        <f>IFERROR(__xludf.DUMMYFUNCTION("""COMPUTED_VALUE"""),5530.0)</f>
        <v>5530</v>
      </c>
      <c r="C1280" s="1">
        <f>IFERROR(__xludf.DUMMYFUNCTION("""COMPUTED_VALUE"""),5640.0)</f>
        <v>5640</v>
      </c>
      <c r="D1280" s="1">
        <f>IFERROR(__xludf.DUMMYFUNCTION("""COMPUTED_VALUE"""),5500.0)</f>
        <v>5500</v>
      </c>
      <c r="E1280" s="1">
        <f>IFERROR(__xludf.DUMMYFUNCTION("""COMPUTED_VALUE"""),5570.0)</f>
        <v>5570</v>
      </c>
      <c r="F1280" s="1">
        <f>IFERROR(__xludf.DUMMYFUNCTION("""COMPUTED_VALUE"""),26772.0)</f>
        <v>26772</v>
      </c>
    </row>
    <row r="1281">
      <c r="A1281" s="2">
        <f>IFERROR(__xludf.DUMMYFUNCTION("""COMPUTED_VALUE"""),42807.64583333333)</f>
        <v>42807.64583</v>
      </c>
      <c r="B1281" s="1">
        <f>IFERROR(__xludf.DUMMYFUNCTION("""COMPUTED_VALUE"""),5650.0)</f>
        <v>5650</v>
      </c>
      <c r="C1281" s="1">
        <f>IFERROR(__xludf.DUMMYFUNCTION("""COMPUTED_VALUE"""),5650.0)</f>
        <v>5650</v>
      </c>
      <c r="D1281" s="1">
        <f>IFERROR(__xludf.DUMMYFUNCTION("""COMPUTED_VALUE"""),5580.0)</f>
        <v>5580</v>
      </c>
      <c r="E1281" s="1">
        <f>IFERROR(__xludf.DUMMYFUNCTION("""COMPUTED_VALUE"""),5590.0)</f>
        <v>5590</v>
      </c>
      <c r="F1281" s="1">
        <f>IFERROR(__xludf.DUMMYFUNCTION("""COMPUTED_VALUE"""),8379.0)</f>
        <v>8379</v>
      </c>
    </row>
    <row r="1282">
      <c r="A1282" s="2">
        <f>IFERROR(__xludf.DUMMYFUNCTION("""COMPUTED_VALUE"""),42808.64583333333)</f>
        <v>42808.64583</v>
      </c>
      <c r="B1282" s="1">
        <f>IFERROR(__xludf.DUMMYFUNCTION("""COMPUTED_VALUE"""),5590.0)</f>
        <v>5590</v>
      </c>
      <c r="C1282" s="1">
        <f>IFERROR(__xludf.DUMMYFUNCTION("""COMPUTED_VALUE"""),5660.0)</f>
        <v>5660</v>
      </c>
      <c r="D1282" s="1">
        <f>IFERROR(__xludf.DUMMYFUNCTION("""COMPUTED_VALUE"""),5590.0)</f>
        <v>5590</v>
      </c>
      <c r="E1282" s="1">
        <f>IFERROR(__xludf.DUMMYFUNCTION("""COMPUTED_VALUE"""),5640.0)</f>
        <v>5640</v>
      </c>
      <c r="F1282" s="1">
        <f>IFERROR(__xludf.DUMMYFUNCTION("""COMPUTED_VALUE"""),11828.0)</f>
        <v>11828</v>
      </c>
    </row>
    <row r="1283">
      <c r="A1283" s="2">
        <f>IFERROR(__xludf.DUMMYFUNCTION("""COMPUTED_VALUE"""),42809.64583333333)</f>
        <v>42809.64583</v>
      </c>
      <c r="B1283" s="1">
        <f>IFERROR(__xludf.DUMMYFUNCTION("""COMPUTED_VALUE"""),5640.0)</f>
        <v>5640</v>
      </c>
      <c r="C1283" s="1">
        <f>IFERROR(__xludf.DUMMYFUNCTION("""COMPUTED_VALUE"""),5650.0)</f>
        <v>5650</v>
      </c>
      <c r="D1283" s="1">
        <f>IFERROR(__xludf.DUMMYFUNCTION("""COMPUTED_VALUE"""),5560.0)</f>
        <v>5560</v>
      </c>
      <c r="E1283" s="1">
        <f>IFERROR(__xludf.DUMMYFUNCTION("""COMPUTED_VALUE"""),5620.0)</f>
        <v>5620</v>
      </c>
      <c r="F1283" s="1">
        <f>IFERROR(__xludf.DUMMYFUNCTION("""COMPUTED_VALUE"""),11356.0)</f>
        <v>11356</v>
      </c>
    </row>
    <row r="1284">
      <c r="A1284" s="2">
        <f>IFERROR(__xludf.DUMMYFUNCTION("""COMPUTED_VALUE"""),42810.64583333333)</f>
        <v>42810.64583</v>
      </c>
      <c r="B1284" s="1">
        <f>IFERROR(__xludf.DUMMYFUNCTION("""COMPUTED_VALUE"""),5610.0)</f>
        <v>5610</v>
      </c>
      <c r="C1284" s="1">
        <f>IFERROR(__xludf.DUMMYFUNCTION("""COMPUTED_VALUE"""),5640.0)</f>
        <v>5640</v>
      </c>
      <c r="D1284" s="1">
        <f>IFERROR(__xludf.DUMMYFUNCTION("""COMPUTED_VALUE"""),5590.0)</f>
        <v>5590</v>
      </c>
      <c r="E1284" s="1">
        <f>IFERROR(__xludf.DUMMYFUNCTION("""COMPUTED_VALUE"""),5590.0)</f>
        <v>5590</v>
      </c>
      <c r="F1284" s="1">
        <f>IFERROR(__xludf.DUMMYFUNCTION("""COMPUTED_VALUE"""),13895.0)</f>
        <v>13895</v>
      </c>
    </row>
    <row r="1285">
      <c r="A1285" s="2">
        <f>IFERROR(__xludf.DUMMYFUNCTION("""COMPUTED_VALUE"""),42811.64583333333)</f>
        <v>42811.64583</v>
      </c>
      <c r="B1285" s="1">
        <f>IFERROR(__xludf.DUMMYFUNCTION("""COMPUTED_VALUE"""),5640.0)</f>
        <v>5640</v>
      </c>
      <c r="C1285" s="1">
        <f>IFERROR(__xludf.DUMMYFUNCTION("""COMPUTED_VALUE"""),5640.0)</f>
        <v>5640</v>
      </c>
      <c r="D1285" s="1">
        <f>IFERROR(__xludf.DUMMYFUNCTION("""COMPUTED_VALUE"""),5560.0)</f>
        <v>5560</v>
      </c>
      <c r="E1285" s="1">
        <f>IFERROR(__xludf.DUMMYFUNCTION("""COMPUTED_VALUE"""),5590.0)</f>
        <v>5590</v>
      </c>
      <c r="F1285" s="1">
        <f>IFERROR(__xludf.DUMMYFUNCTION("""COMPUTED_VALUE"""),11590.0)</f>
        <v>11590</v>
      </c>
    </row>
    <row r="1286">
      <c r="A1286" s="2">
        <f>IFERROR(__xludf.DUMMYFUNCTION("""COMPUTED_VALUE"""),42814.64583333333)</f>
        <v>42814.64583</v>
      </c>
      <c r="B1286" s="1">
        <f>IFERROR(__xludf.DUMMYFUNCTION("""COMPUTED_VALUE"""),5650.0)</f>
        <v>5650</v>
      </c>
      <c r="C1286" s="1">
        <f>IFERROR(__xludf.DUMMYFUNCTION("""COMPUTED_VALUE"""),5650.0)</f>
        <v>5650</v>
      </c>
      <c r="D1286" s="1">
        <f>IFERROR(__xludf.DUMMYFUNCTION("""COMPUTED_VALUE"""),5580.0)</f>
        <v>5580</v>
      </c>
      <c r="E1286" s="1">
        <f>IFERROR(__xludf.DUMMYFUNCTION("""COMPUTED_VALUE"""),5580.0)</f>
        <v>5580</v>
      </c>
      <c r="F1286" s="1">
        <f>IFERROR(__xludf.DUMMYFUNCTION("""COMPUTED_VALUE"""),11679.0)</f>
        <v>11679</v>
      </c>
    </row>
    <row r="1287">
      <c r="A1287" s="2">
        <f>IFERROR(__xludf.DUMMYFUNCTION("""COMPUTED_VALUE"""),42815.64583333333)</f>
        <v>42815.64583</v>
      </c>
      <c r="B1287" s="1">
        <f>IFERROR(__xludf.DUMMYFUNCTION("""COMPUTED_VALUE"""),5580.0)</f>
        <v>5580</v>
      </c>
      <c r="C1287" s="1">
        <f>IFERROR(__xludf.DUMMYFUNCTION("""COMPUTED_VALUE"""),5690.0)</f>
        <v>5690</v>
      </c>
      <c r="D1287" s="1">
        <f>IFERROR(__xludf.DUMMYFUNCTION("""COMPUTED_VALUE"""),5580.0)</f>
        <v>5580</v>
      </c>
      <c r="E1287" s="1">
        <f>IFERROR(__xludf.DUMMYFUNCTION("""COMPUTED_VALUE"""),5600.0)</f>
        <v>5600</v>
      </c>
      <c r="F1287" s="1">
        <f>IFERROR(__xludf.DUMMYFUNCTION("""COMPUTED_VALUE"""),26514.0)</f>
        <v>26514</v>
      </c>
    </row>
    <row r="1288">
      <c r="A1288" s="2">
        <f>IFERROR(__xludf.DUMMYFUNCTION("""COMPUTED_VALUE"""),42816.64583333333)</f>
        <v>42816.64583</v>
      </c>
      <c r="B1288" s="1">
        <f>IFERROR(__xludf.DUMMYFUNCTION("""COMPUTED_VALUE"""),5570.0)</f>
        <v>5570</v>
      </c>
      <c r="C1288" s="1">
        <f>IFERROR(__xludf.DUMMYFUNCTION("""COMPUTED_VALUE"""),5670.0)</f>
        <v>5670</v>
      </c>
      <c r="D1288" s="1">
        <f>IFERROR(__xludf.DUMMYFUNCTION("""COMPUTED_VALUE"""),5570.0)</f>
        <v>5570</v>
      </c>
      <c r="E1288" s="1">
        <f>IFERROR(__xludf.DUMMYFUNCTION("""COMPUTED_VALUE"""),5600.0)</f>
        <v>5600</v>
      </c>
      <c r="F1288" s="1">
        <f>IFERROR(__xludf.DUMMYFUNCTION("""COMPUTED_VALUE"""),13420.0)</f>
        <v>13420</v>
      </c>
    </row>
    <row r="1289">
      <c r="A1289" s="2">
        <f>IFERROR(__xludf.DUMMYFUNCTION("""COMPUTED_VALUE"""),42817.64583333333)</f>
        <v>42817.64583</v>
      </c>
      <c r="B1289" s="1">
        <f>IFERROR(__xludf.DUMMYFUNCTION("""COMPUTED_VALUE"""),5600.0)</f>
        <v>5600</v>
      </c>
      <c r="C1289" s="1">
        <f>IFERROR(__xludf.DUMMYFUNCTION("""COMPUTED_VALUE"""),5650.0)</f>
        <v>5650</v>
      </c>
      <c r="D1289" s="1">
        <f>IFERROR(__xludf.DUMMYFUNCTION("""COMPUTED_VALUE"""),5580.0)</f>
        <v>5580</v>
      </c>
      <c r="E1289" s="1">
        <f>IFERROR(__xludf.DUMMYFUNCTION("""COMPUTED_VALUE"""),5610.0)</f>
        <v>5610</v>
      </c>
      <c r="F1289" s="1">
        <f>IFERROR(__xludf.DUMMYFUNCTION("""COMPUTED_VALUE"""),11693.0)</f>
        <v>11693</v>
      </c>
    </row>
    <row r="1290">
      <c r="A1290" s="2">
        <f>IFERROR(__xludf.DUMMYFUNCTION("""COMPUTED_VALUE"""),42818.64583333333)</f>
        <v>42818.64583</v>
      </c>
      <c r="B1290" s="1">
        <f>IFERROR(__xludf.DUMMYFUNCTION("""COMPUTED_VALUE"""),5580.0)</f>
        <v>5580</v>
      </c>
      <c r="C1290" s="1">
        <f>IFERROR(__xludf.DUMMYFUNCTION("""COMPUTED_VALUE"""),5630.0)</f>
        <v>5630</v>
      </c>
      <c r="D1290" s="1">
        <f>IFERROR(__xludf.DUMMYFUNCTION("""COMPUTED_VALUE"""),5550.0)</f>
        <v>5550</v>
      </c>
      <c r="E1290" s="1">
        <f>IFERROR(__xludf.DUMMYFUNCTION("""COMPUTED_VALUE"""),5600.0)</f>
        <v>5600</v>
      </c>
      <c r="F1290" s="1">
        <f>IFERROR(__xludf.DUMMYFUNCTION("""COMPUTED_VALUE"""),13868.0)</f>
        <v>13868</v>
      </c>
    </row>
    <row r="1291">
      <c r="A1291" s="2">
        <f>IFERROR(__xludf.DUMMYFUNCTION("""COMPUTED_VALUE"""),42821.64583333333)</f>
        <v>42821.64583</v>
      </c>
      <c r="B1291" s="1">
        <f>IFERROR(__xludf.DUMMYFUNCTION("""COMPUTED_VALUE"""),5600.0)</f>
        <v>5600</v>
      </c>
      <c r="C1291" s="1">
        <f>IFERROR(__xludf.DUMMYFUNCTION("""COMPUTED_VALUE"""),5620.0)</f>
        <v>5620</v>
      </c>
      <c r="D1291" s="1">
        <f>IFERROR(__xludf.DUMMYFUNCTION("""COMPUTED_VALUE"""),5540.0)</f>
        <v>5540</v>
      </c>
      <c r="E1291" s="1">
        <f>IFERROR(__xludf.DUMMYFUNCTION("""COMPUTED_VALUE"""),5600.0)</f>
        <v>5600</v>
      </c>
      <c r="F1291" s="1">
        <f>IFERROR(__xludf.DUMMYFUNCTION("""COMPUTED_VALUE"""),13671.0)</f>
        <v>13671</v>
      </c>
    </row>
    <row r="1292">
      <c r="A1292" s="2">
        <f>IFERROR(__xludf.DUMMYFUNCTION("""COMPUTED_VALUE"""),42822.64583333333)</f>
        <v>42822.64583</v>
      </c>
      <c r="B1292" s="1">
        <f>IFERROR(__xludf.DUMMYFUNCTION("""COMPUTED_VALUE"""),5550.0)</f>
        <v>5550</v>
      </c>
      <c r="C1292" s="1">
        <f>IFERROR(__xludf.DUMMYFUNCTION("""COMPUTED_VALUE"""),5610.0)</f>
        <v>5610</v>
      </c>
      <c r="D1292" s="1">
        <f>IFERROR(__xludf.DUMMYFUNCTION("""COMPUTED_VALUE"""),5520.0)</f>
        <v>5520</v>
      </c>
      <c r="E1292" s="1">
        <f>IFERROR(__xludf.DUMMYFUNCTION("""COMPUTED_VALUE"""),5590.0)</f>
        <v>5590</v>
      </c>
      <c r="F1292" s="1">
        <f>IFERROR(__xludf.DUMMYFUNCTION("""COMPUTED_VALUE"""),12297.0)</f>
        <v>12297</v>
      </c>
    </row>
    <row r="1293">
      <c r="A1293" s="2">
        <f>IFERROR(__xludf.DUMMYFUNCTION("""COMPUTED_VALUE"""),42823.64583333333)</f>
        <v>42823.64583</v>
      </c>
      <c r="B1293" s="1">
        <f>IFERROR(__xludf.DUMMYFUNCTION("""COMPUTED_VALUE"""),5570.0)</f>
        <v>5570</v>
      </c>
      <c r="C1293" s="1">
        <f>IFERROR(__xludf.DUMMYFUNCTION("""COMPUTED_VALUE"""),5640.0)</f>
        <v>5640</v>
      </c>
      <c r="D1293" s="1">
        <f>IFERROR(__xludf.DUMMYFUNCTION("""COMPUTED_VALUE"""),5540.0)</f>
        <v>5540</v>
      </c>
      <c r="E1293" s="1">
        <f>IFERROR(__xludf.DUMMYFUNCTION("""COMPUTED_VALUE"""),5630.0)</f>
        <v>5630</v>
      </c>
      <c r="F1293" s="1">
        <f>IFERROR(__xludf.DUMMYFUNCTION("""COMPUTED_VALUE"""),20220.0)</f>
        <v>20220</v>
      </c>
    </row>
    <row r="1294">
      <c r="A1294" s="2">
        <f>IFERROR(__xludf.DUMMYFUNCTION("""COMPUTED_VALUE"""),42824.64583333333)</f>
        <v>42824.64583</v>
      </c>
      <c r="B1294" s="1">
        <f>IFERROR(__xludf.DUMMYFUNCTION("""COMPUTED_VALUE"""),5630.0)</f>
        <v>5630</v>
      </c>
      <c r="C1294" s="1">
        <f>IFERROR(__xludf.DUMMYFUNCTION("""COMPUTED_VALUE"""),5670.0)</f>
        <v>5670</v>
      </c>
      <c r="D1294" s="1">
        <f>IFERROR(__xludf.DUMMYFUNCTION("""COMPUTED_VALUE"""),5570.0)</f>
        <v>5570</v>
      </c>
      <c r="E1294" s="1">
        <f>IFERROR(__xludf.DUMMYFUNCTION("""COMPUTED_VALUE"""),5660.0)</f>
        <v>5660</v>
      </c>
      <c r="F1294" s="1">
        <f>IFERROR(__xludf.DUMMYFUNCTION("""COMPUTED_VALUE"""),17067.0)</f>
        <v>17067</v>
      </c>
    </row>
    <row r="1295">
      <c r="A1295" s="2">
        <f>IFERROR(__xludf.DUMMYFUNCTION("""COMPUTED_VALUE"""),42825.64583333333)</f>
        <v>42825.64583</v>
      </c>
      <c r="B1295" s="1">
        <f>IFERROR(__xludf.DUMMYFUNCTION("""COMPUTED_VALUE"""),5640.0)</f>
        <v>5640</v>
      </c>
      <c r="C1295" s="1">
        <f>IFERROR(__xludf.DUMMYFUNCTION("""COMPUTED_VALUE"""),5680.0)</f>
        <v>5680</v>
      </c>
      <c r="D1295" s="1">
        <f>IFERROR(__xludf.DUMMYFUNCTION("""COMPUTED_VALUE"""),5600.0)</f>
        <v>5600</v>
      </c>
      <c r="E1295" s="1">
        <f>IFERROR(__xludf.DUMMYFUNCTION("""COMPUTED_VALUE"""),5620.0)</f>
        <v>5620</v>
      </c>
      <c r="F1295" s="1">
        <f>IFERROR(__xludf.DUMMYFUNCTION("""COMPUTED_VALUE"""),34967.0)</f>
        <v>34967</v>
      </c>
    </row>
    <row r="1296">
      <c r="A1296" s="2">
        <f>IFERROR(__xludf.DUMMYFUNCTION("""COMPUTED_VALUE"""),42828.64583333333)</f>
        <v>42828.64583</v>
      </c>
      <c r="B1296" s="1">
        <f>IFERROR(__xludf.DUMMYFUNCTION("""COMPUTED_VALUE"""),5610.0)</f>
        <v>5610</v>
      </c>
      <c r="C1296" s="1">
        <f>IFERROR(__xludf.DUMMYFUNCTION("""COMPUTED_VALUE"""),5680.0)</f>
        <v>5680</v>
      </c>
      <c r="D1296" s="1">
        <f>IFERROR(__xludf.DUMMYFUNCTION("""COMPUTED_VALUE"""),5590.0)</f>
        <v>5590</v>
      </c>
      <c r="E1296" s="1">
        <f>IFERROR(__xludf.DUMMYFUNCTION("""COMPUTED_VALUE"""),5610.0)</f>
        <v>5610</v>
      </c>
      <c r="F1296" s="1">
        <f>IFERROR(__xludf.DUMMYFUNCTION("""COMPUTED_VALUE"""),10297.0)</f>
        <v>10297</v>
      </c>
    </row>
    <row r="1297">
      <c r="A1297" s="2">
        <f>IFERROR(__xludf.DUMMYFUNCTION("""COMPUTED_VALUE"""),42829.64583333333)</f>
        <v>42829.64583</v>
      </c>
      <c r="B1297" s="1">
        <f>IFERROR(__xludf.DUMMYFUNCTION("""COMPUTED_VALUE"""),5670.0)</f>
        <v>5670</v>
      </c>
      <c r="C1297" s="1">
        <f>IFERROR(__xludf.DUMMYFUNCTION("""COMPUTED_VALUE"""),5720.0)</f>
        <v>5720</v>
      </c>
      <c r="D1297" s="1">
        <f>IFERROR(__xludf.DUMMYFUNCTION("""COMPUTED_VALUE"""),5610.0)</f>
        <v>5610</v>
      </c>
      <c r="E1297" s="1">
        <f>IFERROR(__xludf.DUMMYFUNCTION("""COMPUTED_VALUE"""),5630.0)</f>
        <v>5630</v>
      </c>
      <c r="F1297" s="1">
        <f>IFERROR(__xludf.DUMMYFUNCTION("""COMPUTED_VALUE"""),24833.0)</f>
        <v>24833</v>
      </c>
    </row>
    <row r="1298">
      <c r="A1298" s="2">
        <f>IFERROR(__xludf.DUMMYFUNCTION("""COMPUTED_VALUE"""),42830.64583333333)</f>
        <v>42830.64583</v>
      </c>
      <c r="B1298" s="1">
        <f>IFERROR(__xludf.DUMMYFUNCTION("""COMPUTED_VALUE"""),5630.0)</f>
        <v>5630</v>
      </c>
      <c r="C1298" s="1">
        <f>IFERROR(__xludf.DUMMYFUNCTION("""COMPUTED_VALUE"""),5650.0)</f>
        <v>5650</v>
      </c>
      <c r="D1298" s="1">
        <f>IFERROR(__xludf.DUMMYFUNCTION("""COMPUTED_VALUE"""),5610.0)</f>
        <v>5610</v>
      </c>
      <c r="E1298" s="1">
        <f>IFERROR(__xludf.DUMMYFUNCTION("""COMPUTED_VALUE"""),5630.0)</f>
        <v>5630</v>
      </c>
      <c r="F1298" s="1">
        <f>IFERROR(__xludf.DUMMYFUNCTION("""COMPUTED_VALUE"""),9489.0)</f>
        <v>9489</v>
      </c>
    </row>
    <row r="1299">
      <c r="A1299" s="2">
        <f>IFERROR(__xludf.DUMMYFUNCTION("""COMPUTED_VALUE"""),42831.64583333333)</f>
        <v>42831.64583</v>
      </c>
      <c r="B1299" s="1">
        <f>IFERROR(__xludf.DUMMYFUNCTION("""COMPUTED_VALUE"""),5630.0)</f>
        <v>5630</v>
      </c>
      <c r="C1299" s="1">
        <f>IFERROR(__xludf.DUMMYFUNCTION("""COMPUTED_VALUE"""),5640.0)</f>
        <v>5640</v>
      </c>
      <c r="D1299" s="1">
        <f>IFERROR(__xludf.DUMMYFUNCTION("""COMPUTED_VALUE"""),5580.0)</f>
        <v>5580</v>
      </c>
      <c r="E1299" s="1">
        <f>IFERROR(__xludf.DUMMYFUNCTION("""COMPUTED_VALUE"""),5580.0)</f>
        <v>5580</v>
      </c>
      <c r="F1299" s="1">
        <f>IFERROR(__xludf.DUMMYFUNCTION("""COMPUTED_VALUE"""),12164.0)</f>
        <v>12164</v>
      </c>
    </row>
    <row r="1300">
      <c r="A1300" s="2">
        <f>IFERROR(__xludf.DUMMYFUNCTION("""COMPUTED_VALUE"""),42832.64583333333)</f>
        <v>42832.64583</v>
      </c>
      <c r="B1300" s="1">
        <f>IFERROR(__xludf.DUMMYFUNCTION("""COMPUTED_VALUE"""),5570.0)</f>
        <v>5570</v>
      </c>
      <c r="C1300" s="1">
        <f>IFERROR(__xludf.DUMMYFUNCTION("""COMPUTED_VALUE"""),5640.0)</f>
        <v>5640</v>
      </c>
      <c r="D1300" s="1">
        <f>IFERROR(__xludf.DUMMYFUNCTION("""COMPUTED_VALUE"""),5560.0)</f>
        <v>5560</v>
      </c>
      <c r="E1300" s="1">
        <f>IFERROR(__xludf.DUMMYFUNCTION("""COMPUTED_VALUE"""),5580.0)</f>
        <v>5580</v>
      </c>
      <c r="F1300" s="1">
        <f>IFERROR(__xludf.DUMMYFUNCTION("""COMPUTED_VALUE"""),20520.0)</f>
        <v>20520</v>
      </c>
    </row>
    <row r="1301">
      <c r="A1301" s="2">
        <f>IFERROR(__xludf.DUMMYFUNCTION("""COMPUTED_VALUE"""),42835.64583333333)</f>
        <v>42835.64583</v>
      </c>
      <c r="B1301" s="1">
        <f>IFERROR(__xludf.DUMMYFUNCTION("""COMPUTED_VALUE"""),5590.0)</f>
        <v>5590</v>
      </c>
      <c r="C1301" s="1">
        <f>IFERROR(__xludf.DUMMYFUNCTION("""COMPUTED_VALUE"""),5670.0)</f>
        <v>5670</v>
      </c>
      <c r="D1301" s="1">
        <f>IFERROR(__xludf.DUMMYFUNCTION("""COMPUTED_VALUE"""),5510.0)</f>
        <v>5510</v>
      </c>
      <c r="E1301" s="1">
        <f>IFERROR(__xludf.DUMMYFUNCTION("""COMPUTED_VALUE"""),5560.0)</f>
        <v>5560</v>
      </c>
      <c r="F1301" s="1">
        <f>IFERROR(__xludf.DUMMYFUNCTION("""COMPUTED_VALUE"""),21769.0)</f>
        <v>21769</v>
      </c>
    </row>
    <row r="1302">
      <c r="A1302" s="2">
        <f>IFERROR(__xludf.DUMMYFUNCTION("""COMPUTED_VALUE"""),42836.64583333333)</f>
        <v>42836.64583</v>
      </c>
      <c r="B1302" s="1">
        <f>IFERROR(__xludf.DUMMYFUNCTION("""COMPUTED_VALUE"""),5560.0)</f>
        <v>5560</v>
      </c>
      <c r="C1302" s="1">
        <f>IFERROR(__xludf.DUMMYFUNCTION("""COMPUTED_VALUE"""),5620.0)</f>
        <v>5620</v>
      </c>
      <c r="D1302" s="1">
        <f>IFERROR(__xludf.DUMMYFUNCTION("""COMPUTED_VALUE"""),5550.0)</f>
        <v>5550</v>
      </c>
      <c r="E1302" s="1">
        <f>IFERROR(__xludf.DUMMYFUNCTION("""COMPUTED_VALUE"""),5590.0)</f>
        <v>5590</v>
      </c>
      <c r="F1302" s="1">
        <f>IFERROR(__xludf.DUMMYFUNCTION("""COMPUTED_VALUE"""),17440.0)</f>
        <v>17440</v>
      </c>
    </row>
    <row r="1303">
      <c r="A1303" s="2">
        <f>IFERROR(__xludf.DUMMYFUNCTION("""COMPUTED_VALUE"""),42837.64583333333)</f>
        <v>42837.64583</v>
      </c>
      <c r="B1303" s="1">
        <f>IFERROR(__xludf.DUMMYFUNCTION("""COMPUTED_VALUE"""),5560.0)</f>
        <v>5560</v>
      </c>
      <c r="C1303" s="1">
        <f>IFERROR(__xludf.DUMMYFUNCTION("""COMPUTED_VALUE"""),5630.0)</f>
        <v>5630</v>
      </c>
      <c r="D1303" s="1">
        <f>IFERROR(__xludf.DUMMYFUNCTION("""COMPUTED_VALUE"""),5560.0)</f>
        <v>5560</v>
      </c>
      <c r="E1303" s="1">
        <f>IFERROR(__xludf.DUMMYFUNCTION("""COMPUTED_VALUE"""),5580.0)</f>
        <v>5580</v>
      </c>
      <c r="F1303" s="1">
        <f>IFERROR(__xludf.DUMMYFUNCTION("""COMPUTED_VALUE"""),6720.0)</f>
        <v>6720</v>
      </c>
    </row>
    <row r="1304">
      <c r="A1304" s="2">
        <f>IFERROR(__xludf.DUMMYFUNCTION("""COMPUTED_VALUE"""),42838.64583333333)</f>
        <v>42838.64583</v>
      </c>
      <c r="B1304" s="1">
        <f>IFERROR(__xludf.DUMMYFUNCTION("""COMPUTED_VALUE"""),5600.0)</f>
        <v>5600</v>
      </c>
      <c r="C1304" s="1">
        <f>IFERROR(__xludf.DUMMYFUNCTION("""COMPUTED_VALUE"""),5810.0)</f>
        <v>5810</v>
      </c>
      <c r="D1304" s="1">
        <f>IFERROR(__xludf.DUMMYFUNCTION("""COMPUTED_VALUE"""),5590.0)</f>
        <v>5590</v>
      </c>
      <c r="E1304" s="1">
        <f>IFERROR(__xludf.DUMMYFUNCTION("""COMPUTED_VALUE"""),5810.0)</f>
        <v>5810</v>
      </c>
      <c r="F1304" s="1">
        <f>IFERROR(__xludf.DUMMYFUNCTION("""COMPUTED_VALUE"""),76432.0)</f>
        <v>76432</v>
      </c>
    </row>
    <row r="1305">
      <c r="A1305" s="2">
        <f>IFERROR(__xludf.DUMMYFUNCTION("""COMPUTED_VALUE"""),42839.64583333333)</f>
        <v>42839.64583</v>
      </c>
      <c r="B1305" s="1">
        <f>IFERROR(__xludf.DUMMYFUNCTION("""COMPUTED_VALUE"""),5800.0)</f>
        <v>5800</v>
      </c>
      <c r="C1305" s="1">
        <f>IFERROR(__xludf.DUMMYFUNCTION("""COMPUTED_VALUE"""),5860.0)</f>
        <v>5860</v>
      </c>
      <c r="D1305" s="1">
        <f>IFERROR(__xludf.DUMMYFUNCTION("""COMPUTED_VALUE"""),5640.0)</f>
        <v>5640</v>
      </c>
      <c r="E1305" s="1">
        <f>IFERROR(__xludf.DUMMYFUNCTION("""COMPUTED_VALUE"""),5650.0)</f>
        <v>5650</v>
      </c>
      <c r="F1305" s="1">
        <f>IFERROR(__xludf.DUMMYFUNCTION("""COMPUTED_VALUE"""),60988.0)</f>
        <v>60988</v>
      </c>
    </row>
    <row r="1306">
      <c r="A1306" s="2">
        <f>IFERROR(__xludf.DUMMYFUNCTION("""COMPUTED_VALUE"""),42842.64583333333)</f>
        <v>42842.64583</v>
      </c>
      <c r="B1306" s="1">
        <f>IFERROR(__xludf.DUMMYFUNCTION("""COMPUTED_VALUE"""),5710.0)</f>
        <v>5710</v>
      </c>
      <c r="C1306" s="1">
        <f>IFERROR(__xludf.DUMMYFUNCTION("""COMPUTED_VALUE"""),5730.0)</f>
        <v>5730</v>
      </c>
      <c r="D1306" s="1">
        <f>IFERROR(__xludf.DUMMYFUNCTION("""COMPUTED_VALUE"""),5660.0)</f>
        <v>5660</v>
      </c>
      <c r="E1306" s="1">
        <f>IFERROR(__xludf.DUMMYFUNCTION("""COMPUTED_VALUE"""),5720.0)</f>
        <v>5720</v>
      </c>
      <c r="F1306" s="1">
        <f>IFERROR(__xludf.DUMMYFUNCTION("""COMPUTED_VALUE"""),25069.0)</f>
        <v>25069</v>
      </c>
    </row>
    <row r="1307">
      <c r="A1307" s="2">
        <f>IFERROR(__xludf.DUMMYFUNCTION("""COMPUTED_VALUE"""),42843.64583333333)</f>
        <v>42843.64583</v>
      </c>
      <c r="B1307" s="1">
        <f>IFERROR(__xludf.DUMMYFUNCTION("""COMPUTED_VALUE"""),5770.0)</f>
        <v>5770</v>
      </c>
      <c r="C1307" s="1">
        <f>IFERROR(__xludf.DUMMYFUNCTION("""COMPUTED_VALUE"""),5790.0)</f>
        <v>5790</v>
      </c>
      <c r="D1307" s="1">
        <f>IFERROR(__xludf.DUMMYFUNCTION("""COMPUTED_VALUE"""),5650.0)</f>
        <v>5650</v>
      </c>
      <c r="E1307" s="1">
        <f>IFERROR(__xludf.DUMMYFUNCTION("""COMPUTED_VALUE"""),5740.0)</f>
        <v>5740</v>
      </c>
      <c r="F1307" s="1">
        <f>IFERROR(__xludf.DUMMYFUNCTION("""COMPUTED_VALUE"""),24488.0)</f>
        <v>24488</v>
      </c>
    </row>
    <row r="1308">
      <c r="A1308" s="2">
        <f>IFERROR(__xludf.DUMMYFUNCTION("""COMPUTED_VALUE"""),42844.64583333333)</f>
        <v>42844.64583</v>
      </c>
      <c r="B1308" s="1">
        <f>IFERROR(__xludf.DUMMYFUNCTION("""COMPUTED_VALUE"""),5760.0)</f>
        <v>5760</v>
      </c>
      <c r="C1308" s="1">
        <f>IFERROR(__xludf.DUMMYFUNCTION("""COMPUTED_VALUE"""),5760.0)</f>
        <v>5760</v>
      </c>
      <c r="D1308" s="1">
        <f>IFERROR(__xludf.DUMMYFUNCTION("""COMPUTED_VALUE"""),5670.0)</f>
        <v>5670</v>
      </c>
      <c r="E1308" s="1">
        <f>IFERROR(__xludf.DUMMYFUNCTION("""COMPUTED_VALUE"""),5690.0)</f>
        <v>5690</v>
      </c>
      <c r="F1308" s="1">
        <f>IFERROR(__xludf.DUMMYFUNCTION("""COMPUTED_VALUE"""),9409.0)</f>
        <v>9409</v>
      </c>
    </row>
    <row r="1309">
      <c r="A1309" s="2">
        <f>IFERROR(__xludf.DUMMYFUNCTION("""COMPUTED_VALUE"""),42845.64583333333)</f>
        <v>42845.64583</v>
      </c>
      <c r="B1309" s="1">
        <f>IFERROR(__xludf.DUMMYFUNCTION("""COMPUTED_VALUE"""),5680.0)</f>
        <v>5680</v>
      </c>
      <c r="C1309" s="1">
        <f>IFERROR(__xludf.DUMMYFUNCTION("""COMPUTED_VALUE"""),6790.0)</f>
        <v>6790</v>
      </c>
      <c r="D1309" s="1">
        <f>IFERROR(__xludf.DUMMYFUNCTION("""COMPUTED_VALUE"""),5670.0)</f>
        <v>5670</v>
      </c>
      <c r="E1309" s="1">
        <f>IFERROR(__xludf.DUMMYFUNCTION("""COMPUTED_VALUE"""),6100.0)</f>
        <v>6100</v>
      </c>
      <c r="F1309" s="1">
        <f>IFERROR(__xludf.DUMMYFUNCTION("""COMPUTED_VALUE"""),1513569.0)</f>
        <v>1513569</v>
      </c>
    </row>
    <row r="1310">
      <c r="A1310" s="2">
        <f>IFERROR(__xludf.DUMMYFUNCTION("""COMPUTED_VALUE"""),42846.64583333333)</f>
        <v>42846.64583</v>
      </c>
      <c r="B1310" s="1">
        <f>IFERROR(__xludf.DUMMYFUNCTION("""COMPUTED_VALUE"""),5980.0)</f>
        <v>5980</v>
      </c>
      <c r="C1310" s="1">
        <f>IFERROR(__xludf.DUMMYFUNCTION("""COMPUTED_VALUE"""),6060.0)</f>
        <v>6060</v>
      </c>
      <c r="D1310" s="1">
        <f>IFERROR(__xludf.DUMMYFUNCTION("""COMPUTED_VALUE"""),5880.0)</f>
        <v>5880</v>
      </c>
      <c r="E1310" s="1">
        <f>IFERROR(__xludf.DUMMYFUNCTION("""COMPUTED_VALUE"""),6050.0)</f>
        <v>6050</v>
      </c>
      <c r="F1310" s="1">
        <f>IFERROR(__xludf.DUMMYFUNCTION("""COMPUTED_VALUE"""),185788.0)</f>
        <v>185788</v>
      </c>
    </row>
    <row r="1311">
      <c r="A1311" s="2">
        <f>IFERROR(__xludf.DUMMYFUNCTION("""COMPUTED_VALUE"""),42849.64583333333)</f>
        <v>42849.64583</v>
      </c>
      <c r="B1311" s="1">
        <f>IFERROR(__xludf.DUMMYFUNCTION("""COMPUTED_VALUE"""),6080.0)</f>
        <v>6080</v>
      </c>
      <c r="C1311" s="1">
        <f>IFERROR(__xludf.DUMMYFUNCTION("""COMPUTED_VALUE"""),6120.0)</f>
        <v>6120</v>
      </c>
      <c r="D1311" s="1">
        <f>IFERROR(__xludf.DUMMYFUNCTION("""COMPUTED_VALUE"""),5920.0)</f>
        <v>5920</v>
      </c>
      <c r="E1311" s="1">
        <f>IFERROR(__xludf.DUMMYFUNCTION("""COMPUTED_VALUE"""),6060.0)</f>
        <v>6060</v>
      </c>
      <c r="F1311" s="1">
        <f>IFERROR(__xludf.DUMMYFUNCTION("""COMPUTED_VALUE"""),170692.0)</f>
        <v>170692</v>
      </c>
    </row>
    <row r="1312">
      <c r="A1312" s="2">
        <f>IFERROR(__xludf.DUMMYFUNCTION("""COMPUTED_VALUE"""),42850.64583333333)</f>
        <v>42850.64583</v>
      </c>
      <c r="B1312" s="1">
        <f>IFERROR(__xludf.DUMMYFUNCTION("""COMPUTED_VALUE"""),6080.0)</f>
        <v>6080</v>
      </c>
      <c r="C1312" s="1">
        <f>IFERROR(__xludf.DUMMYFUNCTION("""COMPUTED_VALUE"""),6300.0)</f>
        <v>6300</v>
      </c>
      <c r="D1312" s="1">
        <f>IFERROR(__xludf.DUMMYFUNCTION("""COMPUTED_VALUE"""),6010.0)</f>
        <v>6010</v>
      </c>
      <c r="E1312" s="1">
        <f>IFERROR(__xludf.DUMMYFUNCTION("""COMPUTED_VALUE"""),6050.0)</f>
        <v>6050</v>
      </c>
      <c r="F1312" s="1">
        <f>IFERROR(__xludf.DUMMYFUNCTION("""COMPUTED_VALUE"""),269501.0)</f>
        <v>269501</v>
      </c>
    </row>
    <row r="1313">
      <c r="A1313" s="2">
        <f>IFERROR(__xludf.DUMMYFUNCTION("""COMPUTED_VALUE"""),42851.64583333333)</f>
        <v>42851.64583</v>
      </c>
      <c r="B1313" s="1">
        <f>IFERROR(__xludf.DUMMYFUNCTION("""COMPUTED_VALUE"""),6060.0)</f>
        <v>6060</v>
      </c>
      <c r="C1313" s="1">
        <f>IFERROR(__xludf.DUMMYFUNCTION("""COMPUTED_VALUE"""),6150.0)</f>
        <v>6150</v>
      </c>
      <c r="D1313" s="1">
        <f>IFERROR(__xludf.DUMMYFUNCTION("""COMPUTED_VALUE"""),5990.0)</f>
        <v>5990</v>
      </c>
      <c r="E1313" s="1">
        <f>IFERROR(__xludf.DUMMYFUNCTION("""COMPUTED_VALUE"""),6030.0)</f>
        <v>6030</v>
      </c>
      <c r="F1313" s="1">
        <f>IFERROR(__xludf.DUMMYFUNCTION("""COMPUTED_VALUE"""),81846.0)</f>
        <v>81846</v>
      </c>
    </row>
    <row r="1314">
      <c r="A1314" s="2">
        <f>IFERROR(__xludf.DUMMYFUNCTION("""COMPUTED_VALUE"""),42852.64583333333)</f>
        <v>42852.64583</v>
      </c>
      <c r="B1314" s="1">
        <f>IFERROR(__xludf.DUMMYFUNCTION("""COMPUTED_VALUE"""),6090.0)</f>
        <v>6090</v>
      </c>
      <c r="C1314" s="1">
        <f>IFERROR(__xludf.DUMMYFUNCTION("""COMPUTED_VALUE"""),6200.0)</f>
        <v>6200</v>
      </c>
      <c r="D1314" s="1">
        <f>IFERROR(__xludf.DUMMYFUNCTION("""COMPUTED_VALUE"""),5940.0)</f>
        <v>5940</v>
      </c>
      <c r="E1314" s="1">
        <f>IFERROR(__xludf.DUMMYFUNCTION("""COMPUTED_VALUE"""),5970.0)</f>
        <v>5970</v>
      </c>
      <c r="F1314" s="1">
        <f>IFERROR(__xludf.DUMMYFUNCTION("""COMPUTED_VALUE"""),90148.0)</f>
        <v>90148</v>
      </c>
    </row>
    <row r="1315">
      <c r="A1315" s="2">
        <f>IFERROR(__xludf.DUMMYFUNCTION("""COMPUTED_VALUE"""),42853.64583333333)</f>
        <v>42853.64583</v>
      </c>
      <c r="B1315" s="1">
        <f>IFERROR(__xludf.DUMMYFUNCTION("""COMPUTED_VALUE"""),5960.0)</f>
        <v>5960</v>
      </c>
      <c r="C1315" s="1">
        <f>IFERROR(__xludf.DUMMYFUNCTION("""COMPUTED_VALUE"""),6060.0)</f>
        <v>6060</v>
      </c>
      <c r="D1315" s="1">
        <f>IFERROR(__xludf.DUMMYFUNCTION("""COMPUTED_VALUE"""),5850.0)</f>
        <v>5850</v>
      </c>
      <c r="E1315" s="1">
        <f>IFERROR(__xludf.DUMMYFUNCTION("""COMPUTED_VALUE"""),5850.0)</f>
        <v>5850</v>
      </c>
      <c r="F1315" s="1">
        <f>IFERROR(__xludf.DUMMYFUNCTION("""COMPUTED_VALUE"""),60337.0)</f>
        <v>60337</v>
      </c>
    </row>
    <row r="1316">
      <c r="A1316" s="2">
        <f>IFERROR(__xludf.DUMMYFUNCTION("""COMPUTED_VALUE"""),42857.64583333333)</f>
        <v>42857.64583</v>
      </c>
      <c r="B1316" s="1">
        <f>IFERROR(__xludf.DUMMYFUNCTION("""COMPUTED_VALUE"""),5850.0)</f>
        <v>5850</v>
      </c>
      <c r="C1316" s="1">
        <f>IFERROR(__xludf.DUMMYFUNCTION("""COMPUTED_VALUE"""),6060.0)</f>
        <v>6060</v>
      </c>
      <c r="D1316" s="1">
        <f>IFERROR(__xludf.DUMMYFUNCTION("""COMPUTED_VALUE"""),5850.0)</f>
        <v>5850</v>
      </c>
      <c r="E1316" s="1">
        <f>IFERROR(__xludf.DUMMYFUNCTION("""COMPUTED_VALUE"""),5990.0)</f>
        <v>5990</v>
      </c>
      <c r="F1316" s="1">
        <f>IFERROR(__xludf.DUMMYFUNCTION("""COMPUTED_VALUE"""),53305.0)</f>
        <v>53305</v>
      </c>
    </row>
    <row r="1317">
      <c r="A1317" s="2">
        <f>IFERROR(__xludf.DUMMYFUNCTION("""COMPUTED_VALUE"""),42859.64583333333)</f>
        <v>42859.64583</v>
      </c>
      <c r="B1317" s="1">
        <f>IFERROR(__xludf.DUMMYFUNCTION("""COMPUTED_VALUE"""),6030.0)</f>
        <v>6030</v>
      </c>
      <c r="C1317" s="1">
        <f>IFERROR(__xludf.DUMMYFUNCTION("""COMPUTED_VALUE"""),6090.0)</f>
        <v>6090</v>
      </c>
      <c r="D1317" s="1">
        <f>IFERROR(__xludf.DUMMYFUNCTION("""COMPUTED_VALUE"""),5990.0)</f>
        <v>5990</v>
      </c>
      <c r="E1317" s="1">
        <f>IFERROR(__xludf.DUMMYFUNCTION("""COMPUTED_VALUE"""),6050.0)</f>
        <v>6050</v>
      </c>
      <c r="F1317" s="1">
        <f>IFERROR(__xludf.DUMMYFUNCTION("""COMPUTED_VALUE"""),42844.0)</f>
        <v>42844</v>
      </c>
    </row>
    <row r="1318">
      <c r="A1318" s="2">
        <f>IFERROR(__xludf.DUMMYFUNCTION("""COMPUTED_VALUE"""),42863.64583333333)</f>
        <v>42863.64583</v>
      </c>
      <c r="B1318" s="1">
        <f>IFERROR(__xludf.DUMMYFUNCTION("""COMPUTED_VALUE"""),6050.0)</f>
        <v>6050</v>
      </c>
      <c r="C1318" s="1">
        <f>IFERROR(__xludf.DUMMYFUNCTION("""COMPUTED_VALUE"""),6100.0)</f>
        <v>6100</v>
      </c>
      <c r="D1318" s="1">
        <f>IFERROR(__xludf.DUMMYFUNCTION("""COMPUTED_VALUE"""),6000.0)</f>
        <v>6000</v>
      </c>
      <c r="E1318" s="1">
        <f>IFERROR(__xludf.DUMMYFUNCTION("""COMPUTED_VALUE"""),6100.0)</f>
        <v>6100</v>
      </c>
      <c r="F1318" s="1">
        <f>IFERROR(__xludf.DUMMYFUNCTION("""COMPUTED_VALUE"""),72735.0)</f>
        <v>72735</v>
      </c>
    </row>
    <row r="1319">
      <c r="A1319" s="2">
        <f>IFERROR(__xludf.DUMMYFUNCTION("""COMPUTED_VALUE"""),42865.64583333333)</f>
        <v>42865.64583</v>
      </c>
      <c r="B1319" s="1">
        <f>IFERROR(__xludf.DUMMYFUNCTION("""COMPUTED_VALUE"""),6150.0)</f>
        <v>6150</v>
      </c>
      <c r="C1319" s="1">
        <f>IFERROR(__xludf.DUMMYFUNCTION("""COMPUTED_VALUE"""),6200.0)</f>
        <v>6200</v>
      </c>
      <c r="D1319" s="1">
        <f>IFERROR(__xludf.DUMMYFUNCTION("""COMPUTED_VALUE"""),6000.0)</f>
        <v>6000</v>
      </c>
      <c r="E1319" s="1">
        <f>IFERROR(__xludf.DUMMYFUNCTION("""COMPUTED_VALUE"""),6020.0)</f>
        <v>6020</v>
      </c>
      <c r="F1319" s="1">
        <f>IFERROR(__xludf.DUMMYFUNCTION("""COMPUTED_VALUE"""),64032.0)</f>
        <v>64032</v>
      </c>
    </row>
    <row r="1320">
      <c r="A1320" s="2">
        <f>IFERROR(__xludf.DUMMYFUNCTION("""COMPUTED_VALUE"""),42866.64583333333)</f>
        <v>42866.64583</v>
      </c>
      <c r="B1320" s="1">
        <f>IFERROR(__xludf.DUMMYFUNCTION("""COMPUTED_VALUE"""),6010.0)</f>
        <v>6010</v>
      </c>
      <c r="C1320" s="1">
        <f>IFERROR(__xludf.DUMMYFUNCTION("""COMPUTED_VALUE"""),6050.0)</f>
        <v>6050</v>
      </c>
      <c r="D1320" s="1">
        <f>IFERROR(__xludf.DUMMYFUNCTION("""COMPUTED_VALUE"""),5900.0)</f>
        <v>5900</v>
      </c>
      <c r="E1320" s="1">
        <f>IFERROR(__xludf.DUMMYFUNCTION("""COMPUTED_VALUE"""),6000.0)</f>
        <v>6000</v>
      </c>
      <c r="F1320" s="1">
        <f>IFERROR(__xludf.DUMMYFUNCTION("""COMPUTED_VALUE"""),46291.0)</f>
        <v>46291</v>
      </c>
    </row>
    <row r="1321">
      <c r="A1321" s="2">
        <f>IFERROR(__xludf.DUMMYFUNCTION("""COMPUTED_VALUE"""),42867.64583333333)</f>
        <v>42867.64583</v>
      </c>
      <c r="B1321" s="1">
        <f>IFERROR(__xludf.DUMMYFUNCTION("""COMPUTED_VALUE"""),6050.0)</f>
        <v>6050</v>
      </c>
      <c r="C1321" s="1">
        <f>IFERROR(__xludf.DUMMYFUNCTION("""COMPUTED_VALUE"""),6060.0)</f>
        <v>6060</v>
      </c>
      <c r="D1321" s="1">
        <f>IFERROR(__xludf.DUMMYFUNCTION("""COMPUTED_VALUE"""),5900.0)</f>
        <v>5900</v>
      </c>
      <c r="E1321" s="1">
        <f>IFERROR(__xludf.DUMMYFUNCTION("""COMPUTED_VALUE"""),5960.0)</f>
        <v>5960</v>
      </c>
      <c r="F1321" s="1">
        <f>IFERROR(__xludf.DUMMYFUNCTION("""COMPUTED_VALUE"""),33990.0)</f>
        <v>33990</v>
      </c>
    </row>
    <row r="1322">
      <c r="A1322" s="2">
        <f>IFERROR(__xludf.DUMMYFUNCTION("""COMPUTED_VALUE"""),42870.64583333333)</f>
        <v>42870.64583</v>
      </c>
      <c r="B1322" s="1">
        <f>IFERROR(__xludf.DUMMYFUNCTION("""COMPUTED_VALUE"""),5980.0)</f>
        <v>5980</v>
      </c>
      <c r="C1322" s="1">
        <f>IFERROR(__xludf.DUMMYFUNCTION("""COMPUTED_VALUE"""),5980.0)</f>
        <v>5980</v>
      </c>
      <c r="D1322" s="1">
        <f>IFERROR(__xludf.DUMMYFUNCTION("""COMPUTED_VALUE"""),5800.0)</f>
        <v>5800</v>
      </c>
      <c r="E1322" s="1">
        <f>IFERROR(__xludf.DUMMYFUNCTION("""COMPUTED_VALUE"""),5890.0)</f>
        <v>5890</v>
      </c>
      <c r="F1322" s="1">
        <f>IFERROR(__xludf.DUMMYFUNCTION("""COMPUTED_VALUE"""),55367.0)</f>
        <v>55367</v>
      </c>
    </row>
    <row r="1323">
      <c r="A1323" s="2">
        <f>IFERROR(__xludf.DUMMYFUNCTION("""COMPUTED_VALUE"""),42871.64583333333)</f>
        <v>42871.64583</v>
      </c>
      <c r="B1323" s="1">
        <f>IFERROR(__xludf.DUMMYFUNCTION("""COMPUTED_VALUE"""),5900.0)</f>
        <v>5900</v>
      </c>
      <c r="C1323" s="1">
        <f>IFERROR(__xludf.DUMMYFUNCTION("""COMPUTED_VALUE"""),6050.0)</f>
        <v>6050</v>
      </c>
      <c r="D1323" s="1">
        <f>IFERROR(__xludf.DUMMYFUNCTION("""COMPUTED_VALUE"""),5870.0)</f>
        <v>5870</v>
      </c>
      <c r="E1323" s="1">
        <f>IFERROR(__xludf.DUMMYFUNCTION("""COMPUTED_VALUE"""),6050.0)</f>
        <v>6050</v>
      </c>
      <c r="F1323" s="1">
        <f>IFERROR(__xludf.DUMMYFUNCTION("""COMPUTED_VALUE"""),62769.0)</f>
        <v>62769</v>
      </c>
    </row>
    <row r="1324">
      <c r="A1324" s="2">
        <f>IFERROR(__xludf.DUMMYFUNCTION("""COMPUTED_VALUE"""),42872.64583333333)</f>
        <v>42872.64583</v>
      </c>
      <c r="B1324" s="1">
        <f>IFERROR(__xludf.DUMMYFUNCTION("""COMPUTED_VALUE"""),6050.0)</f>
        <v>6050</v>
      </c>
      <c r="C1324" s="1">
        <f>IFERROR(__xludf.DUMMYFUNCTION("""COMPUTED_VALUE"""),6160.0)</f>
        <v>6160</v>
      </c>
      <c r="D1324" s="1">
        <f>IFERROR(__xludf.DUMMYFUNCTION("""COMPUTED_VALUE"""),5970.0)</f>
        <v>5970</v>
      </c>
      <c r="E1324" s="1">
        <f>IFERROR(__xludf.DUMMYFUNCTION("""COMPUTED_VALUE"""),6100.0)</f>
        <v>6100</v>
      </c>
      <c r="F1324" s="1">
        <f>IFERROR(__xludf.DUMMYFUNCTION("""COMPUTED_VALUE"""),71660.0)</f>
        <v>71660</v>
      </c>
    </row>
    <row r="1325">
      <c r="A1325" s="2">
        <f>IFERROR(__xludf.DUMMYFUNCTION("""COMPUTED_VALUE"""),42873.64583333333)</f>
        <v>42873.64583</v>
      </c>
      <c r="B1325" s="1">
        <f>IFERROR(__xludf.DUMMYFUNCTION("""COMPUTED_VALUE"""),6020.0)</f>
        <v>6020</v>
      </c>
      <c r="C1325" s="1">
        <f>IFERROR(__xludf.DUMMYFUNCTION("""COMPUTED_VALUE"""),6080.0)</f>
        <v>6080</v>
      </c>
      <c r="D1325" s="1">
        <f>IFERROR(__xludf.DUMMYFUNCTION("""COMPUTED_VALUE"""),5980.0)</f>
        <v>5980</v>
      </c>
      <c r="E1325" s="1">
        <f>IFERROR(__xludf.DUMMYFUNCTION("""COMPUTED_VALUE"""),6020.0)</f>
        <v>6020</v>
      </c>
      <c r="F1325" s="1">
        <f>IFERROR(__xludf.DUMMYFUNCTION("""COMPUTED_VALUE"""),44560.0)</f>
        <v>44560</v>
      </c>
    </row>
    <row r="1326">
      <c r="A1326" s="2">
        <f>IFERROR(__xludf.DUMMYFUNCTION("""COMPUTED_VALUE"""),42874.64583333333)</f>
        <v>42874.64583</v>
      </c>
      <c r="B1326" s="1">
        <f>IFERROR(__xludf.DUMMYFUNCTION("""COMPUTED_VALUE"""),6000.0)</f>
        <v>6000</v>
      </c>
      <c r="C1326" s="1">
        <f>IFERROR(__xludf.DUMMYFUNCTION("""COMPUTED_VALUE"""),6140.0)</f>
        <v>6140</v>
      </c>
      <c r="D1326" s="1">
        <f>IFERROR(__xludf.DUMMYFUNCTION("""COMPUTED_VALUE"""),6000.0)</f>
        <v>6000</v>
      </c>
      <c r="E1326" s="1">
        <f>IFERROR(__xludf.DUMMYFUNCTION("""COMPUTED_VALUE"""),6110.0)</f>
        <v>6110</v>
      </c>
      <c r="F1326" s="1">
        <f>IFERROR(__xludf.DUMMYFUNCTION("""COMPUTED_VALUE"""),44213.0)</f>
        <v>44213</v>
      </c>
    </row>
    <row r="1327">
      <c r="A1327" s="2">
        <f>IFERROR(__xludf.DUMMYFUNCTION("""COMPUTED_VALUE"""),42877.64583333333)</f>
        <v>42877.64583</v>
      </c>
      <c r="B1327" s="1">
        <f>IFERROR(__xludf.DUMMYFUNCTION("""COMPUTED_VALUE"""),6110.0)</f>
        <v>6110</v>
      </c>
      <c r="C1327" s="1">
        <f>IFERROR(__xludf.DUMMYFUNCTION("""COMPUTED_VALUE"""),6160.0)</f>
        <v>6160</v>
      </c>
      <c r="D1327" s="1">
        <f>IFERROR(__xludf.DUMMYFUNCTION("""COMPUTED_VALUE"""),6060.0)</f>
        <v>6060</v>
      </c>
      <c r="E1327" s="1">
        <f>IFERROR(__xludf.DUMMYFUNCTION("""COMPUTED_VALUE"""),6120.0)</f>
        <v>6120</v>
      </c>
      <c r="F1327" s="1">
        <f>IFERROR(__xludf.DUMMYFUNCTION("""COMPUTED_VALUE"""),56654.0)</f>
        <v>56654</v>
      </c>
    </row>
    <row r="1328">
      <c r="A1328" s="2">
        <f>IFERROR(__xludf.DUMMYFUNCTION("""COMPUTED_VALUE"""),42878.64583333333)</f>
        <v>42878.64583</v>
      </c>
      <c r="B1328" s="1">
        <f>IFERROR(__xludf.DUMMYFUNCTION("""COMPUTED_VALUE"""),6120.0)</f>
        <v>6120</v>
      </c>
      <c r="C1328" s="1">
        <f>IFERROR(__xludf.DUMMYFUNCTION("""COMPUTED_VALUE"""),6170.0)</f>
        <v>6170</v>
      </c>
      <c r="D1328" s="1">
        <f>IFERROR(__xludf.DUMMYFUNCTION("""COMPUTED_VALUE"""),6070.0)</f>
        <v>6070</v>
      </c>
      <c r="E1328" s="1">
        <f>IFERROR(__xludf.DUMMYFUNCTION("""COMPUTED_VALUE"""),6130.0)</f>
        <v>6130</v>
      </c>
      <c r="F1328" s="1">
        <f>IFERROR(__xludf.DUMMYFUNCTION("""COMPUTED_VALUE"""),46358.0)</f>
        <v>46358</v>
      </c>
    </row>
    <row r="1329">
      <c r="A1329" s="2">
        <f>IFERROR(__xludf.DUMMYFUNCTION("""COMPUTED_VALUE"""),42879.64583333333)</f>
        <v>42879.64583</v>
      </c>
      <c r="B1329" s="1">
        <f>IFERROR(__xludf.DUMMYFUNCTION("""COMPUTED_VALUE"""),6170.0)</f>
        <v>6170</v>
      </c>
      <c r="C1329" s="1">
        <f>IFERROR(__xludf.DUMMYFUNCTION("""COMPUTED_VALUE"""),6610.0)</f>
        <v>6610</v>
      </c>
      <c r="D1329" s="1">
        <f>IFERROR(__xludf.DUMMYFUNCTION("""COMPUTED_VALUE"""),6140.0)</f>
        <v>6140</v>
      </c>
      <c r="E1329" s="1">
        <f>IFERROR(__xludf.DUMMYFUNCTION("""COMPUTED_VALUE"""),6400.0)</f>
        <v>6400</v>
      </c>
      <c r="F1329" s="1">
        <f>IFERROR(__xludf.DUMMYFUNCTION("""COMPUTED_VALUE"""),893504.0)</f>
        <v>893504</v>
      </c>
    </row>
    <row r="1330">
      <c r="A1330" s="2">
        <f>IFERROR(__xludf.DUMMYFUNCTION("""COMPUTED_VALUE"""),42880.64583333333)</f>
        <v>42880.64583</v>
      </c>
      <c r="B1330" s="1">
        <f>IFERROR(__xludf.DUMMYFUNCTION("""COMPUTED_VALUE"""),6340.0)</f>
        <v>6340</v>
      </c>
      <c r="C1330" s="1">
        <f>IFERROR(__xludf.DUMMYFUNCTION("""COMPUTED_VALUE"""),6420.0)</f>
        <v>6420</v>
      </c>
      <c r="D1330" s="1">
        <f>IFERROR(__xludf.DUMMYFUNCTION("""COMPUTED_VALUE"""),6260.0)</f>
        <v>6260</v>
      </c>
      <c r="E1330" s="1">
        <f>IFERROR(__xludf.DUMMYFUNCTION("""COMPUTED_VALUE"""),6400.0)</f>
        <v>6400</v>
      </c>
      <c r="F1330" s="1">
        <f>IFERROR(__xludf.DUMMYFUNCTION("""COMPUTED_VALUE"""),106144.0)</f>
        <v>106144</v>
      </c>
    </row>
    <row r="1331">
      <c r="A1331" s="2">
        <f>IFERROR(__xludf.DUMMYFUNCTION("""COMPUTED_VALUE"""),42881.64583333333)</f>
        <v>42881.64583</v>
      </c>
      <c r="B1331" s="1">
        <f>IFERROR(__xludf.DUMMYFUNCTION("""COMPUTED_VALUE"""),6450.0)</f>
        <v>6450</v>
      </c>
      <c r="C1331" s="1">
        <f>IFERROR(__xludf.DUMMYFUNCTION("""COMPUTED_VALUE"""),6490.0)</f>
        <v>6490</v>
      </c>
      <c r="D1331" s="1">
        <f>IFERROR(__xludf.DUMMYFUNCTION("""COMPUTED_VALUE"""),6320.0)</f>
        <v>6320</v>
      </c>
      <c r="E1331" s="1">
        <f>IFERROR(__xludf.DUMMYFUNCTION("""COMPUTED_VALUE"""),6370.0)</f>
        <v>6370</v>
      </c>
      <c r="F1331" s="1">
        <f>IFERROR(__xludf.DUMMYFUNCTION("""COMPUTED_VALUE"""),118994.0)</f>
        <v>118994</v>
      </c>
    </row>
    <row r="1332">
      <c r="A1332" s="2">
        <f>IFERROR(__xludf.DUMMYFUNCTION("""COMPUTED_VALUE"""),42884.64583333333)</f>
        <v>42884.64583</v>
      </c>
      <c r="B1332" s="1">
        <f>IFERROR(__xludf.DUMMYFUNCTION("""COMPUTED_VALUE"""),6410.0)</f>
        <v>6410</v>
      </c>
      <c r="C1332" s="1">
        <f>IFERROR(__xludf.DUMMYFUNCTION("""COMPUTED_VALUE"""),6450.0)</f>
        <v>6450</v>
      </c>
      <c r="D1332" s="1">
        <f>IFERROR(__xludf.DUMMYFUNCTION("""COMPUTED_VALUE"""),6140.0)</f>
        <v>6140</v>
      </c>
      <c r="E1332" s="1">
        <f>IFERROR(__xludf.DUMMYFUNCTION("""COMPUTED_VALUE"""),6160.0)</f>
        <v>6160</v>
      </c>
      <c r="F1332" s="1">
        <f>IFERROR(__xludf.DUMMYFUNCTION("""COMPUTED_VALUE"""),158232.0)</f>
        <v>158232</v>
      </c>
    </row>
    <row r="1333">
      <c r="A1333" s="2">
        <f>IFERROR(__xludf.DUMMYFUNCTION("""COMPUTED_VALUE"""),42885.64583333333)</f>
        <v>42885.64583</v>
      </c>
      <c r="B1333" s="1">
        <f>IFERROR(__xludf.DUMMYFUNCTION("""COMPUTED_VALUE"""),6160.0)</f>
        <v>6160</v>
      </c>
      <c r="C1333" s="1">
        <f>IFERROR(__xludf.DUMMYFUNCTION("""COMPUTED_VALUE"""),6290.0)</f>
        <v>6290</v>
      </c>
      <c r="D1333" s="1">
        <f>IFERROR(__xludf.DUMMYFUNCTION("""COMPUTED_VALUE"""),6110.0)</f>
        <v>6110</v>
      </c>
      <c r="E1333" s="1">
        <f>IFERROR(__xludf.DUMMYFUNCTION("""COMPUTED_VALUE"""),6230.0)</f>
        <v>6230</v>
      </c>
      <c r="F1333" s="1">
        <f>IFERROR(__xludf.DUMMYFUNCTION("""COMPUTED_VALUE"""),66872.0)</f>
        <v>66872</v>
      </c>
    </row>
    <row r="1334">
      <c r="A1334" s="2">
        <f>IFERROR(__xludf.DUMMYFUNCTION("""COMPUTED_VALUE"""),42886.64583333333)</f>
        <v>42886.64583</v>
      </c>
      <c r="B1334" s="1">
        <f>IFERROR(__xludf.DUMMYFUNCTION("""COMPUTED_VALUE"""),6260.0)</f>
        <v>6260</v>
      </c>
      <c r="C1334" s="1">
        <f>IFERROR(__xludf.DUMMYFUNCTION("""COMPUTED_VALUE"""),6320.0)</f>
        <v>6320</v>
      </c>
      <c r="D1334" s="1">
        <f>IFERROR(__xludf.DUMMYFUNCTION("""COMPUTED_VALUE"""),6180.0)</f>
        <v>6180</v>
      </c>
      <c r="E1334" s="1">
        <f>IFERROR(__xludf.DUMMYFUNCTION("""COMPUTED_VALUE"""),6280.0)</f>
        <v>6280</v>
      </c>
      <c r="F1334" s="1">
        <f>IFERROR(__xludf.DUMMYFUNCTION("""COMPUTED_VALUE"""),62710.0)</f>
        <v>62710</v>
      </c>
    </row>
    <row r="1335">
      <c r="A1335" s="2">
        <f>IFERROR(__xludf.DUMMYFUNCTION("""COMPUTED_VALUE"""),42887.64583333333)</f>
        <v>42887.64583</v>
      </c>
      <c r="B1335" s="1">
        <f>IFERROR(__xludf.DUMMYFUNCTION("""COMPUTED_VALUE"""),6340.0)</f>
        <v>6340</v>
      </c>
      <c r="C1335" s="1">
        <f>IFERROR(__xludf.DUMMYFUNCTION("""COMPUTED_VALUE"""),6340.0)</f>
        <v>6340</v>
      </c>
      <c r="D1335" s="1">
        <f>IFERROR(__xludf.DUMMYFUNCTION("""COMPUTED_VALUE"""),6200.0)</f>
        <v>6200</v>
      </c>
      <c r="E1335" s="1">
        <f>IFERROR(__xludf.DUMMYFUNCTION("""COMPUTED_VALUE"""),6300.0)</f>
        <v>6300</v>
      </c>
      <c r="F1335" s="1">
        <f>IFERROR(__xludf.DUMMYFUNCTION("""COMPUTED_VALUE"""),52782.0)</f>
        <v>52782</v>
      </c>
    </row>
    <row r="1336">
      <c r="A1336" s="2">
        <f>IFERROR(__xludf.DUMMYFUNCTION("""COMPUTED_VALUE"""),42888.64583333333)</f>
        <v>42888.64583</v>
      </c>
      <c r="B1336" s="1">
        <f>IFERROR(__xludf.DUMMYFUNCTION("""COMPUTED_VALUE"""),6310.0)</f>
        <v>6310</v>
      </c>
      <c r="C1336" s="1">
        <f>IFERROR(__xludf.DUMMYFUNCTION("""COMPUTED_VALUE"""),6450.0)</f>
        <v>6450</v>
      </c>
      <c r="D1336" s="1">
        <f>IFERROR(__xludf.DUMMYFUNCTION("""COMPUTED_VALUE"""),6250.0)</f>
        <v>6250</v>
      </c>
      <c r="E1336" s="1">
        <f>IFERROR(__xludf.DUMMYFUNCTION("""COMPUTED_VALUE"""),6360.0)</f>
        <v>6360</v>
      </c>
      <c r="F1336" s="1">
        <f>IFERROR(__xludf.DUMMYFUNCTION("""COMPUTED_VALUE"""),108587.0)</f>
        <v>108587</v>
      </c>
    </row>
    <row r="1337">
      <c r="A1337" s="2">
        <f>IFERROR(__xludf.DUMMYFUNCTION("""COMPUTED_VALUE"""),42891.64583333333)</f>
        <v>42891.64583</v>
      </c>
      <c r="B1337" s="1">
        <f>IFERROR(__xludf.DUMMYFUNCTION("""COMPUTED_VALUE"""),6390.0)</f>
        <v>6390</v>
      </c>
      <c r="C1337" s="1">
        <f>IFERROR(__xludf.DUMMYFUNCTION("""COMPUTED_VALUE"""),6390.0)</f>
        <v>6390</v>
      </c>
      <c r="D1337" s="1">
        <f>IFERROR(__xludf.DUMMYFUNCTION("""COMPUTED_VALUE"""),6260.0)</f>
        <v>6260</v>
      </c>
      <c r="E1337" s="1">
        <f>IFERROR(__xludf.DUMMYFUNCTION("""COMPUTED_VALUE"""),6300.0)</f>
        <v>6300</v>
      </c>
      <c r="F1337" s="1">
        <f>IFERROR(__xludf.DUMMYFUNCTION("""COMPUTED_VALUE"""),54981.0)</f>
        <v>54981</v>
      </c>
    </row>
    <row r="1338">
      <c r="A1338" s="2">
        <f>IFERROR(__xludf.DUMMYFUNCTION("""COMPUTED_VALUE"""),42893.64583333333)</f>
        <v>42893.64583</v>
      </c>
      <c r="B1338" s="1">
        <f>IFERROR(__xludf.DUMMYFUNCTION("""COMPUTED_VALUE"""),6270.0)</f>
        <v>6270</v>
      </c>
      <c r="C1338" s="1">
        <f>IFERROR(__xludf.DUMMYFUNCTION("""COMPUTED_VALUE"""),6300.0)</f>
        <v>6300</v>
      </c>
      <c r="D1338" s="1">
        <f>IFERROR(__xludf.DUMMYFUNCTION("""COMPUTED_VALUE"""),6210.0)</f>
        <v>6210</v>
      </c>
      <c r="E1338" s="1">
        <f>IFERROR(__xludf.DUMMYFUNCTION("""COMPUTED_VALUE"""),6270.0)</f>
        <v>6270</v>
      </c>
      <c r="F1338" s="1">
        <f>IFERROR(__xludf.DUMMYFUNCTION("""COMPUTED_VALUE"""),33077.0)</f>
        <v>33077</v>
      </c>
    </row>
    <row r="1339">
      <c r="A1339" s="2">
        <f>IFERROR(__xludf.DUMMYFUNCTION("""COMPUTED_VALUE"""),42894.64583333333)</f>
        <v>42894.64583</v>
      </c>
      <c r="B1339" s="1">
        <f>IFERROR(__xludf.DUMMYFUNCTION("""COMPUTED_VALUE"""),6240.0)</f>
        <v>6240</v>
      </c>
      <c r="C1339" s="1">
        <f>IFERROR(__xludf.DUMMYFUNCTION("""COMPUTED_VALUE"""),6270.0)</f>
        <v>6270</v>
      </c>
      <c r="D1339" s="1">
        <f>IFERROR(__xludf.DUMMYFUNCTION("""COMPUTED_VALUE"""),6190.0)</f>
        <v>6190</v>
      </c>
      <c r="E1339" s="1">
        <f>IFERROR(__xludf.DUMMYFUNCTION("""COMPUTED_VALUE"""),6210.0)</f>
        <v>6210</v>
      </c>
      <c r="F1339" s="1">
        <f>IFERROR(__xludf.DUMMYFUNCTION("""COMPUTED_VALUE"""),35283.0)</f>
        <v>35283</v>
      </c>
    </row>
    <row r="1340">
      <c r="A1340" s="2">
        <f>IFERROR(__xludf.DUMMYFUNCTION("""COMPUTED_VALUE"""),42895.64583333333)</f>
        <v>42895.64583</v>
      </c>
      <c r="B1340" s="1">
        <f>IFERROR(__xludf.DUMMYFUNCTION("""COMPUTED_VALUE"""),6220.0)</f>
        <v>6220</v>
      </c>
      <c r="C1340" s="1">
        <f>IFERROR(__xludf.DUMMYFUNCTION("""COMPUTED_VALUE"""),6310.0)</f>
        <v>6310</v>
      </c>
      <c r="D1340" s="1">
        <f>IFERROR(__xludf.DUMMYFUNCTION("""COMPUTED_VALUE"""),6210.0)</f>
        <v>6210</v>
      </c>
      <c r="E1340" s="1">
        <f>IFERROR(__xludf.DUMMYFUNCTION("""COMPUTED_VALUE"""),6260.0)</f>
        <v>6260</v>
      </c>
      <c r="F1340" s="1">
        <f>IFERROR(__xludf.DUMMYFUNCTION("""COMPUTED_VALUE"""),38254.0)</f>
        <v>38254</v>
      </c>
    </row>
    <row r="1341">
      <c r="A1341" s="2">
        <f>IFERROR(__xludf.DUMMYFUNCTION("""COMPUTED_VALUE"""),42898.64583333333)</f>
        <v>42898.64583</v>
      </c>
      <c r="B1341" s="1">
        <f>IFERROR(__xludf.DUMMYFUNCTION("""COMPUTED_VALUE"""),6250.0)</f>
        <v>6250</v>
      </c>
      <c r="C1341" s="1">
        <f>IFERROR(__xludf.DUMMYFUNCTION("""COMPUTED_VALUE"""),6310.0)</f>
        <v>6310</v>
      </c>
      <c r="D1341" s="1">
        <f>IFERROR(__xludf.DUMMYFUNCTION("""COMPUTED_VALUE"""),6170.0)</f>
        <v>6170</v>
      </c>
      <c r="E1341" s="1">
        <f>IFERROR(__xludf.DUMMYFUNCTION("""COMPUTED_VALUE"""),6230.0)</f>
        <v>6230</v>
      </c>
      <c r="F1341" s="1">
        <f>IFERROR(__xludf.DUMMYFUNCTION("""COMPUTED_VALUE"""),28223.0)</f>
        <v>28223</v>
      </c>
    </row>
    <row r="1342">
      <c r="A1342" s="2">
        <f>IFERROR(__xludf.DUMMYFUNCTION("""COMPUTED_VALUE"""),42899.64583333333)</f>
        <v>42899.64583</v>
      </c>
      <c r="B1342" s="1">
        <f>IFERROR(__xludf.DUMMYFUNCTION("""COMPUTED_VALUE"""),6280.0)</f>
        <v>6280</v>
      </c>
      <c r="C1342" s="1">
        <f>IFERROR(__xludf.DUMMYFUNCTION("""COMPUTED_VALUE"""),6310.0)</f>
        <v>6310</v>
      </c>
      <c r="D1342" s="1">
        <f>IFERROR(__xludf.DUMMYFUNCTION("""COMPUTED_VALUE"""),6230.0)</f>
        <v>6230</v>
      </c>
      <c r="E1342" s="1">
        <f>IFERROR(__xludf.DUMMYFUNCTION("""COMPUTED_VALUE"""),6290.0)</f>
        <v>6290</v>
      </c>
      <c r="F1342" s="1">
        <f>IFERROR(__xludf.DUMMYFUNCTION("""COMPUTED_VALUE"""),45929.0)</f>
        <v>45929</v>
      </c>
    </row>
    <row r="1343">
      <c r="A1343" s="2">
        <f>IFERROR(__xludf.DUMMYFUNCTION("""COMPUTED_VALUE"""),42900.64583333333)</f>
        <v>42900.64583</v>
      </c>
      <c r="B1343" s="1">
        <f>IFERROR(__xludf.DUMMYFUNCTION("""COMPUTED_VALUE"""),6330.0)</f>
        <v>6330</v>
      </c>
      <c r="C1343" s="1">
        <f>IFERROR(__xludf.DUMMYFUNCTION("""COMPUTED_VALUE"""),6330.0)</f>
        <v>6330</v>
      </c>
      <c r="D1343" s="1">
        <f>IFERROR(__xludf.DUMMYFUNCTION("""COMPUTED_VALUE"""),6240.0)</f>
        <v>6240</v>
      </c>
      <c r="E1343" s="1">
        <f>IFERROR(__xludf.DUMMYFUNCTION("""COMPUTED_VALUE"""),6260.0)</f>
        <v>6260</v>
      </c>
      <c r="F1343" s="1">
        <f>IFERROR(__xludf.DUMMYFUNCTION("""COMPUTED_VALUE"""),27132.0)</f>
        <v>27132</v>
      </c>
    </row>
    <row r="1344">
      <c r="A1344" s="2">
        <f>IFERROR(__xludf.DUMMYFUNCTION("""COMPUTED_VALUE"""),42901.64583333333)</f>
        <v>42901.64583</v>
      </c>
      <c r="B1344" s="1">
        <f>IFERROR(__xludf.DUMMYFUNCTION("""COMPUTED_VALUE"""),6250.0)</f>
        <v>6250</v>
      </c>
      <c r="C1344" s="1">
        <f>IFERROR(__xludf.DUMMYFUNCTION("""COMPUTED_VALUE"""),6300.0)</f>
        <v>6300</v>
      </c>
      <c r="D1344" s="1">
        <f>IFERROR(__xludf.DUMMYFUNCTION("""COMPUTED_VALUE"""),6070.0)</f>
        <v>6070</v>
      </c>
      <c r="E1344" s="1">
        <f>IFERROR(__xludf.DUMMYFUNCTION("""COMPUTED_VALUE"""),6240.0)</f>
        <v>6240</v>
      </c>
      <c r="F1344" s="1">
        <f>IFERROR(__xludf.DUMMYFUNCTION("""COMPUTED_VALUE"""),63175.0)</f>
        <v>63175</v>
      </c>
    </row>
    <row r="1345">
      <c r="A1345" s="2">
        <f>IFERROR(__xludf.DUMMYFUNCTION("""COMPUTED_VALUE"""),42905.64583333333)</f>
        <v>42905.64583</v>
      </c>
      <c r="B1345" s="1">
        <f>IFERROR(__xludf.DUMMYFUNCTION("""COMPUTED_VALUE"""),6220.0)</f>
        <v>6220</v>
      </c>
      <c r="C1345" s="1">
        <f>IFERROR(__xludf.DUMMYFUNCTION("""COMPUTED_VALUE"""),6220.0)</f>
        <v>6220</v>
      </c>
      <c r="D1345" s="1">
        <f>IFERROR(__xludf.DUMMYFUNCTION("""COMPUTED_VALUE"""),6140.0)</f>
        <v>6140</v>
      </c>
      <c r="E1345" s="1">
        <f>IFERROR(__xludf.DUMMYFUNCTION("""COMPUTED_VALUE"""),6140.0)</f>
        <v>6140</v>
      </c>
      <c r="F1345" s="1">
        <f>IFERROR(__xludf.DUMMYFUNCTION("""COMPUTED_VALUE"""),35418.0)</f>
        <v>35418</v>
      </c>
    </row>
    <row r="1346">
      <c r="A1346" s="2">
        <f>IFERROR(__xludf.DUMMYFUNCTION("""COMPUTED_VALUE"""),42906.64583333333)</f>
        <v>42906.64583</v>
      </c>
      <c r="B1346" s="1">
        <f>IFERROR(__xludf.DUMMYFUNCTION("""COMPUTED_VALUE"""),6210.0)</f>
        <v>6210</v>
      </c>
      <c r="C1346" s="1">
        <f>IFERROR(__xludf.DUMMYFUNCTION("""COMPUTED_VALUE"""),6210.0)</f>
        <v>6210</v>
      </c>
      <c r="D1346" s="1">
        <f>IFERROR(__xludf.DUMMYFUNCTION("""COMPUTED_VALUE"""),6050.0)</f>
        <v>6050</v>
      </c>
      <c r="E1346" s="1">
        <f>IFERROR(__xludf.DUMMYFUNCTION("""COMPUTED_VALUE"""),6080.0)</f>
        <v>6080</v>
      </c>
      <c r="F1346" s="1">
        <f>IFERROR(__xludf.DUMMYFUNCTION("""COMPUTED_VALUE"""),37068.0)</f>
        <v>37068</v>
      </c>
    </row>
    <row r="1347">
      <c r="A1347" s="2">
        <f>IFERROR(__xludf.DUMMYFUNCTION("""COMPUTED_VALUE"""),42907.64583333333)</f>
        <v>42907.64583</v>
      </c>
      <c r="B1347" s="1">
        <f>IFERROR(__xludf.DUMMYFUNCTION("""COMPUTED_VALUE"""),6140.0)</f>
        <v>6140</v>
      </c>
      <c r="C1347" s="1">
        <f>IFERROR(__xludf.DUMMYFUNCTION("""COMPUTED_VALUE"""),6140.0)</f>
        <v>6140</v>
      </c>
      <c r="D1347" s="1">
        <f>IFERROR(__xludf.DUMMYFUNCTION("""COMPUTED_VALUE"""),6000.0)</f>
        <v>6000</v>
      </c>
      <c r="E1347" s="1">
        <f>IFERROR(__xludf.DUMMYFUNCTION("""COMPUTED_VALUE"""),6100.0)</f>
        <v>6100</v>
      </c>
      <c r="F1347" s="1">
        <f>IFERROR(__xludf.DUMMYFUNCTION("""COMPUTED_VALUE"""),39246.0)</f>
        <v>39246</v>
      </c>
    </row>
    <row r="1348">
      <c r="A1348" s="2">
        <f>IFERROR(__xludf.DUMMYFUNCTION("""COMPUTED_VALUE"""),42908.64583333333)</f>
        <v>42908.64583</v>
      </c>
      <c r="B1348" s="1">
        <f>IFERROR(__xludf.DUMMYFUNCTION("""COMPUTED_VALUE"""),6080.0)</f>
        <v>6080</v>
      </c>
      <c r="C1348" s="1">
        <f>IFERROR(__xludf.DUMMYFUNCTION("""COMPUTED_VALUE"""),6100.0)</f>
        <v>6100</v>
      </c>
      <c r="D1348" s="1">
        <f>IFERROR(__xludf.DUMMYFUNCTION("""COMPUTED_VALUE"""),6010.0)</f>
        <v>6010</v>
      </c>
      <c r="E1348" s="1">
        <f>IFERROR(__xludf.DUMMYFUNCTION("""COMPUTED_VALUE"""),6020.0)</f>
        <v>6020</v>
      </c>
      <c r="F1348" s="1">
        <f>IFERROR(__xludf.DUMMYFUNCTION("""COMPUTED_VALUE"""),24510.0)</f>
        <v>24510</v>
      </c>
    </row>
    <row r="1349">
      <c r="A1349" s="2">
        <f>IFERROR(__xludf.DUMMYFUNCTION("""COMPUTED_VALUE"""),42909.64583333333)</f>
        <v>42909.64583</v>
      </c>
      <c r="B1349" s="1">
        <f>IFERROR(__xludf.DUMMYFUNCTION("""COMPUTED_VALUE"""),6020.0)</f>
        <v>6020</v>
      </c>
      <c r="C1349" s="1">
        <f>IFERROR(__xludf.DUMMYFUNCTION("""COMPUTED_VALUE"""),6080.0)</f>
        <v>6080</v>
      </c>
      <c r="D1349" s="1">
        <f>IFERROR(__xludf.DUMMYFUNCTION("""COMPUTED_VALUE"""),5970.0)</f>
        <v>5970</v>
      </c>
      <c r="E1349" s="1">
        <f>IFERROR(__xludf.DUMMYFUNCTION("""COMPUTED_VALUE"""),6040.0)</f>
        <v>6040</v>
      </c>
      <c r="F1349" s="1">
        <f>IFERROR(__xludf.DUMMYFUNCTION("""COMPUTED_VALUE"""),46676.0)</f>
        <v>46676</v>
      </c>
    </row>
    <row r="1350">
      <c r="A1350" s="2">
        <f>IFERROR(__xludf.DUMMYFUNCTION("""COMPUTED_VALUE"""),42912.64583333333)</f>
        <v>42912.64583</v>
      </c>
      <c r="B1350" s="1">
        <f>IFERROR(__xludf.DUMMYFUNCTION("""COMPUTED_VALUE"""),6030.0)</f>
        <v>6030</v>
      </c>
      <c r="C1350" s="1">
        <f>IFERROR(__xludf.DUMMYFUNCTION("""COMPUTED_VALUE"""),6060.0)</f>
        <v>6060</v>
      </c>
      <c r="D1350" s="1">
        <f>IFERROR(__xludf.DUMMYFUNCTION("""COMPUTED_VALUE"""),5950.0)</f>
        <v>5950</v>
      </c>
      <c r="E1350" s="1">
        <f>IFERROR(__xludf.DUMMYFUNCTION("""COMPUTED_VALUE"""),5980.0)</f>
        <v>5980</v>
      </c>
      <c r="F1350" s="1">
        <f>IFERROR(__xludf.DUMMYFUNCTION("""COMPUTED_VALUE"""),40307.0)</f>
        <v>40307</v>
      </c>
    </row>
    <row r="1351">
      <c r="A1351" s="2">
        <f>IFERROR(__xludf.DUMMYFUNCTION("""COMPUTED_VALUE"""),42913.64583333333)</f>
        <v>42913.64583</v>
      </c>
      <c r="B1351" s="1">
        <f>IFERROR(__xludf.DUMMYFUNCTION("""COMPUTED_VALUE"""),5950.0)</f>
        <v>5950</v>
      </c>
      <c r="C1351" s="1">
        <f>IFERROR(__xludf.DUMMYFUNCTION("""COMPUTED_VALUE"""),6050.0)</f>
        <v>6050</v>
      </c>
      <c r="D1351" s="1">
        <f>IFERROR(__xludf.DUMMYFUNCTION("""COMPUTED_VALUE"""),5950.0)</f>
        <v>5950</v>
      </c>
      <c r="E1351" s="1">
        <f>IFERROR(__xludf.DUMMYFUNCTION("""COMPUTED_VALUE"""),6030.0)</f>
        <v>6030</v>
      </c>
      <c r="F1351" s="1">
        <f>IFERROR(__xludf.DUMMYFUNCTION("""COMPUTED_VALUE"""),25025.0)</f>
        <v>25025</v>
      </c>
    </row>
    <row r="1352">
      <c r="A1352" s="2">
        <f>IFERROR(__xludf.DUMMYFUNCTION("""COMPUTED_VALUE"""),42914.64583333333)</f>
        <v>42914.64583</v>
      </c>
      <c r="B1352" s="1">
        <f>IFERROR(__xludf.DUMMYFUNCTION("""COMPUTED_VALUE"""),6000.0)</f>
        <v>6000</v>
      </c>
      <c r="C1352" s="1">
        <f>IFERROR(__xludf.DUMMYFUNCTION("""COMPUTED_VALUE"""),6050.0)</f>
        <v>6050</v>
      </c>
      <c r="D1352" s="1">
        <f>IFERROR(__xludf.DUMMYFUNCTION("""COMPUTED_VALUE"""),5980.0)</f>
        <v>5980</v>
      </c>
      <c r="E1352" s="1">
        <f>IFERROR(__xludf.DUMMYFUNCTION("""COMPUTED_VALUE"""),5980.0)</f>
        <v>5980</v>
      </c>
      <c r="F1352" s="1">
        <f>IFERROR(__xludf.DUMMYFUNCTION("""COMPUTED_VALUE"""),29841.0)</f>
        <v>29841</v>
      </c>
    </row>
    <row r="1353">
      <c r="A1353" s="2">
        <f>IFERROR(__xludf.DUMMYFUNCTION("""COMPUTED_VALUE"""),42915.64583333333)</f>
        <v>42915.64583</v>
      </c>
      <c r="B1353" s="1">
        <f>IFERROR(__xludf.DUMMYFUNCTION("""COMPUTED_VALUE"""),5940.0)</f>
        <v>5940</v>
      </c>
      <c r="C1353" s="1">
        <f>IFERROR(__xludf.DUMMYFUNCTION("""COMPUTED_VALUE"""),6040.0)</f>
        <v>6040</v>
      </c>
      <c r="D1353" s="1">
        <f>IFERROR(__xludf.DUMMYFUNCTION("""COMPUTED_VALUE"""),5940.0)</f>
        <v>5940</v>
      </c>
      <c r="E1353" s="1">
        <f>IFERROR(__xludf.DUMMYFUNCTION("""COMPUTED_VALUE"""),5940.0)</f>
        <v>5940</v>
      </c>
      <c r="F1353" s="1">
        <f>IFERROR(__xludf.DUMMYFUNCTION("""COMPUTED_VALUE"""),24215.0)</f>
        <v>24215</v>
      </c>
    </row>
    <row r="1354">
      <c r="A1354" s="2">
        <f>IFERROR(__xludf.DUMMYFUNCTION("""COMPUTED_VALUE"""),42916.64583333333)</f>
        <v>42916.64583</v>
      </c>
      <c r="B1354" s="1">
        <f>IFERROR(__xludf.DUMMYFUNCTION("""COMPUTED_VALUE"""),5960.0)</f>
        <v>5960</v>
      </c>
      <c r="C1354" s="1">
        <f>IFERROR(__xludf.DUMMYFUNCTION("""COMPUTED_VALUE"""),6010.0)</f>
        <v>6010</v>
      </c>
      <c r="D1354" s="1">
        <f>IFERROR(__xludf.DUMMYFUNCTION("""COMPUTED_VALUE"""),5950.0)</f>
        <v>5950</v>
      </c>
      <c r="E1354" s="1">
        <f>IFERROR(__xludf.DUMMYFUNCTION("""COMPUTED_VALUE"""),5980.0)</f>
        <v>5980</v>
      </c>
      <c r="F1354" s="1">
        <f>IFERROR(__xludf.DUMMYFUNCTION("""COMPUTED_VALUE"""),13653.0)</f>
        <v>13653</v>
      </c>
    </row>
    <row r="1355">
      <c r="A1355" s="2">
        <f>IFERROR(__xludf.DUMMYFUNCTION("""COMPUTED_VALUE"""),42919.64583333333)</f>
        <v>42919.64583</v>
      </c>
      <c r="B1355" s="1">
        <f>IFERROR(__xludf.DUMMYFUNCTION("""COMPUTED_VALUE"""),5990.0)</f>
        <v>5990</v>
      </c>
      <c r="C1355" s="1">
        <f>IFERROR(__xludf.DUMMYFUNCTION("""COMPUTED_VALUE"""),6160.0)</f>
        <v>6160</v>
      </c>
      <c r="D1355" s="1">
        <f>IFERROR(__xludf.DUMMYFUNCTION("""COMPUTED_VALUE"""),5990.0)</f>
        <v>5990</v>
      </c>
      <c r="E1355" s="1">
        <f>IFERROR(__xludf.DUMMYFUNCTION("""COMPUTED_VALUE"""),6100.0)</f>
        <v>6100</v>
      </c>
      <c r="F1355" s="1">
        <f>IFERROR(__xludf.DUMMYFUNCTION("""COMPUTED_VALUE"""),56755.0)</f>
        <v>56755</v>
      </c>
    </row>
    <row r="1356">
      <c r="A1356" s="2">
        <f>IFERROR(__xludf.DUMMYFUNCTION("""COMPUTED_VALUE"""),42920.64583333333)</f>
        <v>42920.64583</v>
      </c>
      <c r="B1356" s="1">
        <f>IFERROR(__xludf.DUMMYFUNCTION("""COMPUTED_VALUE"""),6120.0)</f>
        <v>6120</v>
      </c>
      <c r="C1356" s="1">
        <f>IFERROR(__xludf.DUMMYFUNCTION("""COMPUTED_VALUE"""),6150.0)</f>
        <v>6150</v>
      </c>
      <c r="D1356" s="1">
        <f>IFERROR(__xludf.DUMMYFUNCTION("""COMPUTED_VALUE"""),6030.0)</f>
        <v>6030</v>
      </c>
      <c r="E1356" s="1">
        <f>IFERROR(__xludf.DUMMYFUNCTION("""COMPUTED_VALUE"""),6050.0)</f>
        <v>6050</v>
      </c>
      <c r="F1356" s="1">
        <f>IFERROR(__xludf.DUMMYFUNCTION("""COMPUTED_VALUE"""),23743.0)</f>
        <v>23743</v>
      </c>
    </row>
    <row r="1357">
      <c r="A1357" s="2">
        <f>IFERROR(__xludf.DUMMYFUNCTION("""COMPUTED_VALUE"""),42921.64583333333)</f>
        <v>42921.64583</v>
      </c>
      <c r="B1357" s="1">
        <f>IFERROR(__xludf.DUMMYFUNCTION("""COMPUTED_VALUE"""),6120.0)</f>
        <v>6120</v>
      </c>
      <c r="C1357" s="1">
        <f>IFERROR(__xludf.DUMMYFUNCTION("""COMPUTED_VALUE"""),6120.0)</f>
        <v>6120</v>
      </c>
      <c r="D1357" s="1">
        <f>IFERROR(__xludf.DUMMYFUNCTION("""COMPUTED_VALUE"""),6020.0)</f>
        <v>6020</v>
      </c>
      <c r="E1357" s="1">
        <f>IFERROR(__xludf.DUMMYFUNCTION("""COMPUTED_VALUE"""),6080.0)</f>
        <v>6080</v>
      </c>
      <c r="F1357" s="1">
        <f>IFERROR(__xludf.DUMMYFUNCTION("""COMPUTED_VALUE"""),16676.0)</f>
        <v>16676</v>
      </c>
    </row>
    <row r="1358">
      <c r="A1358" s="2">
        <f>IFERROR(__xludf.DUMMYFUNCTION("""COMPUTED_VALUE"""),42922.64583333333)</f>
        <v>42922.64583</v>
      </c>
      <c r="B1358" s="1">
        <f>IFERROR(__xludf.DUMMYFUNCTION("""COMPUTED_VALUE"""),6130.0)</f>
        <v>6130</v>
      </c>
      <c r="C1358" s="1">
        <f>IFERROR(__xludf.DUMMYFUNCTION("""COMPUTED_VALUE"""),6130.0)</f>
        <v>6130</v>
      </c>
      <c r="D1358" s="1">
        <f>IFERROR(__xludf.DUMMYFUNCTION("""COMPUTED_VALUE"""),6050.0)</f>
        <v>6050</v>
      </c>
      <c r="E1358" s="1">
        <f>IFERROR(__xludf.DUMMYFUNCTION("""COMPUTED_VALUE"""),6060.0)</f>
        <v>6060</v>
      </c>
      <c r="F1358" s="1">
        <f>IFERROR(__xludf.DUMMYFUNCTION("""COMPUTED_VALUE"""),20346.0)</f>
        <v>20346</v>
      </c>
    </row>
    <row r="1359">
      <c r="A1359" s="2">
        <f>IFERROR(__xludf.DUMMYFUNCTION("""COMPUTED_VALUE"""),42923.64583333333)</f>
        <v>42923.64583</v>
      </c>
      <c r="B1359" s="1">
        <f>IFERROR(__xludf.DUMMYFUNCTION("""COMPUTED_VALUE"""),6090.0)</f>
        <v>6090</v>
      </c>
      <c r="C1359" s="1">
        <f>IFERROR(__xludf.DUMMYFUNCTION("""COMPUTED_VALUE"""),6090.0)</f>
        <v>6090</v>
      </c>
      <c r="D1359" s="1">
        <f>IFERROR(__xludf.DUMMYFUNCTION("""COMPUTED_VALUE"""),6010.0)</f>
        <v>6010</v>
      </c>
      <c r="E1359" s="1">
        <f>IFERROR(__xludf.DUMMYFUNCTION("""COMPUTED_VALUE"""),6040.0)</f>
        <v>6040</v>
      </c>
      <c r="F1359" s="1">
        <f>IFERROR(__xludf.DUMMYFUNCTION("""COMPUTED_VALUE"""),13209.0)</f>
        <v>13209</v>
      </c>
    </row>
    <row r="1360">
      <c r="A1360" s="2">
        <f>IFERROR(__xludf.DUMMYFUNCTION("""COMPUTED_VALUE"""),42926.64583333333)</f>
        <v>42926.64583</v>
      </c>
      <c r="B1360" s="1">
        <f>IFERROR(__xludf.DUMMYFUNCTION("""COMPUTED_VALUE"""),6010.0)</f>
        <v>6010</v>
      </c>
      <c r="C1360" s="1">
        <f>IFERROR(__xludf.DUMMYFUNCTION("""COMPUTED_VALUE"""),6080.0)</f>
        <v>6080</v>
      </c>
      <c r="D1360" s="1">
        <f>IFERROR(__xludf.DUMMYFUNCTION("""COMPUTED_VALUE"""),6000.0)</f>
        <v>6000</v>
      </c>
      <c r="E1360" s="1">
        <f>IFERROR(__xludf.DUMMYFUNCTION("""COMPUTED_VALUE"""),6000.0)</f>
        <v>6000</v>
      </c>
      <c r="F1360" s="1">
        <f>IFERROR(__xludf.DUMMYFUNCTION("""COMPUTED_VALUE"""),16972.0)</f>
        <v>16972</v>
      </c>
    </row>
    <row r="1361">
      <c r="A1361" s="2">
        <f>IFERROR(__xludf.DUMMYFUNCTION("""COMPUTED_VALUE"""),42927.64583333333)</f>
        <v>42927.64583</v>
      </c>
      <c r="B1361" s="1">
        <f>IFERROR(__xludf.DUMMYFUNCTION("""COMPUTED_VALUE"""),6000.0)</f>
        <v>6000</v>
      </c>
      <c r="C1361" s="1">
        <f>IFERROR(__xludf.DUMMYFUNCTION("""COMPUTED_VALUE"""),6340.0)</f>
        <v>6340</v>
      </c>
      <c r="D1361" s="1">
        <f>IFERROR(__xludf.DUMMYFUNCTION("""COMPUTED_VALUE"""),5950.0)</f>
        <v>5950</v>
      </c>
      <c r="E1361" s="1">
        <f>IFERROR(__xludf.DUMMYFUNCTION("""COMPUTED_VALUE"""),6140.0)</f>
        <v>6140</v>
      </c>
      <c r="F1361" s="1">
        <f>IFERROR(__xludf.DUMMYFUNCTION("""COMPUTED_VALUE"""),208856.0)</f>
        <v>208856</v>
      </c>
    </row>
    <row r="1362">
      <c r="A1362" s="2">
        <f>IFERROR(__xludf.DUMMYFUNCTION("""COMPUTED_VALUE"""),42928.64583333333)</f>
        <v>42928.64583</v>
      </c>
      <c r="B1362" s="1">
        <f>IFERROR(__xludf.DUMMYFUNCTION("""COMPUTED_VALUE"""),6150.0)</f>
        <v>6150</v>
      </c>
      <c r="C1362" s="1">
        <f>IFERROR(__xludf.DUMMYFUNCTION("""COMPUTED_VALUE"""),6170.0)</f>
        <v>6170</v>
      </c>
      <c r="D1362" s="1">
        <f>IFERROR(__xludf.DUMMYFUNCTION("""COMPUTED_VALUE"""),6030.0)</f>
        <v>6030</v>
      </c>
      <c r="E1362" s="1">
        <f>IFERROR(__xludf.DUMMYFUNCTION("""COMPUTED_VALUE"""),6110.0)</f>
        <v>6110</v>
      </c>
      <c r="F1362" s="1">
        <f>IFERROR(__xludf.DUMMYFUNCTION("""COMPUTED_VALUE"""),26810.0)</f>
        <v>26810</v>
      </c>
    </row>
    <row r="1363">
      <c r="A1363" s="2">
        <f>IFERROR(__xludf.DUMMYFUNCTION("""COMPUTED_VALUE"""),42929.64583333333)</f>
        <v>42929.64583</v>
      </c>
      <c r="B1363" s="1">
        <f>IFERROR(__xludf.DUMMYFUNCTION("""COMPUTED_VALUE"""),6140.0)</f>
        <v>6140</v>
      </c>
      <c r="C1363" s="1">
        <f>IFERROR(__xludf.DUMMYFUNCTION("""COMPUTED_VALUE"""),6140.0)</f>
        <v>6140</v>
      </c>
      <c r="D1363" s="1">
        <f>IFERROR(__xludf.DUMMYFUNCTION("""COMPUTED_VALUE"""),6030.0)</f>
        <v>6030</v>
      </c>
      <c r="E1363" s="1">
        <f>IFERROR(__xludf.DUMMYFUNCTION("""COMPUTED_VALUE"""),6070.0)</f>
        <v>6070</v>
      </c>
      <c r="F1363" s="1">
        <f>IFERROR(__xludf.DUMMYFUNCTION("""COMPUTED_VALUE"""),23977.0)</f>
        <v>23977</v>
      </c>
    </row>
    <row r="1364">
      <c r="A1364" s="2">
        <f>IFERROR(__xludf.DUMMYFUNCTION("""COMPUTED_VALUE"""),42930.64583333333)</f>
        <v>42930.64583</v>
      </c>
      <c r="B1364" s="1">
        <f>IFERROR(__xludf.DUMMYFUNCTION("""COMPUTED_VALUE"""),6080.0)</f>
        <v>6080</v>
      </c>
      <c r="C1364" s="1">
        <f>IFERROR(__xludf.DUMMYFUNCTION("""COMPUTED_VALUE"""),6150.0)</f>
        <v>6150</v>
      </c>
      <c r="D1364" s="1">
        <f>IFERROR(__xludf.DUMMYFUNCTION("""COMPUTED_VALUE"""),6040.0)</f>
        <v>6040</v>
      </c>
      <c r="E1364" s="1">
        <f>IFERROR(__xludf.DUMMYFUNCTION("""COMPUTED_VALUE"""),6060.0)</f>
        <v>6060</v>
      </c>
      <c r="F1364" s="1">
        <f>IFERROR(__xludf.DUMMYFUNCTION("""COMPUTED_VALUE"""),14075.0)</f>
        <v>14075</v>
      </c>
    </row>
    <row r="1365">
      <c r="A1365" s="2">
        <f>IFERROR(__xludf.DUMMYFUNCTION("""COMPUTED_VALUE"""),42933.64583333333)</f>
        <v>42933.64583</v>
      </c>
      <c r="B1365" s="1">
        <f>IFERROR(__xludf.DUMMYFUNCTION("""COMPUTED_VALUE"""),6050.0)</f>
        <v>6050</v>
      </c>
      <c r="C1365" s="1">
        <f>IFERROR(__xludf.DUMMYFUNCTION("""COMPUTED_VALUE"""),6110.0)</f>
        <v>6110</v>
      </c>
      <c r="D1365" s="1">
        <f>IFERROR(__xludf.DUMMYFUNCTION("""COMPUTED_VALUE"""),6050.0)</f>
        <v>6050</v>
      </c>
      <c r="E1365" s="1">
        <f>IFERROR(__xludf.DUMMYFUNCTION("""COMPUTED_VALUE"""),6080.0)</f>
        <v>6080</v>
      </c>
      <c r="F1365" s="1">
        <f>IFERROR(__xludf.DUMMYFUNCTION("""COMPUTED_VALUE"""),8359.0)</f>
        <v>8359</v>
      </c>
    </row>
    <row r="1366">
      <c r="A1366" s="2">
        <f>IFERROR(__xludf.DUMMYFUNCTION("""COMPUTED_VALUE"""),42934.64583333333)</f>
        <v>42934.64583</v>
      </c>
      <c r="B1366" s="1">
        <f>IFERROR(__xludf.DUMMYFUNCTION("""COMPUTED_VALUE"""),6080.0)</f>
        <v>6080</v>
      </c>
      <c r="C1366" s="1">
        <f>IFERROR(__xludf.DUMMYFUNCTION("""COMPUTED_VALUE"""),6150.0)</f>
        <v>6150</v>
      </c>
      <c r="D1366" s="1">
        <f>IFERROR(__xludf.DUMMYFUNCTION("""COMPUTED_VALUE"""),6070.0)</f>
        <v>6070</v>
      </c>
      <c r="E1366" s="1">
        <f>IFERROR(__xludf.DUMMYFUNCTION("""COMPUTED_VALUE"""),6140.0)</f>
        <v>6140</v>
      </c>
      <c r="F1366" s="1">
        <f>IFERROR(__xludf.DUMMYFUNCTION("""COMPUTED_VALUE"""),16088.0)</f>
        <v>16088</v>
      </c>
    </row>
    <row r="1367">
      <c r="A1367" s="2">
        <f>IFERROR(__xludf.DUMMYFUNCTION("""COMPUTED_VALUE"""),42935.64583333333)</f>
        <v>42935.64583</v>
      </c>
      <c r="B1367" s="1">
        <f>IFERROR(__xludf.DUMMYFUNCTION("""COMPUTED_VALUE"""),6150.0)</f>
        <v>6150</v>
      </c>
      <c r="C1367" s="1">
        <f>IFERROR(__xludf.DUMMYFUNCTION("""COMPUTED_VALUE"""),6260.0)</f>
        <v>6260</v>
      </c>
      <c r="D1367" s="1">
        <f>IFERROR(__xludf.DUMMYFUNCTION("""COMPUTED_VALUE"""),6140.0)</f>
        <v>6140</v>
      </c>
      <c r="E1367" s="1">
        <f>IFERROR(__xludf.DUMMYFUNCTION("""COMPUTED_VALUE"""),6250.0)</f>
        <v>6250</v>
      </c>
      <c r="F1367" s="1">
        <f>IFERROR(__xludf.DUMMYFUNCTION("""COMPUTED_VALUE"""),70679.0)</f>
        <v>70679</v>
      </c>
    </row>
    <row r="1368">
      <c r="A1368" s="2">
        <f>IFERROR(__xludf.DUMMYFUNCTION("""COMPUTED_VALUE"""),42936.64583333333)</f>
        <v>42936.64583</v>
      </c>
      <c r="B1368" s="1">
        <f>IFERROR(__xludf.DUMMYFUNCTION("""COMPUTED_VALUE"""),6280.0)</f>
        <v>6280</v>
      </c>
      <c r="C1368" s="1">
        <f>IFERROR(__xludf.DUMMYFUNCTION("""COMPUTED_VALUE"""),6280.0)</f>
        <v>6280</v>
      </c>
      <c r="D1368" s="1">
        <f>IFERROR(__xludf.DUMMYFUNCTION("""COMPUTED_VALUE"""),6200.0)</f>
        <v>6200</v>
      </c>
      <c r="E1368" s="1">
        <f>IFERROR(__xludf.DUMMYFUNCTION("""COMPUTED_VALUE"""),6220.0)</f>
        <v>6220</v>
      </c>
      <c r="F1368" s="1">
        <f>IFERROR(__xludf.DUMMYFUNCTION("""COMPUTED_VALUE"""),25619.0)</f>
        <v>25619</v>
      </c>
    </row>
    <row r="1369">
      <c r="A1369" s="2">
        <f>IFERROR(__xludf.DUMMYFUNCTION("""COMPUTED_VALUE"""),42937.64583333333)</f>
        <v>42937.64583</v>
      </c>
      <c r="B1369" s="1">
        <f>IFERROR(__xludf.DUMMYFUNCTION("""COMPUTED_VALUE"""),6220.0)</f>
        <v>6220</v>
      </c>
      <c r="C1369" s="1">
        <f>IFERROR(__xludf.DUMMYFUNCTION("""COMPUTED_VALUE"""),6270.0)</f>
        <v>6270</v>
      </c>
      <c r="D1369" s="1">
        <f>IFERROR(__xludf.DUMMYFUNCTION("""COMPUTED_VALUE"""),6190.0)</f>
        <v>6190</v>
      </c>
      <c r="E1369" s="1">
        <f>IFERROR(__xludf.DUMMYFUNCTION("""COMPUTED_VALUE"""),6250.0)</f>
        <v>6250</v>
      </c>
      <c r="F1369" s="1">
        <f>IFERROR(__xludf.DUMMYFUNCTION("""COMPUTED_VALUE"""),31389.0)</f>
        <v>31389</v>
      </c>
    </row>
    <row r="1370">
      <c r="A1370" s="2">
        <f>IFERROR(__xludf.DUMMYFUNCTION("""COMPUTED_VALUE"""),42940.64583333333)</f>
        <v>42940.64583</v>
      </c>
      <c r="B1370" s="1">
        <f>IFERROR(__xludf.DUMMYFUNCTION("""COMPUTED_VALUE"""),6300.0)</f>
        <v>6300</v>
      </c>
      <c r="C1370" s="1">
        <f>IFERROR(__xludf.DUMMYFUNCTION("""COMPUTED_VALUE"""),6300.0)</f>
        <v>6300</v>
      </c>
      <c r="D1370" s="1">
        <f>IFERROR(__xludf.DUMMYFUNCTION("""COMPUTED_VALUE"""),6150.0)</f>
        <v>6150</v>
      </c>
      <c r="E1370" s="1">
        <f>IFERROR(__xludf.DUMMYFUNCTION("""COMPUTED_VALUE"""),6230.0)</f>
        <v>6230</v>
      </c>
      <c r="F1370" s="1">
        <f>IFERROR(__xludf.DUMMYFUNCTION("""COMPUTED_VALUE"""),29689.0)</f>
        <v>29689</v>
      </c>
    </row>
    <row r="1371">
      <c r="A1371" s="2">
        <f>IFERROR(__xludf.DUMMYFUNCTION("""COMPUTED_VALUE"""),42941.64583333333)</f>
        <v>42941.64583</v>
      </c>
      <c r="B1371" s="1">
        <f>IFERROR(__xludf.DUMMYFUNCTION("""COMPUTED_VALUE"""),6200.0)</f>
        <v>6200</v>
      </c>
      <c r="C1371" s="1">
        <f>IFERROR(__xludf.DUMMYFUNCTION("""COMPUTED_VALUE"""),6270.0)</f>
        <v>6270</v>
      </c>
      <c r="D1371" s="1">
        <f>IFERROR(__xludf.DUMMYFUNCTION("""COMPUTED_VALUE"""),6180.0)</f>
        <v>6180</v>
      </c>
      <c r="E1371" s="1">
        <f>IFERROR(__xludf.DUMMYFUNCTION("""COMPUTED_VALUE"""),6250.0)</f>
        <v>6250</v>
      </c>
      <c r="F1371" s="1">
        <f>IFERROR(__xludf.DUMMYFUNCTION("""COMPUTED_VALUE"""),46851.0)</f>
        <v>46851</v>
      </c>
    </row>
    <row r="1372">
      <c r="A1372" s="2">
        <f>IFERROR(__xludf.DUMMYFUNCTION("""COMPUTED_VALUE"""),42942.64583333333)</f>
        <v>42942.64583</v>
      </c>
      <c r="B1372" s="1">
        <f>IFERROR(__xludf.DUMMYFUNCTION("""COMPUTED_VALUE"""),6250.0)</f>
        <v>6250</v>
      </c>
      <c r="C1372" s="1">
        <f>IFERROR(__xludf.DUMMYFUNCTION("""COMPUTED_VALUE"""),6360.0)</f>
        <v>6360</v>
      </c>
      <c r="D1372" s="1">
        <f>IFERROR(__xludf.DUMMYFUNCTION("""COMPUTED_VALUE"""),6200.0)</f>
        <v>6200</v>
      </c>
      <c r="E1372" s="1">
        <f>IFERROR(__xludf.DUMMYFUNCTION("""COMPUTED_VALUE"""),6230.0)</f>
        <v>6230</v>
      </c>
      <c r="F1372" s="1">
        <f>IFERROR(__xludf.DUMMYFUNCTION("""COMPUTED_VALUE"""),44877.0)</f>
        <v>44877</v>
      </c>
    </row>
    <row r="1373">
      <c r="A1373" s="2">
        <f>IFERROR(__xludf.DUMMYFUNCTION("""COMPUTED_VALUE"""),42943.64583333333)</f>
        <v>42943.64583</v>
      </c>
      <c r="B1373" s="1">
        <f>IFERROR(__xludf.DUMMYFUNCTION("""COMPUTED_VALUE"""),6230.0)</f>
        <v>6230</v>
      </c>
      <c r="C1373" s="1">
        <f>IFERROR(__xludf.DUMMYFUNCTION("""COMPUTED_VALUE"""),6310.0)</f>
        <v>6310</v>
      </c>
      <c r="D1373" s="1">
        <f>IFERROR(__xludf.DUMMYFUNCTION("""COMPUTED_VALUE"""),6170.0)</f>
        <v>6170</v>
      </c>
      <c r="E1373" s="1">
        <f>IFERROR(__xludf.DUMMYFUNCTION("""COMPUTED_VALUE"""),6300.0)</f>
        <v>6300</v>
      </c>
      <c r="F1373" s="1">
        <f>IFERROR(__xludf.DUMMYFUNCTION("""COMPUTED_VALUE"""),44715.0)</f>
        <v>44715</v>
      </c>
    </row>
    <row r="1374">
      <c r="A1374" s="2">
        <f>IFERROR(__xludf.DUMMYFUNCTION("""COMPUTED_VALUE"""),42944.64583333333)</f>
        <v>42944.64583</v>
      </c>
      <c r="B1374" s="1">
        <f>IFERROR(__xludf.DUMMYFUNCTION("""COMPUTED_VALUE"""),6300.0)</f>
        <v>6300</v>
      </c>
      <c r="C1374" s="1">
        <f>IFERROR(__xludf.DUMMYFUNCTION("""COMPUTED_VALUE"""),6300.0)</f>
        <v>6300</v>
      </c>
      <c r="D1374" s="1">
        <f>IFERROR(__xludf.DUMMYFUNCTION("""COMPUTED_VALUE"""),6160.0)</f>
        <v>6160</v>
      </c>
      <c r="E1374" s="1">
        <f>IFERROR(__xludf.DUMMYFUNCTION("""COMPUTED_VALUE"""),6220.0)</f>
        <v>6220</v>
      </c>
      <c r="F1374" s="1">
        <f>IFERROR(__xludf.DUMMYFUNCTION("""COMPUTED_VALUE"""),15545.0)</f>
        <v>15545</v>
      </c>
    </row>
    <row r="1375">
      <c r="A1375" s="2">
        <f>IFERROR(__xludf.DUMMYFUNCTION("""COMPUTED_VALUE"""),42947.64583333333)</f>
        <v>42947.64583</v>
      </c>
      <c r="B1375" s="1">
        <f>IFERROR(__xludf.DUMMYFUNCTION("""COMPUTED_VALUE"""),6180.0)</f>
        <v>6180</v>
      </c>
      <c r="C1375" s="1">
        <f>IFERROR(__xludf.DUMMYFUNCTION("""COMPUTED_VALUE"""),6250.0)</f>
        <v>6250</v>
      </c>
      <c r="D1375" s="1">
        <f>IFERROR(__xludf.DUMMYFUNCTION("""COMPUTED_VALUE"""),6120.0)</f>
        <v>6120</v>
      </c>
      <c r="E1375" s="1">
        <f>IFERROR(__xludf.DUMMYFUNCTION("""COMPUTED_VALUE"""),6190.0)</f>
        <v>6190</v>
      </c>
      <c r="F1375" s="1">
        <f>IFERROR(__xludf.DUMMYFUNCTION("""COMPUTED_VALUE"""),19854.0)</f>
        <v>19854</v>
      </c>
    </row>
    <row r="1376">
      <c r="A1376" s="2">
        <f>IFERROR(__xludf.DUMMYFUNCTION("""COMPUTED_VALUE"""),42948.64583333333)</f>
        <v>42948.64583</v>
      </c>
      <c r="B1376" s="1">
        <f>IFERROR(__xludf.DUMMYFUNCTION("""COMPUTED_VALUE"""),6150.0)</f>
        <v>6150</v>
      </c>
      <c r="C1376" s="1">
        <f>IFERROR(__xludf.DUMMYFUNCTION("""COMPUTED_VALUE"""),6270.0)</f>
        <v>6270</v>
      </c>
      <c r="D1376" s="1">
        <f>IFERROR(__xludf.DUMMYFUNCTION("""COMPUTED_VALUE"""),6140.0)</f>
        <v>6140</v>
      </c>
      <c r="E1376" s="1">
        <f>IFERROR(__xludf.DUMMYFUNCTION("""COMPUTED_VALUE"""),6190.0)</f>
        <v>6190</v>
      </c>
      <c r="F1376" s="1">
        <f>IFERROR(__xludf.DUMMYFUNCTION("""COMPUTED_VALUE"""),15372.0)</f>
        <v>15372</v>
      </c>
    </row>
    <row r="1377">
      <c r="A1377" s="2">
        <f>IFERROR(__xludf.DUMMYFUNCTION("""COMPUTED_VALUE"""),42949.64583333333)</f>
        <v>42949.64583</v>
      </c>
      <c r="B1377" s="1">
        <f>IFERROR(__xludf.DUMMYFUNCTION("""COMPUTED_VALUE"""),6190.0)</f>
        <v>6190</v>
      </c>
      <c r="C1377" s="1">
        <f>IFERROR(__xludf.DUMMYFUNCTION("""COMPUTED_VALUE"""),6320.0)</f>
        <v>6320</v>
      </c>
      <c r="D1377" s="1">
        <f>IFERROR(__xludf.DUMMYFUNCTION("""COMPUTED_VALUE"""),6190.0)</f>
        <v>6190</v>
      </c>
      <c r="E1377" s="1">
        <f>IFERROR(__xludf.DUMMYFUNCTION("""COMPUTED_VALUE"""),6250.0)</f>
        <v>6250</v>
      </c>
      <c r="F1377" s="1">
        <f>IFERROR(__xludf.DUMMYFUNCTION("""COMPUTED_VALUE"""),20710.0)</f>
        <v>20710</v>
      </c>
    </row>
    <row r="1378">
      <c r="A1378" s="2">
        <f>IFERROR(__xludf.DUMMYFUNCTION("""COMPUTED_VALUE"""),42950.64583333333)</f>
        <v>42950.64583</v>
      </c>
      <c r="B1378" s="1">
        <f>IFERROR(__xludf.DUMMYFUNCTION("""COMPUTED_VALUE"""),6210.0)</f>
        <v>6210</v>
      </c>
      <c r="C1378" s="1">
        <f>IFERROR(__xludf.DUMMYFUNCTION("""COMPUTED_VALUE"""),6270.0)</f>
        <v>6270</v>
      </c>
      <c r="D1378" s="1">
        <f>IFERROR(__xludf.DUMMYFUNCTION("""COMPUTED_VALUE"""),6160.0)</f>
        <v>6160</v>
      </c>
      <c r="E1378" s="1">
        <f>IFERROR(__xludf.DUMMYFUNCTION("""COMPUTED_VALUE"""),6160.0)</f>
        <v>6160</v>
      </c>
      <c r="F1378" s="1">
        <f>IFERROR(__xludf.DUMMYFUNCTION("""COMPUTED_VALUE"""),21609.0)</f>
        <v>21609</v>
      </c>
    </row>
    <row r="1379">
      <c r="A1379" s="2">
        <f>IFERROR(__xludf.DUMMYFUNCTION("""COMPUTED_VALUE"""),42951.64583333333)</f>
        <v>42951.64583</v>
      </c>
      <c r="B1379" s="1">
        <f>IFERROR(__xludf.DUMMYFUNCTION("""COMPUTED_VALUE"""),6140.0)</f>
        <v>6140</v>
      </c>
      <c r="C1379" s="1">
        <f>IFERROR(__xludf.DUMMYFUNCTION("""COMPUTED_VALUE"""),6140.0)</f>
        <v>6140</v>
      </c>
      <c r="D1379" s="1">
        <f>IFERROR(__xludf.DUMMYFUNCTION("""COMPUTED_VALUE"""),6020.0)</f>
        <v>6020</v>
      </c>
      <c r="E1379" s="1">
        <f>IFERROR(__xludf.DUMMYFUNCTION("""COMPUTED_VALUE"""),6110.0)</f>
        <v>6110</v>
      </c>
      <c r="F1379" s="1">
        <f>IFERROR(__xludf.DUMMYFUNCTION("""COMPUTED_VALUE"""),33643.0)</f>
        <v>33643</v>
      </c>
    </row>
    <row r="1380">
      <c r="A1380" s="2">
        <f>IFERROR(__xludf.DUMMYFUNCTION("""COMPUTED_VALUE"""),42954.64583333333)</f>
        <v>42954.64583</v>
      </c>
      <c r="B1380" s="1">
        <f>IFERROR(__xludf.DUMMYFUNCTION("""COMPUTED_VALUE"""),6090.0)</f>
        <v>6090</v>
      </c>
      <c r="C1380" s="1">
        <f>IFERROR(__xludf.DUMMYFUNCTION("""COMPUTED_VALUE"""),6160.0)</f>
        <v>6160</v>
      </c>
      <c r="D1380" s="1">
        <f>IFERROR(__xludf.DUMMYFUNCTION("""COMPUTED_VALUE"""),6030.0)</f>
        <v>6030</v>
      </c>
      <c r="E1380" s="1">
        <f>IFERROR(__xludf.DUMMYFUNCTION("""COMPUTED_VALUE"""),6070.0)</f>
        <v>6070</v>
      </c>
      <c r="F1380" s="1">
        <f>IFERROR(__xludf.DUMMYFUNCTION("""COMPUTED_VALUE"""),14222.0)</f>
        <v>14222</v>
      </c>
    </row>
    <row r="1381">
      <c r="A1381" s="2">
        <f>IFERROR(__xludf.DUMMYFUNCTION("""COMPUTED_VALUE"""),42955.64583333333)</f>
        <v>42955.64583</v>
      </c>
      <c r="B1381" s="1">
        <f>IFERROR(__xludf.DUMMYFUNCTION("""COMPUTED_VALUE"""),6070.0)</f>
        <v>6070</v>
      </c>
      <c r="C1381" s="1">
        <f>IFERROR(__xludf.DUMMYFUNCTION("""COMPUTED_VALUE"""),6100.0)</f>
        <v>6100</v>
      </c>
      <c r="D1381" s="1">
        <f>IFERROR(__xludf.DUMMYFUNCTION("""COMPUTED_VALUE"""),6020.0)</f>
        <v>6020</v>
      </c>
      <c r="E1381" s="1">
        <f>IFERROR(__xludf.DUMMYFUNCTION("""COMPUTED_VALUE"""),6050.0)</f>
        <v>6050</v>
      </c>
      <c r="F1381" s="1">
        <f>IFERROR(__xludf.DUMMYFUNCTION("""COMPUTED_VALUE"""),19598.0)</f>
        <v>19598</v>
      </c>
    </row>
    <row r="1382">
      <c r="A1382" s="2">
        <f>IFERROR(__xludf.DUMMYFUNCTION("""COMPUTED_VALUE"""),42956.64583333333)</f>
        <v>42956.64583</v>
      </c>
      <c r="B1382" s="1">
        <f>IFERROR(__xludf.DUMMYFUNCTION("""COMPUTED_VALUE"""),6090.0)</f>
        <v>6090</v>
      </c>
      <c r="C1382" s="1">
        <f>IFERROR(__xludf.DUMMYFUNCTION("""COMPUTED_VALUE"""),6090.0)</f>
        <v>6090</v>
      </c>
      <c r="D1382" s="1">
        <f>IFERROR(__xludf.DUMMYFUNCTION("""COMPUTED_VALUE"""),6020.0)</f>
        <v>6020</v>
      </c>
      <c r="E1382" s="1">
        <f>IFERROR(__xludf.DUMMYFUNCTION("""COMPUTED_VALUE"""),6020.0)</f>
        <v>6020</v>
      </c>
      <c r="F1382" s="1">
        <f>IFERROR(__xludf.DUMMYFUNCTION("""COMPUTED_VALUE"""),14261.0)</f>
        <v>14261</v>
      </c>
    </row>
    <row r="1383">
      <c r="A1383" s="2">
        <f>IFERROR(__xludf.DUMMYFUNCTION("""COMPUTED_VALUE"""),42957.64583333333)</f>
        <v>42957.64583</v>
      </c>
      <c r="B1383" s="1">
        <f>IFERROR(__xludf.DUMMYFUNCTION("""COMPUTED_VALUE"""),6000.0)</f>
        <v>6000</v>
      </c>
      <c r="C1383" s="1">
        <f>IFERROR(__xludf.DUMMYFUNCTION("""COMPUTED_VALUE"""),6050.0)</f>
        <v>6050</v>
      </c>
      <c r="D1383" s="1">
        <f>IFERROR(__xludf.DUMMYFUNCTION("""COMPUTED_VALUE"""),5980.0)</f>
        <v>5980</v>
      </c>
      <c r="E1383" s="1">
        <f>IFERROR(__xludf.DUMMYFUNCTION("""COMPUTED_VALUE"""),6050.0)</f>
        <v>6050</v>
      </c>
      <c r="F1383" s="1">
        <f>IFERROR(__xludf.DUMMYFUNCTION("""COMPUTED_VALUE"""),21139.0)</f>
        <v>21139</v>
      </c>
    </row>
    <row r="1384">
      <c r="A1384" s="2">
        <f>IFERROR(__xludf.DUMMYFUNCTION("""COMPUTED_VALUE"""),42958.64583333333)</f>
        <v>42958.64583</v>
      </c>
      <c r="B1384" s="1">
        <f>IFERROR(__xludf.DUMMYFUNCTION("""COMPUTED_VALUE"""),5970.0)</f>
        <v>5970</v>
      </c>
      <c r="C1384" s="1">
        <f>IFERROR(__xludf.DUMMYFUNCTION("""COMPUTED_VALUE"""),6010.0)</f>
        <v>6010</v>
      </c>
      <c r="D1384" s="1">
        <f>IFERROR(__xludf.DUMMYFUNCTION("""COMPUTED_VALUE"""),5890.0)</f>
        <v>5890</v>
      </c>
      <c r="E1384" s="1">
        <f>IFERROR(__xludf.DUMMYFUNCTION("""COMPUTED_VALUE"""),5910.0)</f>
        <v>5910</v>
      </c>
      <c r="F1384" s="1">
        <f>IFERROR(__xludf.DUMMYFUNCTION("""COMPUTED_VALUE"""),41979.0)</f>
        <v>41979</v>
      </c>
    </row>
    <row r="1385">
      <c r="A1385" s="2">
        <f>IFERROR(__xludf.DUMMYFUNCTION("""COMPUTED_VALUE"""),42961.64583333333)</f>
        <v>42961.64583</v>
      </c>
      <c r="B1385" s="1">
        <f>IFERROR(__xludf.DUMMYFUNCTION("""COMPUTED_VALUE"""),5900.0)</f>
        <v>5900</v>
      </c>
      <c r="C1385" s="1">
        <f>IFERROR(__xludf.DUMMYFUNCTION("""COMPUTED_VALUE"""),6020.0)</f>
        <v>6020</v>
      </c>
      <c r="D1385" s="1">
        <f>IFERROR(__xludf.DUMMYFUNCTION("""COMPUTED_VALUE"""),5890.0)</f>
        <v>5890</v>
      </c>
      <c r="E1385" s="1">
        <f>IFERROR(__xludf.DUMMYFUNCTION("""COMPUTED_VALUE"""),5950.0)</f>
        <v>5950</v>
      </c>
      <c r="F1385" s="1">
        <f>IFERROR(__xludf.DUMMYFUNCTION("""COMPUTED_VALUE"""),14399.0)</f>
        <v>14399</v>
      </c>
    </row>
    <row r="1386">
      <c r="A1386" s="2">
        <f>IFERROR(__xludf.DUMMYFUNCTION("""COMPUTED_VALUE"""),42963.64583333333)</f>
        <v>42963.64583</v>
      </c>
      <c r="B1386" s="1">
        <f>IFERROR(__xludf.DUMMYFUNCTION("""COMPUTED_VALUE"""),6040.0)</f>
        <v>6040</v>
      </c>
      <c r="C1386" s="1">
        <f>IFERROR(__xludf.DUMMYFUNCTION("""COMPUTED_VALUE"""),6050.0)</f>
        <v>6050</v>
      </c>
      <c r="D1386" s="1">
        <f>IFERROR(__xludf.DUMMYFUNCTION("""COMPUTED_VALUE"""),5950.0)</f>
        <v>5950</v>
      </c>
      <c r="E1386" s="1">
        <f>IFERROR(__xludf.DUMMYFUNCTION("""COMPUTED_VALUE"""),6050.0)</f>
        <v>6050</v>
      </c>
      <c r="F1386" s="1">
        <f>IFERROR(__xludf.DUMMYFUNCTION("""COMPUTED_VALUE"""),28423.0)</f>
        <v>28423</v>
      </c>
    </row>
    <row r="1387">
      <c r="A1387" s="2">
        <f>IFERROR(__xludf.DUMMYFUNCTION("""COMPUTED_VALUE"""),42964.64583333333)</f>
        <v>42964.64583</v>
      </c>
      <c r="B1387" s="1">
        <f>IFERROR(__xludf.DUMMYFUNCTION("""COMPUTED_VALUE"""),6060.0)</f>
        <v>6060</v>
      </c>
      <c r="C1387" s="1">
        <f>IFERROR(__xludf.DUMMYFUNCTION("""COMPUTED_VALUE"""),6060.0)</f>
        <v>6060</v>
      </c>
      <c r="D1387" s="1">
        <f>IFERROR(__xludf.DUMMYFUNCTION("""COMPUTED_VALUE"""),5960.0)</f>
        <v>5960</v>
      </c>
      <c r="E1387" s="1">
        <f>IFERROR(__xludf.DUMMYFUNCTION("""COMPUTED_VALUE"""),5980.0)</f>
        <v>5980</v>
      </c>
      <c r="F1387" s="1">
        <f>IFERROR(__xludf.DUMMYFUNCTION("""COMPUTED_VALUE"""),27433.0)</f>
        <v>27433</v>
      </c>
    </row>
    <row r="1388">
      <c r="A1388" s="2">
        <f>IFERROR(__xludf.DUMMYFUNCTION("""COMPUTED_VALUE"""),42965.64583333333)</f>
        <v>42965.64583</v>
      </c>
      <c r="B1388" s="1">
        <f>IFERROR(__xludf.DUMMYFUNCTION("""COMPUTED_VALUE"""),6010.0)</f>
        <v>6010</v>
      </c>
      <c r="C1388" s="1">
        <f>IFERROR(__xludf.DUMMYFUNCTION("""COMPUTED_VALUE"""),6020.0)</f>
        <v>6020</v>
      </c>
      <c r="D1388" s="1">
        <f>IFERROR(__xludf.DUMMYFUNCTION("""COMPUTED_VALUE"""),5950.0)</f>
        <v>5950</v>
      </c>
      <c r="E1388" s="1">
        <f>IFERROR(__xludf.DUMMYFUNCTION("""COMPUTED_VALUE"""),5990.0)</f>
        <v>5990</v>
      </c>
      <c r="F1388" s="1">
        <f>IFERROR(__xludf.DUMMYFUNCTION("""COMPUTED_VALUE"""),18600.0)</f>
        <v>18600</v>
      </c>
    </row>
    <row r="1389">
      <c r="A1389" s="2">
        <f>IFERROR(__xludf.DUMMYFUNCTION("""COMPUTED_VALUE"""),42968.64583333333)</f>
        <v>42968.64583</v>
      </c>
      <c r="B1389" s="1">
        <f>IFERROR(__xludf.DUMMYFUNCTION("""COMPUTED_VALUE"""),5990.0)</f>
        <v>5990</v>
      </c>
      <c r="C1389" s="1">
        <f>IFERROR(__xludf.DUMMYFUNCTION("""COMPUTED_VALUE"""),6050.0)</f>
        <v>6050</v>
      </c>
      <c r="D1389" s="1">
        <f>IFERROR(__xludf.DUMMYFUNCTION("""COMPUTED_VALUE"""),5960.0)</f>
        <v>5960</v>
      </c>
      <c r="E1389" s="1">
        <f>IFERROR(__xludf.DUMMYFUNCTION("""COMPUTED_VALUE"""),6030.0)</f>
        <v>6030</v>
      </c>
      <c r="F1389" s="1">
        <f>IFERROR(__xludf.DUMMYFUNCTION("""COMPUTED_VALUE"""),22310.0)</f>
        <v>22310</v>
      </c>
    </row>
    <row r="1390">
      <c r="A1390" s="2">
        <f>IFERROR(__xludf.DUMMYFUNCTION("""COMPUTED_VALUE"""),42969.64583333333)</f>
        <v>42969.64583</v>
      </c>
      <c r="B1390" s="1">
        <f>IFERROR(__xludf.DUMMYFUNCTION("""COMPUTED_VALUE"""),6100.0)</f>
        <v>6100</v>
      </c>
      <c r="C1390" s="1">
        <f>IFERROR(__xludf.DUMMYFUNCTION("""COMPUTED_VALUE"""),6100.0)</f>
        <v>6100</v>
      </c>
      <c r="D1390" s="1">
        <f>IFERROR(__xludf.DUMMYFUNCTION("""COMPUTED_VALUE"""),6020.0)</f>
        <v>6020</v>
      </c>
      <c r="E1390" s="1">
        <f>IFERROR(__xludf.DUMMYFUNCTION("""COMPUTED_VALUE"""),6050.0)</f>
        <v>6050</v>
      </c>
      <c r="F1390" s="1">
        <f>IFERROR(__xludf.DUMMYFUNCTION("""COMPUTED_VALUE"""),13388.0)</f>
        <v>13388</v>
      </c>
    </row>
    <row r="1391">
      <c r="A1391" s="2">
        <f>IFERROR(__xludf.DUMMYFUNCTION("""COMPUTED_VALUE"""),42970.64583333333)</f>
        <v>42970.64583</v>
      </c>
      <c r="B1391" s="1">
        <f>IFERROR(__xludf.DUMMYFUNCTION("""COMPUTED_VALUE"""),6050.0)</f>
        <v>6050</v>
      </c>
      <c r="C1391" s="1">
        <f>IFERROR(__xludf.DUMMYFUNCTION("""COMPUTED_VALUE"""),6100.0)</f>
        <v>6100</v>
      </c>
      <c r="D1391" s="1">
        <f>IFERROR(__xludf.DUMMYFUNCTION("""COMPUTED_VALUE"""),6000.0)</f>
        <v>6000</v>
      </c>
      <c r="E1391" s="1">
        <f>IFERROR(__xludf.DUMMYFUNCTION("""COMPUTED_VALUE"""),6030.0)</f>
        <v>6030</v>
      </c>
      <c r="F1391" s="1">
        <f>IFERROR(__xludf.DUMMYFUNCTION("""COMPUTED_VALUE"""),23340.0)</f>
        <v>23340</v>
      </c>
    </row>
    <row r="1392">
      <c r="A1392" s="2">
        <f>IFERROR(__xludf.DUMMYFUNCTION("""COMPUTED_VALUE"""),42971.64583333333)</f>
        <v>42971.64583</v>
      </c>
      <c r="B1392" s="1">
        <f>IFERROR(__xludf.DUMMYFUNCTION("""COMPUTED_VALUE"""),6030.0)</f>
        <v>6030</v>
      </c>
      <c r="C1392" s="1">
        <f>IFERROR(__xludf.DUMMYFUNCTION("""COMPUTED_VALUE"""),6080.0)</f>
        <v>6080</v>
      </c>
      <c r="D1392" s="1">
        <f>IFERROR(__xludf.DUMMYFUNCTION("""COMPUTED_VALUE"""),6000.0)</f>
        <v>6000</v>
      </c>
      <c r="E1392" s="1">
        <f>IFERROR(__xludf.DUMMYFUNCTION("""COMPUTED_VALUE"""),6010.0)</f>
        <v>6010</v>
      </c>
      <c r="F1392" s="1">
        <f>IFERROR(__xludf.DUMMYFUNCTION("""COMPUTED_VALUE"""),15269.0)</f>
        <v>15269</v>
      </c>
    </row>
    <row r="1393">
      <c r="A1393" s="2">
        <f>IFERROR(__xludf.DUMMYFUNCTION("""COMPUTED_VALUE"""),42972.64583333333)</f>
        <v>42972.64583</v>
      </c>
      <c r="B1393" s="1">
        <f>IFERROR(__xludf.DUMMYFUNCTION("""COMPUTED_VALUE"""),6060.0)</f>
        <v>6060</v>
      </c>
      <c r="C1393" s="1">
        <f>IFERROR(__xludf.DUMMYFUNCTION("""COMPUTED_VALUE"""),6060.0)</f>
        <v>6060</v>
      </c>
      <c r="D1393" s="1">
        <f>IFERROR(__xludf.DUMMYFUNCTION("""COMPUTED_VALUE"""),5960.0)</f>
        <v>5960</v>
      </c>
      <c r="E1393" s="1">
        <f>IFERROR(__xludf.DUMMYFUNCTION("""COMPUTED_VALUE"""),6010.0)</f>
        <v>6010</v>
      </c>
      <c r="F1393" s="1">
        <f>IFERROR(__xludf.DUMMYFUNCTION("""COMPUTED_VALUE"""),11679.0)</f>
        <v>11679</v>
      </c>
    </row>
    <row r="1394">
      <c r="A1394" s="2">
        <f>IFERROR(__xludf.DUMMYFUNCTION("""COMPUTED_VALUE"""),42975.64583333333)</f>
        <v>42975.64583</v>
      </c>
      <c r="B1394" s="1">
        <f>IFERROR(__xludf.DUMMYFUNCTION("""COMPUTED_VALUE"""),5990.0)</f>
        <v>5990</v>
      </c>
      <c r="C1394" s="1">
        <f>IFERROR(__xludf.DUMMYFUNCTION("""COMPUTED_VALUE"""),6020.0)</f>
        <v>6020</v>
      </c>
      <c r="D1394" s="1">
        <f>IFERROR(__xludf.DUMMYFUNCTION("""COMPUTED_VALUE"""),5980.0)</f>
        <v>5980</v>
      </c>
      <c r="E1394" s="1">
        <f>IFERROR(__xludf.DUMMYFUNCTION("""COMPUTED_VALUE"""),6000.0)</f>
        <v>6000</v>
      </c>
      <c r="F1394" s="1">
        <f>IFERROR(__xludf.DUMMYFUNCTION("""COMPUTED_VALUE"""),11937.0)</f>
        <v>11937</v>
      </c>
    </row>
    <row r="1395">
      <c r="A1395" s="2">
        <f>IFERROR(__xludf.DUMMYFUNCTION("""COMPUTED_VALUE"""),42976.64583333333)</f>
        <v>42976.64583</v>
      </c>
      <c r="B1395" s="1">
        <f>IFERROR(__xludf.DUMMYFUNCTION("""COMPUTED_VALUE"""),6000.0)</f>
        <v>6000</v>
      </c>
      <c r="C1395" s="1">
        <f>IFERROR(__xludf.DUMMYFUNCTION("""COMPUTED_VALUE"""),6050.0)</f>
        <v>6050</v>
      </c>
      <c r="D1395" s="1">
        <f>IFERROR(__xludf.DUMMYFUNCTION("""COMPUTED_VALUE"""),5940.0)</f>
        <v>5940</v>
      </c>
      <c r="E1395" s="1">
        <f>IFERROR(__xludf.DUMMYFUNCTION("""COMPUTED_VALUE"""),5980.0)</f>
        <v>5980</v>
      </c>
      <c r="F1395" s="1">
        <f>IFERROR(__xludf.DUMMYFUNCTION("""COMPUTED_VALUE"""),8108.0)</f>
        <v>8108</v>
      </c>
    </row>
    <row r="1396">
      <c r="A1396" s="2">
        <f>IFERROR(__xludf.DUMMYFUNCTION("""COMPUTED_VALUE"""),42977.64583333333)</f>
        <v>42977.64583</v>
      </c>
      <c r="B1396" s="1">
        <f>IFERROR(__xludf.DUMMYFUNCTION("""COMPUTED_VALUE"""),5990.0)</f>
        <v>5990</v>
      </c>
      <c r="C1396" s="1">
        <f>IFERROR(__xludf.DUMMYFUNCTION("""COMPUTED_VALUE"""),6020.0)</f>
        <v>6020</v>
      </c>
      <c r="D1396" s="1">
        <f>IFERROR(__xludf.DUMMYFUNCTION("""COMPUTED_VALUE"""),5960.0)</f>
        <v>5960</v>
      </c>
      <c r="E1396" s="1">
        <f>IFERROR(__xludf.DUMMYFUNCTION("""COMPUTED_VALUE"""),6020.0)</f>
        <v>6020</v>
      </c>
      <c r="F1396" s="1">
        <f>IFERROR(__xludf.DUMMYFUNCTION("""COMPUTED_VALUE"""),12225.0)</f>
        <v>12225</v>
      </c>
    </row>
    <row r="1397">
      <c r="A1397" s="2">
        <f>IFERROR(__xludf.DUMMYFUNCTION("""COMPUTED_VALUE"""),42978.64583333333)</f>
        <v>42978.64583</v>
      </c>
      <c r="B1397" s="1">
        <f>IFERROR(__xludf.DUMMYFUNCTION("""COMPUTED_VALUE"""),6030.0)</f>
        <v>6030</v>
      </c>
      <c r="C1397" s="1">
        <f>IFERROR(__xludf.DUMMYFUNCTION("""COMPUTED_VALUE"""),6030.0)</f>
        <v>6030</v>
      </c>
      <c r="D1397" s="1">
        <f>IFERROR(__xludf.DUMMYFUNCTION("""COMPUTED_VALUE"""),5990.0)</f>
        <v>5990</v>
      </c>
      <c r="E1397" s="1">
        <f>IFERROR(__xludf.DUMMYFUNCTION("""COMPUTED_VALUE"""),6010.0)</f>
        <v>6010</v>
      </c>
      <c r="F1397" s="1">
        <f>IFERROR(__xludf.DUMMYFUNCTION("""COMPUTED_VALUE"""),10218.0)</f>
        <v>10218</v>
      </c>
    </row>
    <row r="1398">
      <c r="A1398" s="2">
        <f>IFERROR(__xludf.DUMMYFUNCTION("""COMPUTED_VALUE"""),42979.64583333333)</f>
        <v>42979.64583</v>
      </c>
      <c r="B1398" s="1">
        <f>IFERROR(__xludf.DUMMYFUNCTION("""COMPUTED_VALUE"""),6010.0)</f>
        <v>6010</v>
      </c>
      <c r="C1398" s="1">
        <f>IFERROR(__xludf.DUMMYFUNCTION("""COMPUTED_VALUE"""),6020.0)</f>
        <v>6020</v>
      </c>
      <c r="D1398" s="1">
        <f>IFERROR(__xludf.DUMMYFUNCTION("""COMPUTED_VALUE"""),5900.0)</f>
        <v>5900</v>
      </c>
      <c r="E1398" s="1">
        <f>IFERROR(__xludf.DUMMYFUNCTION("""COMPUTED_VALUE"""),5920.0)</f>
        <v>5920</v>
      </c>
      <c r="F1398" s="1">
        <f>IFERROR(__xludf.DUMMYFUNCTION("""COMPUTED_VALUE"""),45507.0)</f>
        <v>45507</v>
      </c>
    </row>
    <row r="1399">
      <c r="A1399" s="2">
        <f>IFERROR(__xludf.DUMMYFUNCTION("""COMPUTED_VALUE"""),42982.64583333333)</f>
        <v>42982.64583</v>
      </c>
      <c r="B1399" s="1">
        <f>IFERROR(__xludf.DUMMYFUNCTION("""COMPUTED_VALUE"""),5900.0)</f>
        <v>5900</v>
      </c>
      <c r="C1399" s="1">
        <f>IFERROR(__xludf.DUMMYFUNCTION("""COMPUTED_VALUE"""),6000.0)</f>
        <v>6000</v>
      </c>
      <c r="D1399" s="1">
        <f>IFERROR(__xludf.DUMMYFUNCTION("""COMPUTED_VALUE"""),5800.0)</f>
        <v>5800</v>
      </c>
      <c r="E1399" s="1">
        <f>IFERROR(__xludf.DUMMYFUNCTION("""COMPUTED_VALUE"""),5910.0)</f>
        <v>5910</v>
      </c>
      <c r="F1399" s="1">
        <f>IFERROR(__xludf.DUMMYFUNCTION("""COMPUTED_VALUE"""),38521.0)</f>
        <v>38521</v>
      </c>
    </row>
    <row r="1400">
      <c r="A1400" s="2">
        <f>IFERROR(__xludf.DUMMYFUNCTION("""COMPUTED_VALUE"""),42983.64583333333)</f>
        <v>42983.64583</v>
      </c>
      <c r="B1400" s="1">
        <f>IFERROR(__xludf.DUMMYFUNCTION("""COMPUTED_VALUE"""),5960.0)</f>
        <v>5960</v>
      </c>
      <c r="C1400" s="1">
        <f>IFERROR(__xludf.DUMMYFUNCTION("""COMPUTED_VALUE"""),5960.0)</f>
        <v>5960</v>
      </c>
      <c r="D1400" s="1">
        <f>IFERROR(__xludf.DUMMYFUNCTION("""COMPUTED_VALUE"""),5790.0)</f>
        <v>5790</v>
      </c>
      <c r="E1400" s="1">
        <f>IFERROR(__xludf.DUMMYFUNCTION("""COMPUTED_VALUE"""),5880.0)</f>
        <v>5880</v>
      </c>
      <c r="F1400" s="1">
        <f>IFERROR(__xludf.DUMMYFUNCTION("""COMPUTED_VALUE"""),44081.0)</f>
        <v>44081</v>
      </c>
    </row>
    <row r="1401">
      <c r="A1401" s="2">
        <f>IFERROR(__xludf.DUMMYFUNCTION("""COMPUTED_VALUE"""),42984.64583333333)</f>
        <v>42984.64583</v>
      </c>
      <c r="B1401" s="1">
        <f>IFERROR(__xludf.DUMMYFUNCTION("""COMPUTED_VALUE"""),5920.0)</f>
        <v>5920</v>
      </c>
      <c r="C1401" s="1">
        <f>IFERROR(__xludf.DUMMYFUNCTION("""COMPUTED_VALUE"""),5930.0)</f>
        <v>5930</v>
      </c>
      <c r="D1401" s="1">
        <f>IFERROR(__xludf.DUMMYFUNCTION("""COMPUTED_VALUE"""),5800.0)</f>
        <v>5800</v>
      </c>
      <c r="E1401" s="1">
        <f>IFERROR(__xludf.DUMMYFUNCTION("""COMPUTED_VALUE"""),5830.0)</f>
        <v>5830</v>
      </c>
      <c r="F1401" s="1">
        <f>IFERROR(__xludf.DUMMYFUNCTION("""COMPUTED_VALUE"""),30364.0)</f>
        <v>30364</v>
      </c>
    </row>
    <row r="1402">
      <c r="A1402" s="2">
        <f>IFERROR(__xludf.DUMMYFUNCTION("""COMPUTED_VALUE"""),42985.64583333333)</f>
        <v>42985.64583</v>
      </c>
      <c r="B1402" s="1">
        <f>IFERROR(__xludf.DUMMYFUNCTION("""COMPUTED_VALUE"""),5860.0)</f>
        <v>5860</v>
      </c>
      <c r="C1402" s="1">
        <f>IFERROR(__xludf.DUMMYFUNCTION("""COMPUTED_VALUE"""),5940.0)</f>
        <v>5940</v>
      </c>
      <c r="D1402" s="1">
        <f>IFERROR(__xludf.DUMMYFUNCTION("""COMPUTED_VALUE"""),5790.0)</f>
        <v>5790</v>
      </c>
      <c r="E1402" s="1">
        <f>IFERROR(__xludf.DUMMYFUNCTION("""COMPUTED_VALUE"""),5930.0)</f>
        <v>5930</v>
      </c>
      <c r="F1402" s="1">
        <f>IFERROR(__xludf.DUMMYFUNCTION("""COMPUTED_VALUE"""),21572.0)</f>
        <v>21572</v>
      </c>
    </row>
    <row r="1403">
      <c r="A1403" s="2">
        <f>IFERROR(__xludf.DUMMYFUNCTION("""COMPUTED_VALUE"""),42986.64583333333)</f>
        <v>42986.64583</v>
      </c>
      <c r="B1403" s="1">
        <f>IFERROR(__xludf.DUMMYFUNCTION("""COMPUTED_VALUE"""),5880.0)</f>
        <v>5880</v>
      </c>
      <c r="C1403" s="1">
        <f>IFERROR(__xludf.DUMMYFUNCTION("""COMPUTED_VALUE"""),5970.0)</f>
        <v>5970</v>
      </c>
      <c r="D1403" s="1">
        <f>IFERROR(__xludf.DUMMYFUNCTION("""COMPUTED_VALUE"""),5860.0)</f>
        <v>5860</v>
      </c>
      <c r="E1403" s="1">
        <f>IFERROR(__xludf.DUMMYFUNCTION("""COMPUTED_VALUE"""),5900.0)</f>
        <v>5900</v>
      </c>
      <c r="F1403" s="1">
        <f>IFERROR(__xludf.DUMMYFUNCTION("""COMPUTED_VALUE"""),19444.0)</f>
        <v>19444</v>
      </c>
    </row>
    <row r="1404">
      <c r="A1404" s="2">
        <f>IFERROR(__xludf.DUMMYFUNCTION("""COMPUTED_VALUE"""),42989.64583333333)</f>
        <v>42989.64583</v>
      </c>
      <c r="B1404" s="1">
        <f>IFERROR(__xludf.DUMMYFUNCTION("""COMPUTED_VALUE"""),5860.0)</f>
        <v>5860</v>
      </c>
      <c r="C1404" s="1">
        <f>IFERROR(__xludf.DUMMYFUNCTION("""COMPUTED_VALUE"""),5900.0)</f>
        <v>5900</v>
      </c>
      <c r="D1404" s="1">
        <f>IFERROR(__xludf.DUMMYFUNCTION("""COMPUTED_VALUE"""),5810.0)</f>
        <v>5810</v>
      </c>
      <c r="E1404" s="1">
        <f>IFERROR(__xludf.DUMMYFUNCTION("""COMPUTED_VALUE"""),5860.0)</f>
        <v>5860</v>
      </c>
      <c r="F1404" s="1">
        <f>IFERROR(__xludf.DUMMYFUNCTION("""COMPUTED_VALUE"""),32455.0)</f>
        <v>32455</v>
      </c>
    </row>
    <row r="1405">
      <c r="A1405" s="2">
        <f>IFERROR(__xludf.DUMMYFUNCTION("""COMPUTED_VALUE"""),42990.64583333333)</f>
        <v>42990.64583</v>
      </c>
      <c r="B1405" s="1">
        <f>IFERROR(__xludf.DUMMYFUNCTION("""COMPUTED_VALUE"""),5930.0)</f>
        <v>5930</v>
      </c>
      <c r="C1405" s="1">
        <f>IFERROR(__xludf.DUMMYFUNCTION("""COMPUTED_VALUE"""),5970.0)</f>
        <v>5970</v>
      </c>
      <c r="D1405" s="1">
        <f>IFERROR(__xludf.DUMMYFUNCTION("""COMPUTED_VALUE"""),5860.0)</f>
        <v>5860</v>
      </c>
      <c r="E1405" s="1">
        <f>IFERROR(__xludf.DUMMYFUNCTION("""COMPUTED_VALUE"""),5940.0)</f>
        <v>5940</v>
      </c>
      <c r="F1405" s="1">
        <f>IFERROR(__xludf.DUMMYFUNCTION("""COMPUTED_VALUE"""),19623.0)</f>
        <v>19623</v>
      </c>
    </row>
    <row r="1406">
      <c r="A1406" s="2">
        <f>IFERROR(__xludf.DUMMYFUNCTION("""COMPUTED_VALUE"""),42992.64583333333)</f>
        <v>42992.64583</v>
      </c>
      <c r="B1406" s="1">
        <f>IFERROR(__xludf.DUMMYFUNCTION("""COMPUTED_VALUE"""),5990.0)</f>
        <v>5990</v>
      </c>
      <c r="C1406" s="1">
        <f>IFERROR(__xludf.DUMMYFUNCTION("""COMPUTED_VALUE"""),6000.0)</f>
        <v>6000</v>
      </c>
      <c r="D1406" s="1">
        <f>IFERROR(__xludf.DUMMYFUNCTION("""COMPUTED_VALUE"""),5940.0)</f>
        <v>5940</v>
      </c>
      <c r="E1406" s="1">
        <f>IFERROR(__xludf.DUMMYFUNCTION("""COMPUTED_VALUE"""),6000.0)</f>
        <v>6000</v>
      </c>
      <c r="F1406" s="1">
        <f>IFERROR(__xludf.DUMMYFUNCTION("""COMPUTED_VALUE"""),11613.0)</f>
        <v>11613</v>
      </c>
    </row>
    <row r="1407">
      <c r="A1407" s="2">
        <f>IFERROR(__xludf.DUMMYFUNCTION("""COMPUTED_VALUE"""),42993.64583333333)</f>
        <v>42993.64583</v>
      </c>
      <c r="B1407" s="1">
        <f>IFERROR(__xludf.DUMMYFUNCTION("""COMPUTED_VALUE"""),5950.0)</f>
        <v>5950</v>
      </c>
      <c r="C1407" s="1">
        <f>IFERROR(__xludf.DUMMYFUNCTION("""COMPUTED_VALUE"""),6090.0)</f>
        <v>6090</v>
      </c>
      <c r="D1407" s="1">
        <f>IFERROR(__xludf.DUMMYFUNCTION("""COMPUTED_VALUE"""),5930.0)</f>
        <v>5930</v>
      </c>
      <c r="E1407" s="1">
        <f>IFERROR(__xludf.DUMMYFUNCTION("""COMPUTED_VALUE"""),6090.0)</f>
        <v>6090</v>
      </c>
      <c r="F1407" s="1">
        <f>IFERROR(__xludf.DUMMYFUNCTION("""COMPUTED_VALUE"""),22828.0)</f>
        <v>22828</v>
      </c>
    </row>
    <row r="1408">
      <c r="A1408" s="2">
        <f>IFERROR(__xludf.DUMMYFUNCTION("""COMPUTED_VALUE"""),42996.64583333333)</f>
        <v>42996.64583</v>
      </c>
      <c r="B1408" s="1">
        <f>IFERROR(__xludf.DUMMYFUNCTION("""COMPUTED_VALUE"""),6110.0)</f>
        <v>6110</v>
      </c>
      <c r="C1408" s="1">
        <f>IFERROR(__xludf.DUMMYFUNCTION("""COMPUTED_VALUE"""),6110.0)</f>
        <v>6110</v>
      </c>
      <c r="D1408" s="1">
        <f>IFERROR(__xludf.DUMMYFUNCTION("""COMPUTED_VALUE"""),5970.0)</f>
        <v>5970</v>
      </c>
      <c r="E1408" s="1">
        <f>IFERROR(__xludf.DUMMYFUNCTION("""COMPUTED_VALUE"""),6060.0)</f>
        <v>6060</v>
      </c>
      <c r="F1408" s="1">
        <f>IFERROR(__xludf.DUMMYFUNCTION("""COMPUTED_VALUE"""),20233.0)</f>
        <v>20233</v>
      </c>
    </row>
    <row r="1409">
      <c r="A1409" s="2">
        <f>IFERROR(__xludf.DUMMYFUNCTION("""COMPUTED_VALUE"""),42997.64583333333)</f>
        <v>42997.64583</v>
      </c>
      <c r="B1409" s="1">
        <f>IFERROR(__xludf.DUMMYFUNCTION("""COMPUTED_VALUE"""),6060.0)</f>
        <v>6060</v>
      </c>
      <c r="C1409" s="1">
        <f>IFERROR(__xludf.DUMMYFUNCTION("""COMPUTED_VALUE"""),6060.0)</f>
        <v>6060</v>
      </c>
      <c r="D1409" s="1">
        <f>IFERROR(__xludf.DUMMYFUNCTION("""COMPUTED_VALUE"""),5920.0)</f>
        <v>5920</v>
      </c>
      <c r="E1409" s="1">
        <f>IFERROR(__xludf.DUMMYFUNCTION("""COMPUTED_VALUE"""),5970.0)</f>
        <v>5970</v>
      </c>
      <c r="F1409" s="1">
        <f>IFERROR(__xludf.DUMMYFUNCTION("""COMPUTED_VALUE"""),13779.0)</f>
        <v>13779</v>
      </c>
    </row>
    <row r="1410">
      <c r="A1410" s="2">
        <f>IFERROR(__xludf.DUMMYFUNCTION("""COMPUTED_VALUE"""),42998.64583333333)</f>
        <v>42998.64583</v>
      </c>
      <c r="B1410" s="1">
        <f>IFERROR(__xludf.DUMMYFUNCTION("""COMPUTED_VALUE"""),5940.0)</f>
        <v>5940</v>
      </c>
      <c r="C1410" s="1">
        <f>IFERROR(__xludf.DUMMYFUNCTION("""COMPUTED_VALUE"""),6050.0)</f>
        <v>6050</v>
      </c>
      <c r="D1410" s="1">
        <f>IFERROR(__xludf.DUMMYFUNCTION("""COMPUTED_VALUE"""),5940.0)</f>
        <v>5940</v>
      </c>
      <c r="E1410" s="1">
        <f>IFERROR(__xludf.DUMMYFUNCTION("""COMPUTED_VALUE"""),6050.0)</f>
        <v>6050</v>
      </c>
      <c r="F1410" s="1">
        <f>IFERROR(__xludf.DUMMYFUNCTION("""COMPUTED_VALUE"""),18014.0)</f>
        <v>18014</v>
      </c>
    </row>
    <row r="1411">
      <c r="A1411" s="2">
        <f>IFERROR(__xludf.DUMMYFUNCTION("""COMPUTED_VALUE"""),42999.64583333333)</f>
        <v>42999.64583</v>
      </c>
      <c r="B1411" s="1">
        <f>IFERROR(__xludf.DUMMYFUNCTION("""COMPUTED_VALUE"""),6070.0)</f>
        <v>6070</v>
      </c>
      <c r="C1411" s="1">
        <f>IFERROR(__xludf.DUMMYFUNCTION("""COMPUTED_VALUE"""),6070.0)</f>
        <v>6070</v>
      </c>
      <c r="D1411" s="1">
        <f>IFERROR(__xludf.DUMMYFUNCTION("""COMPUTED_VALUE"""),5970.0)</f>
        <v>5970</v>
      </c>
      <c r="E1411" s="1">
        <f>IFERROR(__xludf.DUMMYFUNCTION("""COMPUTED_VALUE"""),5970.0)</f>
        <v>5970</v>
      </c>
      <c r="F1411" s="1">
        <f>IFERROR(__xludf.DUMMYFUNCTION("""COMPUTED_VALUE"""),7570.0)</f>
        <v>7570</v>
      </c>
    </row>
    <row r="1412">
      <c r="A1412" s="2">
        <f>IFERROR(__xludf.DUMMYFUNCTION("""COMPUTED_VALUE"""),43000.64583333333)</f>
        <v>43000.64583</v>
      </c>
      <c r="B1412" s="1">
        <f>IFERROR(__xludf.DUMMYFUNCTION("""COMPUTED_VALUE"""),5940.0)</f>
        <v>5940</v>
      </c>
      <c r="C1412" s="1">
        <f>IFERROR(__xludf.DUMMYFUNCTION("""COMPUTED_VALUE"""),6050.0)</f>
        <v>6050</v>
      </c>
      <c r="D1412" s="1">
        <f>IFERROR(__xludf.DUMMYFUNCTION("""COMPUTED_VALUE"""),5880.0)</f>
        <v>5880</v>
      </c>
      <c r="E1412" s="1">
        <f>IFERROR(__xludf.DUMMYFUNCTION("""COMPUTED_VALUE"""),5880.0)</f>
        <v>5880</v>
      </c>
      <c r="F1412" s="1">
        <f>IFERROR(__xludf.DUMMYFUNCTION("""COMPUTED_VALUE"""),25718.0)</f>
        <v>25718</v>
      </c>
    </row>
    <row r="1413">
      <c r="A1413" s="2">
        <f>IFERROR(__xludf.DUMMYFUNCTION("""COMPUTED_VALUE"""),43003.64583333333)</f>
        <v>43003.64583</v>
      </c>
      <c r="B1413" s="1">
        <f>IFERROR(__xludf.DUMMYFUNCTION("""COMPUTED_VALUE"""),5820.0)</f>
        <v>5820</v>
      </c>
      <c r="C1413" s="1">
        <f>IFERROR(__xludf.DUMMYFUNCTION("""COMPUTED_VALUE"""),5900.0)</f>
        <v>5900</v>
      </c>
      <c r="D1413" s="1">
        <f>IFERROR(__xludf.DUMMYFUNCTION("""COMPUTED_VALUE"""),5670.0)</f>
        <v>5670</v>
      </c>
      <c r="E1413" s="1">
        <f>IFERROR(__xludf.DUMMYFUNCTION("""COMPUTED_VALUE"""),5710.0)</f>
        <v>5710</v>
      </c>
      <c r="F1413" s="1">
        <f>IFERROR(__xludf.DUMMYFUNCTION("""COMPUTED_VALUE"""),38020.0)</f>
        <v>38020</v>
      </c>
    </row>
    <row r="1414">
      <c r="A1414" s="2">
        <f>IFERROR(__xludf.DUMMYFUNCTION("""COMPUTED_VALUE"""),43004.64583333333)</f>
        <v>43004.64583</v>
      </c>
      <c r="B1414" s="1">
        <f>IFERROR(__xludf.DUMMYFUNCTION("""COMPUTED_VALUE"""),5710.0)</f>
        <v>5710</v>
      </c>
      <c r="C1414" s="1">
        <f>IFERROR(__xludf.DUMMYFUNCTION("""COMPUTED_VALUE"""),5830.0)</f>
        <v>5830</v>
      </c>
      <c r="D1414" s="1">
        <f>IFERROR(__xludf.DUMMYFUNCTION("""COMPUTED_VALUE"""),5640.0)</f>
        <v>5640</v>
      </c>
      <c r="E1414" s="1">
        <f>IFERROR(__xludf.DUMMYFUNCTION("""COMPUTED_VALUE"""),5830.0)</f>
        <v>5830</v>
      </c>
      <c r="F1414" s="1">
        <f>IFERROR(__xludf.DUMMYFUNCTION("""COMPUTED_VALUE"""),36588.0)</f>
        <v>36588</v>
      </c>
    </row>
    <row r="1415">
      <c r="A1415" s="2">
        <f>IFERROR(__xludf.DUMMYFUNCTION("""COMPUTED_VALUE"""),43005.64583333333)</f>
        <v>43005.64583</v>
      </c>
      <c r="B1415" s="1">
        <f>IFERROR(__xludf.DUMMYFUNCTION("""COMPUTED_VALUE"""),5760.0)</f>
        <v>5760</v>
      </c>
      <c r="C1415" s="1">
        <f>IFERROR(__xludf.DUMMYFUNCTION("""COMPUTED_VALUE"""),5950.0)</f>
        <v>5950</v>
      </c>
      <c r="D1415" s="1">
        <f>IFERROR(__xludf.DUMMYFUNCTION("""COMPUTED_VALUE"""),5760.0)</f>
        <v>5760</v>
      </c>
      <c r="E1415" s="1">
        <f>IFERROR(__xludf.DUMMYFUNCTION("""COMPUTED_VALUE"""),5950.0)</f>
        <v>5950</v>
      </c>
      <c r="F1415" s="1">
        <f>IFERROR(__xludf.DUMMYFUNCTION("""COMPUTED_VALUE"""),19378.0)</f>
        <v>19378</v>
      </c>
    </row>
    <row r="1416">
      <c r="A1416" s="2">
        <f>IFERROR(__xludf.DUMMYFUNCTION("""COMPUTED_VALUE"""),43006.64583333333)</f>
        <v>43006.64583</v>
      </c>
      <c r="B1416" s="1">
        <f>IFERROR(__xludf.DUMMYFUNCTION("""COMPUTED_VALUE"""),5950.0)</f>
        <v>5950</v>
      </c>
      <c r="C1416" s="1">
        <f>IFERROR(__xludf.DUMMYFUNCTION("""COMPUTED_VALUE"""),5950.0)</f>
        <v>5950</v>
      </c>
      <c r="D1416" s="1">
        <f>IFERROR(__xludf.DUMMYFUNCTION("""COMPUTED_VALUE"""),5850.0)</f>
        <v>5850</v>
      </c>
      <c r="E1416" s="1">
        <f>IFERROR(__xludf.DUMMYFUNCTION("""COMPUTED_VALUE"""),5920.0)</f>
        <v>5920</v>
      </c>
      <c r="F1416" s="1">
        <f>IFERROR(__xludf.DUMMYFUNCTION("""COMPUTED_VALUE"""),8668.0)</f>
        <v>8668</v>
      </c>
    </row>
    <row r="1417">
      <c r="A1417" s="2">
        <f>IFERROR(__xludf.DUMMYFUNCTION("""COMPUTED_VALUE"""),43007.64583333333)</f>
        <v>43007.64583</v>
      </c>
      <c r="B1417" s="1">
        <f>IFERROR(__xludf.DUMMYFUNCTION("""COMPUTED_VALUE"""),5920.0)</f>
        <v>5920</v>
      </c>
      <c r="C1417" s="1">
        <f>IFERROR(__xludf.DUMMYFUNCTION("""COMPUTED_VALUE"""),5990.0)</f>
        <v>5990</v>
      </c>
      <c r="D1417" s="1">
        <f>IFERROR(__xludf.DUMMYFUNCTION("""COMPUTED_VALUE"""),5880.0)</f>
        <v>5880</v>
      </c>
      <c r="E1417" s="1">
        <f>IFERROR(__xludf.DUMMYFUNCTION("""COMPUTED_VALUE"""),5960.0)</f>
        <v>5960</v>
      </c>
      <c r="F1417" s="1">
        <f>IFERROR(__xludf.DUMMYFUNCTION("""COMPUTED_VALUE"""),17383.0)</f>
        <v>17383</v>
      </c>
    </row>
    <row r="1418">
      <c r="A1418" s="2">
        <f>IFERROR(__xludf.DUMMYFUNCTION("""COMPUTED_VALUE"""),43018.64583333333)</f>
        <v>43018.64583</v>
      </c>
      <c r="B1418" s="1">
        <f>IFERROR(__xludf.DUMMYFUNCTION("""COMPUTED_VALUE"""),5960.0)</f>
        <v>5960</v>
      </c>
      <c r="C1418" s="1">
        <f>IFERROR(__xludf.DUMMYFUNCTION("""COMPUTED_VALUE"""),6010.0)</f>
        <v>6010</v>
      </c>
      <c r="D1418" s="1">
        <f>IFERROR(__xludf.DUMMYFUNCTION("""COMPUTED_VALUE"""),5920.0)</f>
        <v>5920</v>
      </c>
      <c r="E1418" s="1">
        <f>IFERROR(__xludf.DUMMYFUNCTION("""COMPUTED_VALUE"""),5980.0)</f>
        <v>5980</v>
      </c>
      <c r="F1418" s="1">
        <f>IFERROR(__xludf.DUMMYFUNCTION("""COMPUTED_VALUE"""),19112.0)</f>
        <v>19112</v>
      </c>
    </row>
    <row r="1419">
      <c r="A1419" s="2">
        <f>IFERROR(__xludf.DUMMYFUNCTION("""COMPUTED_VALUE"""),43019.64583333333)</f>
        <v>43019.64583</v>
      </c>
      <c r="B1419" s="1">
        <f>IFERROR(__xludf.DUMMYFUNCTION("""COMPUTED_VALUE"""),5950.0)</f>
        <v>5950</v>
      </c>
      <c r="C1419" s="1">
        <f>IFERROR(__xludf.DUMMYFUNCTION("""COMPUTED_VALUE"""),6090.0)</f>
        <v>6090</v>
      </c>
      <c r="D1419" s="1">
        <f>IFERROR(__xludf.DUMMYFUNCTION("""COMPUTED_VALUE"""),5950.0)</f>
        <v>5950</v>
      </c>
      <c r="E1419" s="1">
        <f>IFERROR(__xludf.DUMMYFUNCTION("""COMPUTED_VALUE"""),6070.0)</f>
        <v>6070</v>
      </c>
      <c r="F1419" s="1">
        <f>IFERROR(__xludf.DUMMYFUNCTION("""COMPUTED_VALUE"""),20544.0)</f>
        <v>20544</v>
      </c>
    </row>
    <row r="1420">
      <c r="A1420" s="2">
        <f>IFERROR(__xludf.DUMMYFUNCTION("""COMPUTED_VALUE"""),43020.64583333333)</f>
        <v>43020.64583</v>
      </c>
      <c r="B1420" s="1">
        <f>IFERROR(__xludf.DUMMYFUNCTION("""COMPUTED_VALUE"""),6100.0)</f>
        <v>6100</v>
      </c>
      <c r="C1420" s="1">
        <f>IFERROR(__xludf.DUMMYFUNCTION("""COMPUTED_VALUE"""),6100.0)</f>
        <v>6100</v>
      </c>
      <c r="D1420" s="1">
        <f>IFERROR(__xludf.DUMMYFUNCTION("""COMPUTED_VALUE"""),5980.0)</f>
        <v>5980</v>
      </c>
      <c r="E1420" s="1">
        <f>IFERROR(__xludf.DUMMYFUNCTION("""COMPUTED_VALUE"""),6040.0)</f>
        <v>6040</v>
      </c>
      <c r="F1420" s="1">
        <f>IFERROR(__xludf.DUMMYFUNCTION("""COMPUTED_VALUE"""),12336.0)</f>
        <v>12336</v>
      </c>
    </row>
    <row r="1421">
      <c r="A1421" s="2">
        <f>IFERROR(__xludf.DUMMYFUNCTION("""COMPUTED_VALUE"""),43021.64583333333)</f>
        <v>43021.64583</v>
      </c>
      <c r="B1421" s="1">
        <f>IFERROR(__xludf.DUMMYFUNCTION("""COMPUTED_VALUE"""),6090.0)</f>
        <v>6090</v>
      </c>
      <c r="C1421" s="1">
        <f>IFERROR(__xludf.DUMMYFUNCTION("""COMPUTED_VALUE"""),6090.0)</f>
        <v>6090</v>
      </c>
      <c r="D1421" s="1">
        <f>IFERROR(__xludf.DUMMYFUNCTION("""COMPUTED_VALUE"""),5940.0)</f>
        <v>5940</v>
      </c>
      <c r="E1421" s="1">
        <f>IFERROR(__xludf.DUMMYFUNCTION("""COMPUTED_VALUE"""),5940.0)</f>
        <v>5940</v>
      </c>
      <c r="F1421" s="1">
        <f>IFERROR(__xludf.DUMMYFUNCTION("""COMPUTED_VALUE"""),9316.0)</f>
        <v>9316</v>
      </c>
    </row>
    <row r="1422">
      <c r="A1422" s="2">
        <f>IFERROR(__xludf.DUMMYFUNCTION("""COMPUTED_VALUE"""),43024.64583333333)</f>
        <v>43024.64583</v>
      </c>
      <c r="B1422" s="1">
        <f>IFERROR(__xludf.DUMMYFUNCTION("""COMPUTED_VALUE"""),5920.0)</f>
        <v>5920</v>
      </c>
      <c r="C1422" s="1">
        <f>IFERROR(__xludf.DUMMYFUNCTION("""COMPUTED_VALUE"""),6050.0)</f>
        <v>6050</v>
      </c>
      <c r="D1422" s="1">
        <f>IFERROR(__xludf.DUMMYFUNCTION("""COMPUTED_VALUE"""),5920.0)</f>
        <v>5920</v>
      </c>
      <c r="E1422" s="1">
        <f>IFERROR(__xludf.DUMMYFUNCTION("""COMPUTED_VALUE"""),6040.0)</f>
        <v>6040</v>
      </c>
      <c r="F1422" s="1">
        <f>IFERROR(__xludf.DUMMYFUNCTION("""COMPUTED_VALUE"""),14173.0)</f>
        <v>14173</v>
      </c>
    </row>
    <row r="1423">
      <c r="A1423" s="2">
        <f>IFERROR(__xludf.DUMMYFUNCTION("""COMPUTED_VALUE"""),43025.64583333333)</f>
        <v>43025.64583</v>
      </c>
      <c r="B1423" s="1">
        <f>IFERROR(__xludf.DUMMYFUNCTION("""COMPUTED_VALUE"""),6090.0)</f>
        <v>6090</v>
      </c>
      <c r="C1423" s="1">
        <f>IFERROR(__xludf.DUMMYFUNCTION("""COMPUTED_VALUE"""),6090.0)</f>
        <v>6090</v>
      </c>
      <c r="D1423" s="1">
        <f>IFERROR(__xludf.DUMMYFUNCTION("""COMPUTED_VALUE"""),5950.0)</f>
        <v>5950</v>
      </c>
      <c r="E1423" s="1">
        <f>IFERROR(__xludf.DUMMYFUNCTION("""COMPUTED_VALUE"""),5960.0)</f>
        <v>5960</v>
      </c>
      <c r="F1423" s="1">
        <f>IFERROR(__xludf.DUMMYFUNCTION("""COMPUTED_VALUE"""),15767.0)</f>
        <v>15767</v>
      </c>
    </row>
    <row r="1424">
      <c r="A1424" s="2">
        <f>IFERROR(__xludf.DUMMYFUNCTION("""COMPUTED_VALUE"""),43026.64583333333)</f>
        <v>43026.64583</v>
      </c>
      <c r="B1424" s="1">
        <f>IFERROR(__xludf.DUMMYFUNCTION("""COMPUTED_VALUE"""),6000.0)</f>
        <v>6000</v>
      </c>
      <c r="C1424" s="1">
        <f>IFERROR(__xludf.DUMMYFUNCTION("""COMPUTED_VALUE"""),6000.0)</f>
        <v>6000</v>
      </c>
      <c r="D1424" s="1">
        <f>IFERROR(__xludf.DUMMYFUNCTION("""COMPUTED_VALUE"""),5920.0)</f>
        <v>5920</v>
      </c>
      <c r="E1424" s="1">
        <f>IFERROR(__xludf.DUMMYFUNCTION("""COMPUTED_VALUE"""),5950.0)</f>
        <v>5950</v>
      </c>
      <c r="F1424" s="1">
        <f>IFERROR(__xludf.DUMMYFUNCTION("""COMPUTED_VALUE"""),17758.0)</f>
        <v>17758</v>
      </c>
    </row>
    <row r="1425">
      <c r="A1425" s="2">
        <f>IFERROR(__xludf.DUMMYFUNCTION("""COMPUTED_VALUE"""),43027.64583333333)</f>
        <v>43027.64583</v>
      </c>
      <c r="B1425" s="1">
        <f>IFERROR(__xludf.DUMMYFUNCTION("""COMPUTED_VALUE"""),5930.0)</f>
        <v>5930</v>
      </c>
      <c r="C1425" s="1">
        <f>IFERROR(__xludf.DUMMYFUNCTION("""COMPUTED_VALUE"""),6000.0)</f>
        <v>6000</v>
      </c>
      <c r="D1425" s="1">
        <f>IFERROR(__xludf.DUMMYFUNCTION("""COMPUTED_VALUE"""),5920.0)</f>
        <v>5920</v>
      </c>
      <c r="E1425" s="1">
        <f>IFERROR(__xludf.DUMMYFUNCTION("""COMPUTED_VALUE"""),6000.0)</f>
        <v>6000</v>
      </c>
      <c r="F1425" s="1">
        <f>IFERROR(__xludf.DUMMYFUNCTION("""COMPUTED_VALUE"""),15198.0)</f>
        <v>15198</v>
      </c>
    </row>
    <row r="1426">
      <c r="A1426" s="2">
        <f>IFERROR(__xludf.DUMMYFUNCTION("""COMPUTED_VALUE"""),43028.64583333333)</f>
        <v>43028.64583</v>
      </c>
      <c r="B1426" s="1">
        <f>IFERROR(__xludf.DUMMYFUNCTION("""COMPUTED_VALUE"""),6030.0)</f>
        <v>6030</v>
      </c>
      <c r="C1426" s="1">
        <f>IFERROR(__xludf.DUMMYFUNCTION("""COMPUTED_VALUE"""),6050.0)</f>
        <v>6050</v>
      </c>
      <c r="D1426" s="1">
        <f>IFERROR(__xludf.DUMMYFUNCTION("""COMPUTED_VALUE"""),5960.0)</f>
        <v>5960</v>
      </c>
      <c r="E1426" s="1">
        <f>IFERROR(__xludf.DUMMYFUNCTION("""COMPUTED_VALUE"""),6050.0)</f>
        <v>6050</v>
      </c>
      <c r="F1426" s="1">
        <f>IFERROR(__xludf.DUMMYFUNCTION("""COMPUTED_VALUE"""),18389.0)</f>
        <v>18389</v>
      </c>
    </row>
    <row r="1427">
      <c r="A1427" s="2">
        <f>IFERROR(__xludf.DUMMYFUNCTION("""COMPUTED_VALUE"""),43031.64583333333)</f>
        <v>43031.64583</v>
      </c>
      <c r="B1427" s="1">
        <f>IFERROR(__xludf.DUMMYFUNCTION("""COMPUTED_VALUE"""),6070.0)</f>
        <v>6070</v>
      </c>
      <c r="C1427" s="1">
        <f>IFERROR(__xludf.DUMMYFUNCTION("""COMPUTED_VALUE"""),6070.0)</f>
        <v>6070</v>
      </c>
      <c r="D1427" s="1">
        <f>IFERROR(__xludf.DUMMYFUNCTION("""COMPUTED_VALUE"""),5980.0)</f>
        <v>5980</v>
      </c>
      <c r="E1427" s="1">
        <f>IFERROR(__xludf.DUMMYFUNCTION("""COMPUTED_VALUE"""),6010.0)</f>
        <v>6010</v>
      </c>
      <c r="F1427" s="1">
        <f>IFERROR(__xludf.DUMMYFUNCTION("""COMPUTED_VALUE"""),16723.0)</f>
        <v>16723</v>
      </c>
    </row>
    <row r="1428">
      <c r="A1428" s="2">
        <f>IFERROR(__xludf.DUMMYFUNCTION("""COMPUTED_VALUE"""),43032.64583333333)</f>
        <v>43032.64583</v>
      </c>
      <c r="B1428" s="1">
        <f>IFERROR(__xludf.DUMMYFUNCTION("""COMPUTED_VALUE"""),5990.0)</f>
        <v>5990</v>
      </c>
      <c r="C1428" s="1">
        <f>IFERROR(__xludf.DUMMYFUNCTION("""COMPUTED_VALUE"""),6070.0)</f>
        <v>6070</v>
      </c>
      <c r="D1428" s="1">
        <f>IFERROR(__xludf.DUMMYFUNCTION("""COMPUTED_VALUE"""),5950.0)</f>
        <v>5950</v>
      </c>
      <c r="E1428" s="1">
        <f>IFERROR(__xludf.DUMMYFUNCTION("""COMPUTED_VALUE"""),6030.0)</f>
        <v>6030</v>
      </c>
      <c r="F1428" s="1">
        <f>IFERROR(__xludf.DUMMYFUNCTION("""COMPUTED_VALUE"""),22983.0)</f>
        <v>22983</v>
      </c>
    </row>
    <row r="1429">
      <c r="A1429" s="2">
        <f>IFERROR(__xludf.DUMMYFUNCTION("""COMPUTED_VALUE"""),43033.64583333333)</f>
        <v>43033.64583</v>
      </c>
      <c r="B1429" s="1">
        <f>IFERROR(__xludf.DUMMYFUNCTION("""COMPUTED_VALUE"""),6030.0)</f>
        <v>6030</v>
      </c>
      <c r="C1429" s="1">
        <f>IFERROR(__xludf.DUMMYFUNCTION("""COMPUTED_VALUE"""),6080.0)</f>
        <v>6080</v>
      </c>
      <c r="D1429" s="1">
        <f>IFERROR(__xludf.DUMMYFUNCTION("""COMPUTED_VALUE"""),5980.0)</f>
        <v>5980</v>
      </c>
      <c r="E1429" s="1">
        <f>IFERROR(__xludf.DUMMYFUNCTION("""COMPUTED_VALUE"""),6080.0)</f>
        <v>6080</v>
      </c>
      <c r="F1429" s="1">
        <f>IFERROR(__xludf.DUMMYFUNCTION("""COMPUTED_VALUE"""),12056.0)</f>
        <v>12056</v>
      </c>
    </row>
    <row r="1430">
      <c r="A1430" s="2">
        <f>IFERROR(__xludf.DUMMYFUNCTION("""COMPUTED_VALUE"""),43034.64583333333)</f>
        <v>43034.64583</v>
      </c>
      <c r="B1430" s="1">
        <f>IFERROR(__xludf.DUMMYFUNCTION("""COMPUTED_VALUE"""),6100.0)</f>
        <v>6100</v>
      </c>
      <c r="C1430" s="1">
        <f>IFERROR(__xludf.DUMMYFUNCTION("""COMPUTED_VALUE"""),6100.0)</f>
        <v>6100</v>
      </c>
      <c r="D1430" s="1">
        <f>IFERROR(__xludf.DUMMYFUNCTION("""COMPUTED_VALUE"""),6040.0)</f>
        <v>6040</v>
      </c>
      <c r="E1430" s="1">
        <f>IFERROR(__xludf.DUMMYFUNCTION("""COMPUTED_VALUE"""),6080.0)</f>
        <v>6080</v>
      </c>
      <c r="F1430" s="1">
        <f>IFERROR(__xludf.DUMMYFUNCTION("""COMPUTED_VALUE"""),15765.0)</f>
        <v>15765</v>
      </c>
    </row>
    <row r="1431">
      <c r="A1431" s="2">
        <f>IFERROR(__xludf.DUMMYFUNCTION("""COMPUTED_VALUE"""),43035.64583333333)</f>
        <v>43035.64583</v>
      </c>
      <c r="B1431" s="1">
        <f>IFERROR(__xludf.DUMMYFUNCTION("""COMPUTED_VALUE"""),6080.0)</f>
        <v>6080</v>
      </c>
      <c r="C1431" s="1">
        <f>IFERROR(__xludf.DUMMYFUNCTION("""COMPUTED_VALUE"""),6190.0)</f>
        <v>6190</v>
      </c>
      <c r="D1431" s="1">
        <f>IFERROR(__xludf.DUMMYFUNCTION("""COMPUTED_VALUE"""),6080.0)</f>
        <v>6080</v>
      </c>
      <c r="E1431" s="1">
        <f>IFERROR(__xludf.DUMMYFUNCTION("""COMPUTED_VALUE"""),6170.0)</f>
        <v>6170</v>
      </c>
      <c r="F1431" s="1">
        <f>IFERROR(__xludf.DUMMYFUNCTION("""COMPUTED_VALUE"""),30830.0)</f>
        <v>30830</v>
      </c>
    </row>
    <row r="1432">
      <c r="A1432" s="2">
        <f>IFERROR(__xludf.DUMMYFUNCTION("""COMPUTED_VALUE"""),43038.64583333333)</f>
        <v>43038.64583</v>
      </c>
      <c r="B1432" s="1">
        <f>IFERROR(__xludf.DUMMYFUNCTION("""COMPUTED_VALUE"""),6170.0)</f>
        <v>6170</v>
      </c>
      <c r="C1432" s="1">
        <f>IFERROR(__xludf.DUMMYFUNCTION("""COMPUTED_VALUE"""),6200.0)</f>
        <v>6200</v>
      </c>
      <c r="D1432" s="1">
        <f>IFERROR(__xludf.DUMMYFUNCTION("""COMPUTED_VALUE"""),6080.0)</f>
        <v>6080</v>
      </c>
      <c r="E1432" s="1">
        <f>IFERROR(__xludf.DUMMYFUNCTION("""COMPUTED_VALUE"""),6150.0)</f>
        <v>6150</v>
      </c>
      <c r="F1432" s="1">
        <f>IFERROR(__xludf.DUMMYFUNCTION("""COMPUTED_VALUE"""),8984.0)</f>
        <v>8984</v>
      </c>
    </row>
    <row r="1433">
      <c r="A1433" s="2">
        <f>IFERROR(__xludf.DUMMYFUNCTION("""COMPUTED_VALUE"""),43039.64583333333)</f>
        <v>43039.64583</v>
      </c>
      <c r="B1433" s="1">
        <f>IFERROR(__xludf.DUMMYFUNCTION("""COMPUTED_VALUE"""),6120.0)</f>
        <v>6120</v>
      </c>
      <c r="C1433" s="1">
        <f>IFERROR(__xludf.DUMMYFUNCTION("""COMPUTED_VALUE"""),6160.0)</f>
        <v>6160</v>
      </c>
      <c r="D1433" s="1">
        <f>IFERROR(__xludf.DUMMYFUNCTION("""COMPUTED_VALUE"""),6070.0)</f>
        <v>6070</v>
      </c>
      <c r="E1433" s="1">
        <f>IFERROR(__xludf.DUMMYFUNCTION("""COMPUTED_VALUE"""),6130.0)</f>
        <v>6130</v>
      </c>
      <c r="F1433" s="1">
        <f>IFERROR(__xludf.DUMMYFUNCTION("""COMPUTED_VALUE"""),3922.0)</f>
        <v>3922</v>
      </c>
    </row>
    <row r="1434">
      <c r="A1434" s="2">
        <f>IFERROR(__xludf.DUMMYFUNCTION("""COMPUTED_VALUE"""),43040.64583333333)</f>
        <v>43040.64583</v>
      </c>
      <c r="B1434" s="1">
        <f>IFERROR(__xludf.DUMMYFUNCTION("""COMPUTED_VALUE"""),6130.0)</f>
        <v>6130</v>
      </c>
      <c r="C1434" s="1">
        <f>IFERROR(__xludf.DUMMYFUNCTION("""COMPUTED_VALUE"""),6150.0)</f>
        <v>6150</v>
      </c>
      <c r="D1434" s="1">
        <f>IFERROR(__xludf.DUMMYFUNCTION("""COMPUTED_VALUE"""),6090.0)</f>
        <v>6090</v>
      </c>
      <c r="E1434" s="1">
        <f>IFERROR(__xludf.DUMMYFUNCTION("""COMPUTED_VALUE"""),6130.0)</f>
        <v>6130</v>
      </c>
      <c r="F1434" s="1">
        <f>IFERROR(__xludf.DUMMYFUNCTION("""COMPUTED_VALUE"""),9688.0)</f>
        <v>9688</v>
      </c>
    </row>
    <row r="1435">
      <c r="A1435" s="2">
        <f>IFERROR(__xludf.DUMMYFUNCTION("""COMPUTED_VALUE"""),43041.64583333333)</f>
        <v>43041.64583</v>
      </c>
      <c r="B1435" s="1">
        <f>IFERROR(__xludf.DUMMYFUNCTION("""COMPUTED_VALUE"""),6160.0)</f>
        <v>6160</v>
      </c>
      <c r="C1435" s="1">
        <f>IFERROR(__xludf.DUMMYFUNCTION("""COMPUTED_VALUE"""),6160.0)</f>
        <v>6160</v>
      </c>
      <c r="D1435" s="1">
        <f>IFERROR(__xludf.DUMMYFUNCTION("""COMPUTED_VALUE"""),6070.0)</f>
        <v>6070</v>
      </c>
      <c r="E1435" s="1">
        <f>IFERROR(__xludf.DUMMYFUNCTION("""COMPUTED_VALUE"""),6120.0)</f>
        <v>6120</v>
      </c>
      <c r="F1435" s="1">
        <f>IFERROR(__xludf.DUMMYFUNCTION("""COMPUTED_VALUE"""),7809.0)</f>
        <v>7809</v>
      </c>
    </row>
    <row r="1436">
      <c r="A1436" s="2">
        <f>IFERROR(__xludf.DUMMYFUNCTION("""COMPUTED_VALUE"""),43042.64583333333)</f>
        <v>43042.64583</v>
      </c>
      <c r="B1436" s="1">
        <f>IFERROR(__xludf.DUMMYFUNCTION("""COMPUTED_VALUE"""),6050.0)</f>
        <v>6050</v>
      </c>
      <c r="C1436" s="1">
        <f>IFERROR(__xludf.DUMMYFUNCTION("""COMPUTED_VALUE"""),6140.0)</f>
        <v>6140</v>
      </c>
      <c r="D1436" s="1">
        <f>IFERROR(__xludf.DUMMYFUNCTION("""COMPUTED_VALUE"""),6050.0)</f>
        <v>6050</v>
      </c>
      <c r="E1436" s="1">
        <f>IFERROR(__xludf.DUMMYFUNCTION("""COMPUTED_VALUE"""),6080.0)</f>
        <v>6080</v>
      </c>
      <c r="F1436" s="1">
        <f>IFERROR(__xludf.DUMMYFUNCTION("""COMPUTED_VALUE"""),4283.0)</f>
        <v>4283</v>
      </c>
    </row>
    <row r="1437">
      <c r="A1437" s="2">
        <f>IFERROR(__xludf.DUMMYFUNCTION("""COMPUTED_VALUE"""),43045.64583333333)</f>
        <v>43045.64583</v>
      </c>
      <c r="B1437" s="1">
        <f>IFERROR(__xludf.DUMMYFUNCTION("""COMPUTED_VALUE"""),6060.0)</f>
        <v>6060</v>
      </c>
      <c r="C1437" s="1">
        <f>IFERROR(__xludf.DUMMYFUNCTION("""COMPUTED_VALUE"""),6170.0)</f>
        <v>6170</v>
      </c>
      <c r="D1437" s="1">
        <f>IFERROR(__xludf.DUMMYFUNCTION("""COMPUTED_VALUE"""),6060.0)</f>
        <v>6060</v>
      </c>
      <c r="E1437" s="1">
        <f>IFERROR(__xludf.DUMMYFUNCTION("""COMPUTED_VALUE"""),6160.0)</f>
        <v>6160</v>
      </c>
      <c r="F1437" s="1">
        <f>IFERROR(__xludf.DUMMYFUNCTION("""COMPUTED_VALUE"""),20364.0)</f>
        <v>20364</v>
      </c>
    </row>
    <row r="1438">
      <c r="A1438" s="2">
        <f>IFERROR(__xludf.DUMMYFUNCTION("""COMPUTED_VALUE"""),43046.64583333333)</f>
        <v>43046.64583</v>
      </c>
      <c r="B1438" s="1">
        <f>IFERROR(__xludf.DUMMYFUNCTION("""COMPUTED_VALUE"""),6150.0)</f>
        <v>6150</v>
      </c>
      <c r="C1438" s="1">
        <f>IFERROR(__xludf.DUMMYFUNCTION("""COMPUTED_VALUE"""),6150.0)</f>
        <v>6150</v>
      </c>
      <c r="D1438" s="1">
        <f>IFERROR(__xludf.DUMMYFUNCTION("""COMPUTED_VALUE"""),6100.0)</f>
        <v>6100</v>
      </c>
      <c r="E1438" s="1">
        <f>IFERROR(__xludf.DUMMYFUNCTION("""COMPUTED_VALUE"""),6120.0)</f>
        <v>6120</v>
      </c>
      <c r="F1438" s="1">
        <f>IFERROR(__xludf.DUMMYFUNCTION("""COMPUTED_VALUE"""),3435.0)</f>
        <v>3435</v>
      </c>
    </row>
    <row r="1439">
      <c r="A1439" s="2">
        <f>IFERROR(__xludf.DUMMYFUNCTION("""COMPUTED_VALUE"""),43047.64583333333)</f>
        <v>43047.64583</v>
      </c>
      <c r="B1439" s="1">
        <f>IFERROR(__xludf.DUMMYFUNCTION("""COMPUTED_VALUE"""),6100.0)</f>
        <v>6100</v>
      </c>
      <c r="C1439" s="1">
        <f>IFERROR(__xludf.DUMMYFUNCTION("""COMPUTED_VALUE"""),6170.0)</f>
        <v>6170</v>
      </c>
      <c r="D1439" s="1">
        <f>IFERROR(__xludf.DUMMYFUNCTION("""COMPUTED_VALUE"""),6050.0)</f>
        <v>6050</v>
      </c>
      <c r="E1439" s="1">
        <f>IFERROR(__xludf.DUMMYFUNCTION("""COMPUTED_VALUE"""),6160.0)</f>
        <v>6160</v>
      </c>
      <c r="F1439" s="1">
        <f>IFERROR(__xludf.DUMMYFUNCTION("""COMPUTED_VALUE"""),20803.0)</f>
        <v>20803</v>
      </c>
    </row>
    <row r="1440">
      <c r="A1440" s="2">
        <f>IFERROR(__xludf.DUMMYFUNCTION("""COMPUTED_VALUE"""),43048.64583333333)</f>
        <v>43048.64583</v>
      </c>
      <c r="B1440" s="1">
        <f>IFERROR(__xludf.DUMMYFUNCTION("""COMPUTED_VALUE"""),6160.0)</f>
        <v>6160</v>
      </c>
      <c r="C1440" s="1">
        <f>IFERROR(__xludf.DUMMYFUNCTION("""COMPUTED_VALUE"""),6190.0)</f>
        <v>6190</v>
      </c>
      <c r="D1440" s="1">
        <f>IFERROR(__xludf.DUMMYFUNCTION("""COMPUTED_VALUE"""),6150.0)</f>
        <v>6150</v>
      </c>
      <c r="E1440" s="1">
        <f>IFERROR(__xludf.DUMMYFUNCTION("""COMPUTED_VALUE"""),6160.0)</f>
        <v>6160</v>
      </c>
      <c r="F1440" s="1">
        <f>IFERROR(__xludf.DUMMYFUNCTION("""COMPUTED_VALUE"""),20751.0)</f>
        <v>20751</v>
      </c>
    </row>
    <row r="1441">
      <c r="A1441" s="2">
        <f>IFERROR(__xludf.DUMMYFUNCTION("""COMPUTED_VALUE"""),43049.64583333333)</f>
        <v>43049.64583</v>
      </c>
      <c r="B1441" s="1">
        <f>IFERROR(__xludf.DUMMYFUNCTION("""COMPUTED_VALUE"""),6170.0)</f>
        <v>6170</v>
      </c>
      <c r="C1441" s="1">
        <f>IFERROR(__xludf.DUMMYFUNCTION("""COMPUTED_VALUE"""),6240.0)</f>
        <v>6240</v>
      </c>
      <c r="D1441" s="1">
        <f>IFERROR(__xludf.DUMMYFUNCTION("""COMPUTED_VALUE"""),6160.0)</f>
        <v>6160</v>
      </c>
      <c r="E1441" s="1">
        <f>IFERROR(__xludf.DUMMYFUNCTION("""COMPUTED_VALUE"""),6220.0)</f>
        <v>6220</v>
      </c>
      <c r="F1441" s="1">
        <f>IFERROR(__xludf.DUMMYFUNCTION("""COMPUTED_VALUE"""),58001.0)</f>
        <v>58001</v>
      </c>
    </row>
    <row r="1442">
      <c r="A1442" s="2">
        <f>IFERROR(__xludf.DUMMYFUNCTION("""COMPUTED_VALUE"""),43052.64583333333)</f>
        <v>43052.64583</v>
      </c>
      <c r="B1442" s="1">
        <f>IFERROR(__xludf.DUMMYFUNCTION("""COMPUTED_VALUE"""),6220.0)</f>
        <v>6220</v>
      </c>
      <c r="C1442" s="1">
        <f>IFERROR(__xludf.DUMMYFUNCTION("""COMPUTED_VALUE"""),6300.0)</f>
        <v>6300</v>
      </c>
      <c r="D1442" s="1">
        <f>IFERROR(__xludf.DUMMYFUNCTION("""COMPUTED_VALUE"""),6200.0)</f>
        <v>6200</v>
      </c>
      <c r="E1442" s="1">
        <f>IFERROR(__xludf.DUMMYFUNCTION("""COMPUTED_VALUE"""),6260.0)</f>
        <v>6260</v>
      </c>
      <c r="F1442" s="1">
        <f>IFERROR(__xludf.DUMMYFUNCTION("""COMPUTED_VALUE"""),28844.0)</f>
        <v>28844</v>
      </c>
    </row>
    <row r="1443">
      <c r="A1443" s="2">
        <f>IFERROR(__xludf.DUMMYFUNCTION("""COMPUTED_VALUE"""),43053.64583333333)</f>
        <v>43053.64583</v>
      </c>
      <c r="B1443" s="1">
        <f>IFERROR(__xludf.DUMMYFUNCTION("""COMPUTED_VALUE"""),6220.0)</f>
        <v>6220</v>
      </c>
      <c r="C1443" s="1">
        <f>IFERROR(__xludf.DUMMYFUNCTION("""COMPUTED_VALUE"""),6300.0)</f>
        <v>6300</v>
      </c>
      <c r="D1443" s="1">
        <f>IFERROR(__xludf.DUMMYFUNCTION("""COMPUTED_VALUE"""),6210.0)</f>
        <v>6210</v>
      </c>
      <c r="E1443" s="1">
        <f>IFERROR(__xludf.DUMMYFUNCTION("""COMPUTED_VALUE"""),6260.0)</f>
        <v>6260</v>
      </c>
      <c r="F1443" s="1">
        <f>IFERROR(__xludf.DUMMYFUNCTION("""COMPUTED_VALUE"""),22458.0)</f>
        <v>22458</v>
      </c>
    </row>
    <row r="1444">
      <c r="A1444" s="2">
        <f>IFERROR(__xludf.DUMMYFUNCTION("""COMPUTED_VALUE"""),43054.64583333333)</f>
        <v>43054.64583</v>
      </c>
      <c r="B1444" s="1">
        <f>IFERROR(__xludf.DUMMYFUNCTION("""COMPUTED_VALUE"""),6230.0)</f>
        <v>6230</v>
      </c>
      <c r="C1444" s="1">
        <f>IFERROR(__xludf.DUMMYFUNCTION("""COMPUTED_VALUE"""),6230.0)</f>
        <v>6230</v>
      </c>
      <c r="D1444" s="1">
        <f>IFERROR(__xludf.DUMMYFUNCTION("""COMPUTED_VALUE"""),6120.0)</f>
        <v>6120</v>
      </c>
      <c r="E1444" s="1">
        <f>IFERROR(__xludf.DUMMYFUNCTION("""COMPUTED_VALUE"""),6200.0)</f>
        <v>6200</v>
      </c>
      <c r="F1444" s="1">
        <f>IFERROR(__xludf.DUMMYFUNCTION("""COMPUTED_VALUE"""),51441.0)</f>
        <v>51441</v>
      </c>
    </row>
    <row r="1445">
      <c r="A1445" s="2">
        <f>IFERROR(__xludf.DUMMYFUNCTION("""COMPUTED_VALUE"""),43055.64583333333)</f>
        <v>43055.64583</v>
      </c>
      <c r="B1445" s="1">
        <f>IFERROR(__xludf.DUMMYFUNCTION("""COMPUTED_VALUE"""),6160.0)</f>
        <v>6160</v>
      </c>
      <c r="C1445" s="1">
        <f>IFERROR(__xludf.DUMMYFUNCTION("""COMPUTED_VALUE"""),6200.0)</f>
        <v>6200</v>
      </c>
      <c r="D1445" s="1">
        <f>IFERROR(__xludf.DUMMYFUNCTION("""COMPUTED_VALUE"""),6120.0)</f>
        <v>6120</v>
      </c>
      <c r="E1445" s="1">
        <f>IFERROR(__xludf.DUMMYFUNCTION("""COMPUTED_VALUE"""),6200.0)</f>
        <v>6200</v>
      </c>
      <c r="F1445" s="1">
        <f>IFERROR(__xludf.DUMMYFUNCTION("""COMPUTED_VALUE"""),23022.0)</f>
        <v>23022</v>
      </c>
    </row>
    <row r="1446">
      <c r="A1446" s="2">
        <f>IFERROR(__xludf.DUMMYFUNCTION("""COMPUTED_VALUE"""),43056.64583333333)</f>
        <v>43056.64583</v>
      </c>
      <c r="B1446" s="1">
        <f>IFERROR(__xludf.DUMMYFUNCTION("""COMPUTED_VALUE"""),6190.0)</f>
        <v>6190</v>
      </c>
      <c r="C1446" s="1">
        <f>IFERROR(__xludf.DUMMYFUNCTION("""COMPUTED_VALUE"""),6190.0)</f>
        <v>6190</v>
      </c>
      <c r="D1446" s="1">
        <f>IFERROR(__xludf.DUMMYFUNCTION("""COMPUTED_VALUE"""),6090.0)</f>
        <v>6090</v>
      </c>
      <c r="E1446" s="1">
        <f>IFERROR(__xludf.DUMMYFUNCTION("""COMPUTED_VALUE"""),6170.0)</f>
        <v>6170</v>
      </c>
      <c r="F1446" s="1">
        <f>IFERROR(__xludf.DUMMYFUNCTION("""COMPUTED_VALUE"""),10462.0)</f>
        <v>10462</v>
      </c>
    </row>
    <row r="1447">
      <c r="A1447" s="2">
        <f>IFERROR(__xludf.DUMMYFUNCTION("""COMPUTED_VALUE"""),43059.64583333333)</f>
        <v>43059.64583</v>
      </c>
      <c r="B1447" s="1">
        <f>IFERROR(__xludf.DUMMYFUNCTION("""COMPUTED_VALUE"""),6090.0)</f>
        <v>6090</v>
      </c>
      <c r="C1447" s="1">
        <f>IFERROR(__xludf.DUMMYFUNCTION("""COMPUTED_VALUE"""),6200.0)</f>
        <v>6200</v>
      </c>
      <c r="D1447" s="1">
        <f>IFERROR(__xludf.DUMMYFUNCTION("""COMPUTED_VALUE"""),6080.0)</f>
        <v>6080</v>
      </c>
      <c r="E1447" s="1">
        <f>IFERROR(__xludf.DUMMYFUNCTION("""COMPUTED_VALUE"""),6090.0)</f>
        <v>6090</v>
      </c>
      <c r="F1447" s="1">
        <f>IFERROR(__xludf.DUMMYFUNCTION("""COMPUTED_VALUE"""),19473.0)</f>
        <v>19473</v>
      </c>
    </row>
    <row r="1448">
      <c r="A1448" s="2">
        <f>IFERROR(__xludf.DUMMYFUNCTION("""COMPUTED_VALUE"""),43060.64583333333)</f>
        <v>43060.64583</v>
      </c>
      <c r="B1448" s="1">
        <f>IFERROR(__xludf.DUMMYFUNCTION("""COMPUTED_VALUE"""),6150.0)</f>
        <v>6150</v>
      </c>
      <c r="C1448" s="1">
        <f>IFERROR(__xludf.DUMMYFUNCTION("""COMPUTED_VALUE"""),6160.0)</f>
        <v>6160</v>
      </c>
      <c r="D1448" s="1">
        <f>IFERROR(__xludf.DUMMYFUNCTION("""COMPUTED_VALUE"""),6070.0)</f>
        <v>6070</v>
      </c>
      <c r="E1448" s="1">
        <f>IFERROR(__xludf.DUMMYFUNCTION("""COMPUTED_VALUE"""),6160.0)</f>
        <v>6160</v>
      </c>
      <c r="F1448" s="1">
        <f>IFERROR(__xludf.DUMMYFUNCTION("""COMPUTED_VALUE"""),19924.0)</f>
        <v>19924</v>
      </c>
    </row>
    <row r="1449">
      <c r="A1449" s="2">
        <f>IFERROR(__xludf.DUMMYFUNCTION("""COMPUTED_VALUE"""),43061.64583333333)</f>
        <v>43061.64583</v>
      </c>
      <c r="B1449" s="1">
        <f>IFERROR(__xludf.DUMMYFUNCTION("""COMPUTED_VALUE"""),6100.0)</f>
        <v>6100</v>
      </c>
      <c r="C1449" s="1">
        <f>IFERROR(__xludf.DUMMYFUNCTION("""COMPUTED_VALUE"""),6160.0)</f>
        <v>6160</v>
      </c>
      <c r="D1449" s="1">
        <f>IFERROR(__xludf.DUMMYFUNCTION("""COMPUTED_VALUE"""),6060.0)</f>
        <v>6060</v>
      </c>
      <c r="E1449" s="1">
        <f>IFERROR(__xludf.DUMMYFUNCTION("""COMPUTED_VALUE"""),6080.0)</f>
        <v>6080</v>
      </c>
      <c r="F1449" s="1">
        <f>IFERROR(__xludf.DUMMYFUNCTION("""COMPUTED_VALUE"""),8879.0)</f>
        <v>8879</v>
      </c>
    </row>
    <row r="1450">
      <c r="A1450" s="2">
        <f>IFERROR(__xludf.DUMMYFUNCTION("""COMPUTED_VALUE"""),43062.69791666667)</f>
        <v>43062.69792</v>
      </c>
      <c r="B1450" s="1">
        <f>IFERROR(__xludf.DUMMYFUNCTION("""COMPUTED_VALUE"""),6080.0)</f>
        <v>6080</v>
      </c>
      <c r="C1450" s="1">
        <f>IFERROR(__xludf.DUMMYFUNCTION("""COMPUTED_VALUE"""),6150.0)</f>
        <v>6150</v>
      </c>
      <c r="D1450" s="1">
        <f>IFERROR(__xludf.DUMMYFUNCTION("""COMPUTED_VALUE"""),6080.0)</f>
        <v>6080</v>
      </c>
      <c r="E1450" s="1">
        <f>IFERROR(__xludf.DUMMYFUNCTION("""COMPUTED_VALUE"""),6100.0)</f>
        <v>6100</v>
      </c>
      <c r="F1450" s="1">
        <f>IFERROR(__xludf.DUMMYFUNCTION("""COMPUTED_VALUE"""),16817.0)</f>
        <v>16817</v>
      </c>
    </row>
    <row r="1451">
      <c r="A1451" s="2">
        <f>IFERROR(__xludf.DUMMYFUNCTION("""COMPUTED_VALUE"""),43063.64583333333)</f>
        <v>43063.64583</v>
      </c>
      <c r="B1451" s="1">
        <f>IFERROR(__xludf.DUMMYFUNCTION("""COMPUTED_VALUE"""),6080.0)</f>
        <v>6080</v>
      </c>
      <c r="C1451" s="1">
        <f>IFERROR(__xludf.DUMMYFUNCTION("""COMPUTED_VALUE"""),6150.0)</f>
        <v>6150</v>
      </c>
      <c r="D1451" s="1">
        <f>IFERROR(__xludf.DUMMYFUNCTION("""COMPUTED_VALUE"""),6080.0)</f>
        <v>6080</v>
      </c>
      <c r="E1451" s="1">
        <f>IFERROR(__xludf.DUMMYFUNCTION("""COMPUTED_VALUE"""),6150.0)</f>
        <v>6150</v>
      </c>
      <c r="F1451" s="1">
        <f>IFERROR(__xludf.DUMMYFUNCTION("""COMPUTED_VALUE"""),7411.0)</f>
        <v>7411</v>
      </c>
    </row>
    <row r="1452">
      <c r="A1452" s="2">
        <f>IFERROR(__xludf.DUMMYFUNCTION("""COMPUTED_VALUE"""),43066.64583333333)</f>
        <v>43066.64583</v>
      </c>
      <c r="B1452" s="1">
        <f>IFERROR(__xludf.DUMMYFUNCTION("""COMPUTED_VALUE"""),6150.0)</f>
        <v>6150</v>
      </c>
      <c r="C1452" s="1">
        <f>IFERROR(__xludf.DUMMYFUNCTION("""COMPUTED_VALUE"""),6150.0)</f>
        <v>6150</v>
      </c>
      <c r="D1452" s="1">
        <f>IFERROR(__xludf.DUMMYFUNCTION("""COMPUTED_VALUE"""),6080.0)</f>
        <v>6080</v>
      </c>
      <c r="E1452" s="1">
        <f>IFERROR(__xludf.DUMMYFUNCTION("""COMPUTED_VALUE"""),6110.0)</f>
        <v>6110</v>
      </c>
      <c r="F1452" s="1">
        <f>IFERROR(__xludf.DUMMYFUNCTION("""COMPUTED_VALUE"""),6775.0)</f>
        <v>6775</v>
      </c>
    </row>
    <row r="1453">
      <c r="A1453" s="2">
        <f>IFERROR(__xludf.DUMMYFUNCTION("""COMPUTED_VALUE"""),43067.64583333333)</f>
        <v>43067.64583</v>
      </c>
      <c r="B1453" s="1">
        <f>IFERROR(__xludf.DUMMYFUNCTION("""COMPUTED_VALUE"""),6100.0)</f>
        <v>6100</v>
      </c>
      <c r="C1453" s="1">
        <f>IFERROR(__xludf.DUMMYFUNCTION("""COMPUTED_VALUE"""),6120.0)</f>
        <v>6120</v>
      </c>
      <c r="D1453" s="1">
        <f>IFERROR(__xludf.DUMMYFUNCTION("""COMPUTED_VALUE"""),6070.0)</f>
        <v>6070</v>
      </c>
      <c r="E1453" s="1">
        <f>IFERROR(__xludf.DUMMYFUNCTION("""COMPUTED_VALUE"""),6080.0)</f>
        <v>6080</v>
      </c>
      <c r="F1453" s="1">
        <f>IFERROR(__xludf.DUMMYFUNCTION("""COMPUTED_VALUE"""),12012.0)</f>
        <v>12012</v>
      </c>
    </row>
    <row r="1454">
      <c r="A1454" s="2">
        <f>IFERROR(__xludf.DUMMYFUNCTION("""COMPUTED_VALUE"""),43068.64583333333)</f>
        <v>43068.64583</v>
      </c>
      <c r="B1454" s="1">
        <f>IFERROR(__xludf.DUMMYFUNCTION("""COMPUTED_VALUE"""),6060.0)</f>
        <v>6060</v>
      </c>
      <c r="C1454" s="1">
        <f>IFERROR(__xludf.DUMMYFUNCTION("""COMPUTED_VALUE"""),6110.0)</f>
        <v>6110</v>
      </c>
      <c r="D1454" s="1">
        <f>IFERROR(__xludf.DUMMYFUNCTION("""COMPUTED_VALUE"""),6000.0)</f>
        <v>6000</v>
      </c>
      <c r="E1454" s="1">
        <f>IFERROR(__xludf.DUMMYFUNCTION("""COMPUTED_VALUE"""),6100.0)</f>
        <v>6100</v>
      </c>
      <c r="F1454" s="1">
        <f>IFERROR(__xludf.DUMMYFUNCTION("""COMPUTED_VALUE"""),15698.0)</f>
        <v>15698</v>
      </c>
    </row>
    <row r="1455">
      <c r="A1455" s="2">
        <f>IFERROR(__xludf.DUMMYFUNCTION("""COMPUTED_VALUE"""),43069.64583333333)</f>
        <v>43069.64583</v>
      </c>
      <c r="B1455" s="1">
        <f>IFERROR(__xludf.DUMMYFUNCTION("""COMPUTED_VALUE"""),6100.0)</f>
        <v>6100</v>
      </c>
      <c r="C1455" s="1">
        <f>IFERROR(__xludf.DUMMYFUNCTION("""COMPUTED_VALUE"""),6130.0)</f>
        <v>6130</v>
      </c>
      <c r="D1455" s="1">
        <f>IFERROR(__xludf.DUMMYFUNCTION("""COMPUTED_VALUE"""),6060.0)</f>
        <v>6060</v>
      </c>
      <c r="E1455" s="1">
        <f>IFERROR(__xludf.DUMMYFUNCTION("""COMPUTED_VALUE"""),6070.0)</f>
        <v>6070</v>
      </c>
      <c r="F1455" s="1">
        <f>IFERROR(__xludf.DUMMYFUNCTION("""COMPUTED_VALUE"""),4927.0)</f>
        <v>4927</v>
      </c>
    </row>
    <row r="1456">
      <c r="A1456" s="2">
        <f>IFERROR(__xludf.DUMMYFUNCTION("""COMPUTED_VALUE"""),43070.64583333333)</f>
        <v>43070.64583</v>
      </c>
      <c r="B1456" s="1">
        <f>IFERROR(__xludf.DUMMYFUNCTION("""COMPUTED_VALUE"""),6060.0)</f>
        <v>6060</v>
      </c>
      <c r="C1456" s="1">
        <f>IFERROR(__xludf.DUMMYFUNCTION("""COMPUTED_VALUE"""),6070.0)</f>
        <v>6070</v>
      </c>
      <c r="D1456" s="1">
        <f>IFERROR(__xludf.DUMMYFUNCTION("""COMPUTED_VALUE"""),6010.0)</f>
        <v>6010</v>
      </c>
      <c r="E1456" s="1">
        <f>IFERROR(__xludf.DUMMYFUNCTION("""COMPUTED_VALUE"""),6060.0)</f>
        <v>6060</v>
      </c>
      <c r="F1456" s="1">
        <f>IFERROR(__xludf.DUMMYFUNCTION("""COMPUTED_VALUE"""),13014.0)</f>
        <v>13014</v>
      </c>
    </row>
    <row r="1457">
      <c r="A1457" s="2">
        <f>IFERROR(__xludf.DUMMYFUNCTION("""COMPUTED_VALUE"""),43073.64583333333)</f>
        <v>43073.64583</v>
      </c>
      <c r="B1457" s="1">
        <f>IFERROR(__xludf.DUMMYFUNCTION("""COMPUTED_VALUE"""),6060.0)</f>
        <v>6060</v>
      </c>
      <c r="C1457" s="1">
        <f>IFERROR(__xludf.DUMMYFUNCTION("""COMPUTED_VALUE"""),6060.0)</f>
        <v>6060</v>
      </c>
      <c r="D1457" s="1">
        <f>IFERROR(__xludf.DUMMYFUNCTION("""COMPUTED_VALUE"""),5910.0)</f>
        <v>5910</v>
      </c>
      <c r="E1457" s="1">
        <f>IFERROR(__xludf.DUMMYFUNCTION("""COMPUTED_VALUE"""),6060.0)</f>
        <v>6060</v>
      </c>
      <c r="F1457" s="1">
        <f>IFERROR(__xludf.DUMMYFUNCTION("""COMPUTED_VALUE"""),24849.0)</f>
        <v>24849</v>
      </c>
    </row>
    <row r="1458">
      <c r="A1458" s="2">
        <f>IFERROR(__xludf.DUMMYFUNCTION("""COMPUTED_VALUE"""),43074.64583333333)</f>
        <v>43074.64583</v>
      </c>
      <c r="B1458" s="1">
        <f>IFERROR(__xludf.DUMMYFUNCTION("""COMPUTED_VALUE"""),6020.0)</f>
        <v>6020</v>
      </c>
      <c r="C1458" s="1">
        <f>IFERROR(__xludf.DUMMYFUNCTION("""COMPUTED_VALUE"""),6100.0)</f>
        <v>6100</v>
      </c>
      <c r="D1458" s="1">
        <f>IFERROR(__xludf.DUMMYFUNCTION("""COMPUTED_VALUE"""),6000.0)</f>
        <v>6000</v>
      </c>
      <c r="E1458" s="1">
        <f>IFERROR(__xludf.DUMMYFUNCTION("""COMPUTED_VALUE"""),6100.0)</f>
        <v>6100</v>
      </c>
      <c r="F1458" s="1">
        <f>IFERROR(__xludf.DUMMYFUNCTION("""COMPUTED_VALUE"""),14461.0)</f>
        <v>14461</v>
      </c>
    </row>
    <row r="1459">
      <c r="A1459" s="2">
        <f>IFERROR(__xludf.DUMMYFUNCTION("""COMPUTED_VALUE"""),43075.64583333333)</f>
        <v>43075.64583</v>
      </c>
      <c r="B1459" s="1">
        <f>IFERROR(__xludf.DUMMYFUNCTION("""COMPUTED_VALUE"""),6100.0)</f>
        <v>6100</v>
      </c>
      <c r="C1459" s="1">
        <f>IFERROR(__xludf.DUMMYFUNCTION("""COMPUTED_VALUE"""),6130.0)</f>
        <v>6130</v>
      </c>
      <c r="D1459" s="1">
        <f>IFERROR(__xludf.DUMMYFUNCTION("""COMPUTED_VALUE"""),6010.0)</f>
        <v>6010</v>
      </c>
      <c r="E1459" s="1">
        <f>IFERROR(__xludf.DUMMYFUNCTION("""COMPUTED_VALUE"""),6060.0)</f>
        <v>6060</v>
      </c>
      <c r="F1459" s="1">
        <f>IFERROR(__xludf.DUMMYFUNCTION("""COMPUTED_VALUE"""),9784.0)</f>
        <v>9784</v>
      </c>
    </row>
    <row r="1460">
      <c r="A1460" s="2">
        <f>IFERROR(__xludf.DUMMYFUNCTION("""COMPUTED_VALUE"""),43076.64583333333)</f>
        <v>43076.64583</v>
      </c>
      <c r="B1460" s="1">
        <f>IFERROR(__xludf.DUMMYFUNCTION("""COMPUTED_VALUE"""),6090.0)</f>
        <v>6090</v>
      </c>
      <c r="C1460" s="1">
        <f>IFERROR(__xludf.DUMMYFUNCTION("""COMPUTED_VALUE"""),6090.0)</f>
        <v>6090</v>
      </c>
      <c r="D1460" s="1">
        <f>IFERROR(__xludf.DUMMYFUNCTION("""COMPUTED_VALUE"""),6020.0)</f>
        <v>6020</v>
      </c>
      <c r="E1460" s="1">
        <f>IFERROR(__xludf.DUMMYFUNCTION("""COMPUTED_VALUE"""),6080.0)</f>
        <v>6080</v>
      </c>
      <c r="F1460" s="1">
        <f>IFERROR(__xludf.DUMMYFUNCTION("""COMPUTED_VALUE"""),10299.0)</f>
        <v>10299</v>
      </c>
    </row>
    <row r="1461">
      <c r="A1461" s="2">
        <f>IFERROR(__xludf.DUMMYFUNCTION("""COMPUTED_VALUE"""),43077.64583333333)</f>
        <v>43077.64583</v>
      </c>
      <c r="B1461" s="1">
        <f>IFERROR(__xludf.DUMMYFUNCTION("""COMPUTED_VALUE"""),6100.0)</f>
        <v>6100</v>
      </c>
      <c r="C1461" s="1">
        <f>IFERROR(__xludf.DUMMYFUNCTION("""COMPUTED_VALUE"""),6100.0)</f>
        <v>6100</v>
      </c>
      <c r="D1461" s="1">
        <f>IFERROR(__xludf.DUMMYFUNCTION("""COMPUTED_VALUE"""),6010.0)</f>
        <v>6010</v>
      </c>
      <c r="E1461" s="1">
        <f>IFERROR(__xludf.DUMMYFUNCTION("""COMPUTED_VALUE"""),6050.0)</f>
        <v>6050</v>
      </c>
      <c r="F1461" s="1">
        <f>IFERROR(__xludf.DUMMYFUNCTION("""COMPUTED_VALUE"""),9724.0)</f>
        <v>9724</v>
      </c>
    </row>
    <row r="1462">
      <c r="A1462" s="2">
        <f>IFERROR(__xludf.DUMMYFUNCTION("""COMPUTED_VALUE"""),43080.64583333333)</f>
        <v>43080.64583</v>
      </c>
      <c r="B1462" s="1">
        <f>IFERROR(__xludf.DUMMYFUNCTION("""COMPUTED_VALUE"""),6060.0)</f>
        <v>6060</v>
      </c>
      <c r="C1462" s="1">
        <f>IFERROR(__xludf.DUMMYFUNCTION("""COMPUTED_VALUE"""),6110.0)</f>
        <v>6110</v>
      </c>
      <c r="D1462" s="1">
        <f>IFERROR(__xludf.DUMMYFUNCTION("""COMPUTED_VALUE"""),6000.0)</f>
        <v>6000</v>
      </c>
      <c r="E1462" s="1">
        <f>IFERROR(__xludf.DUMMYFUNCTION("""COMPUTED_VALUE"""),6020.0)</f>
        <v>6020</v>
      </c>
      <c r="F1462" s="1">
        <f>IFERROR(__xludf.DUMMYFUNCTION("""COMPUTED_VALUE"""),21193.0)</f>
        <v>21193</v>
      </c>
    </row>
    <row r="1463">
      <c r="A1463" s="2">
        <f>IFERROR(__xludf.DUMMYFUNCTION("""COMPUTED_VALUE"""),43081.64583333333)</f>
        <v>43081.64583</v>
      </c>
      <c r="B1463" s="1">
        <f>IFERROR(__xludf.DUMMYFUNCTION("""COMPUTED_VALUE"""),6110.0)</f>
        <v>6110</v>
      </c>
      <c r="C1463" s="1">
        <f>IFERROR(__xludf.DUMMYFUNCTION("""COMPUTED_VALUE"""),6110.0)</f>
        <v>6110</v>
      </c>
      <c r="D1463" s="1">
        <f>IFERROR(__xludf.DUMMYFUNCTION("""COMPUTED_VALUE"""),6000.0)</f>
        <v>6000</v>
      </c>
      <c r="E1463" s="1">
        <f>IFERROR(__xludf.DUMMYFUNCTION("""COMPUTED_VALUE"""),6010.0)</f>
        <v>6010</v>
      </c>
      <c r="F1463" s="1">
        <f>IFERROR(__xludf.DUMMYFUNCTION("""COMPUTED_VALUE"""),42236.0)</f>
        <v>42236</v>
      </c>
    </row>
    <row r="1464">
      <c r="A1464" s="2">
        <f>IFERROR(__xludf.DUMMYFUNCTION("""COMPUTED_VALUE"""),43083.64583333333)</f>
        <v>43083.64583</v>
      </c>
      <c r="B1464" s="1">
        <f>IFERROR(__xludf.DUMMYFUNCTION("""COMPUTED_VALUE"""),6100.0)</f>
        <v>6100</v>
      </c>
      <c r="C1464" s="1">
        <f>IFERROR(__xludf.DUMMYFUNCTION("""COMPUTED_VALUE"""),6100.0)</f>
        <v>6100</v>
      </c>
      <c r="D1464" s="1">
        <f>IFERROR(__xludf.DUMMYFUNCTION("""COMPUTED_VALUE"""),6030.0)</f>
        <v>6030</v>
      </c>
      <c r="E1464" s="1">
        <f>IFERROR(__xludf.DUMMYFUNCTION("""COMPUTED_VALUE"""),6090.0)</f>
        <v>6090</v>
      </c>
      <c r="F1464" s="1">
        <f>IFERROR(__xludf.DUMMYFUNCTION("""COMPUTED_VALUE"""),17496.0)</f>
        <v>17496</v>
      </c>
    </row>
    <row r="1465">
      <c r="A1465" s="2">
        <f>IFERROR(__xludf.DUMMYFUNCTION("""COMPUTED_VALUE"""),43084.64583333333)</f>
        <v>43084.64583</v>
      </c>
      <c r="B1465" s="1">
        <f>IFERROR(__xludf.DUMMYFUNCTION("""COMPUTED_VALUE"""),6110.0)</f>
        <v>6110</v>
      </c>
      <c r="C1465" s="1">
        <f>IFERROR(__xludf.DUMMYFUNCTION("""COMPUTED_VALUE"""),6110.0)</f>
        <v>6110</v>
      </c>
      <c r="D1465" s="1">
        <f>IFERROR(__xludf.DUMMYFUNCTION("""COMPUTED_VALUE"""),6010.0)</f>
        <v>6010</v>
      </c>
      <c r="E1465" s="1">
        <f>IFERROR(__xludf.DUMMYFUNCTION("""COMPUTED_VALUE"""),6080.0)</f>
        <v>6080</v>
      </c>
      <c r="F1465" s="1">
        <f>IFERROR(__xludf.DUMMYFUNCTION("""COMPUTED_VALUE"""),18351.0)</f>
        <v>18351</v>
      </c>
    </row>
    <row r="1466">
      <c r="A1466" s="2">
        <f>IFERROR(__xludf.DUMMYFUNCTION("""COMPUTED_VALUE"""),43087.64583333333)</f>
        <v>43087.64583</v>
      </c>
      <c r="B1466" s="1">
        <f>IFERROR(__xludf.DUMMYFUNCTION("""COMPUTED_VALUE"""),6120.0)</f>
        <v>6120</v>
      </c>
      <c r="C1466" s="1">
        <f>IFERROR(__xludf.DUMMYFUNCTION("""COMPUTED_VALUE"""),6120.0)</f>
        <v>6120</v>
      </c>
      <c r="D1466" s="1">
        <f>IFERROR(__xludf.DUMMYFUNCTION("""COMPUTED_VALUE"""),6070.0)</f>
        <v>6070</v>
      </c>
      <c r="E1466" s="1">
        <f>IFERROR(__xludf.DUMMYFUNCTION("""COMPUTED_VALUE"""),6100.0)</f>
        <v>6100</v>
      </c>
      <c r="F1466" s="1">
        <f>IFERROR(__xludf.DUMMYFUNCTION("""COMPUTED_VALUE"""),11789.0)</f>
        <v>11789</v>
      </c>
    </row>
    <row r="1467">
      <c r="A1467" s="2">
        <f>IFERROR(__xludf.DUMMYFUNCTION("""COMPUTED_VALUE"""),43088.64583333333)</f>
        <v>43088.64583</v>
      </c>
      <c r="B1467" s="1">
        <f>IFERROR(__xludf.DUMMYFUNCTION("""COMPUTED_VALUE"""),6140.0)</f>
        <v>6140</v>
      </c>
      <c r="C1467" s="1">
        <f>IFERROR(__xludf.DUMMYFUNCTION("""COMPUTED_VALUE"""),6140.0)</f>
        <v>6140</v>
      </c>
      <c r="D1467" s="1">
        <f>IFERROR(__xludf.DUMMYFUNCTION("""COMPUTED_VALUE"""),6060.0)</f>
        <v>6060</v>
      </c>
      <c r="E1467" s="1">
        <f>IFERROR(__xludf.DUMMYFUNCTION("""COMPUTED_VALUE"""),6100.0)</f>
        <v>6100</v>
      </c>
      <c r="F1467" s="1">
        <f>IFERROR(__xludf.DUMMYFUNCTION("""COMPUTED_VALUE"""),13617.0)</f>
        <v>13617</v>
      </c>
    </row>
    <row r="1468">
      <c r="A1468" s="2">
        <f>IFERROR(__xludf.DUMMYFUNCTION("""COMPUTED_VALUE"""),43089.64583333333)</f>
        <v>43089.64583</v>
      </c>
      <c r="B1468" s="1">
        <f>IFERROR(__xludf.DUMMYFUNCTION("""COMPUTED_VALUE"""),6080.0)</f>
        <v>6080</v>
      </c>
      <c r="C1468" s="1">
        <f>IFERROR(__xludf.DUMMYFUNCTION("""COMPUTED_VALUE"""),6110.0)</f>
        <v>6110</v>
      </c>
      <c r="D1468" s="1">
        <f>IFERROR(__xludf.DUMMYFUNCTION("""COMPUTED_VALUE"""),6050.0)</f>
        <v>6050</v>
      </c>
      <c r="E1468" s="1">
        <f>IFERROR(__xludf.DUMMYFUNCTION("""COMPUTED_VALUE"""),6100.0)</f>
        <v>6100</v>
      </c>
      <c r="F1468" s="1">
        <f>IFERROR(__xludf.DUMMYFUNCTION("""COMPUTED_VALUE"""),12069.0)</f>
        <v>12069</v>
      </c>
    </row>
    <row r="1469">
      <c r="A1469" s="2">
        <f>IFERROR(__xludf.DUMMYFUNCTION("""COMPUTED_VALUE"""),43090.64583333333)</f>
        <v>43090.64583</v>
      </c>
      <c r="B1469" s="1">
        <f>IFERROR(__xludf.DUMMYFUNCTION("""COMPUTED_VALUE"""),6080.0)</f>
        <v>6080</v>
      </c>
      <c r="C1469" s="1">
        <f>IFERROR(__xludf.DUMMYFUNCTION("""COMPUTED_VALUE"""),6130.0)</f>
        <v>6130</v>
      </c>
      <c r="D1469" s="1">
        <f>IFERROR(__xludf.DUMMYFUNCTION("""COMPUTED_VALUE"""),6050.0)</f>
        <v>6050</v>
      </c>
      <c r="E1469" s="1">
        <f>IFERROR(__xludf.DUMMYFUNCTION("""COMPUTED_VALUE"""),6060.0)</f>
        <v>6060</v>
      </c>
      <c r="F1469" s="1">
        <f>IFERROR(__xludf.DUMMYFUNCTION("""COMPUTED_VALUE"""),11210.0)</f>
        <v>11210</v>
      </c>
    </row>
    <row r="1470">
      <c r="A1470" s="2">
        <f>IFERROR(__xludf.DUMMYFUNCTION("""COMPUTED_VALUE"""),43091.64583333333)</f>
        <v>43091.64583</v>
      </c>
      <c r="B1470" s="1">
        <f>IFERROR(__xludf.DUMMYFUNCTION("""COMPUTED_VALUE"""),6110.0)</f>
        <v>6110</v>
      </c>
      <c r="C1470" s="1">
        <f>IFERROR(__xludf.DUMMYFUNCTION("""COMPUTED_VALUE"""),6120.0)</f>
        <v>6120</v>
      </c>
      <c r="D1470" s="1">
        <f>IFERROR(__xludf.DUMMYFUNCTION("""COMPUTED_VALUE"""),6040.0)</f>
        <v>6040</v>
      </c>
      <c r="E1470" s="1">
        <f>IFERROR(__xludf.DUMMYFUNCTION("""COMPUTED_VALUE"""),6080.0)</f>
        <v>6080</v>
      </c>
      <c r="F1470" s="1">
        <f>IFERROR(__xludf.DUMMYFUNCTION("""COMPUTED_VALUE"""),26590.0)</f>
        <v>26590</v>
      </c>
    </row>
    <row r="1471">
      <c r="A1471" s="2">
        <f>IFERROR(__xludf.DUMMYFUNCTION("""COMPUTED_VALUE"""),43095.64583333333)</f>
        <v>43095.64583</v>
      </c>
      <c r="B1471" s="1">
        <f>IFERROR(__xludf.DUMMYFUNCTION("""COMPUTED_VALUE"""),6090.0)</f>
        <v>6090</v>
      </c>
      <c r="C1471" s="1">
        <f>IFERROR(__xludf.DUMMYFUNCTION("""COMPUTED_VALUE"""),6170.0)</f>
        <v>6170</v>
      </c>
      <c r="D1471" s="1">
        <f>IFERROR(__xludf.DUMMYFUNCTION("""COMPUTED_VALUE"""),6090.0)</f>
        <v>6090</v>
      </c>
      <c r="E1471" s="1">
        <f>IFERROR(__xludf.DUMMYFUNCTION("""COMPUTED_VALUE"""),6160.0)</f>
        <v>6160</v>
      </c>
      <c r="F1471" s="1">
        <f>IFERROR(__xludf.DUMMYFUNCTION("""COMPUTED_VALUE"""),37217.0)</f>
        <v>37217</v>
      </c>
    </row>
    <row r="1472">
      <c r="A1472" s="2">
        <f>IFERROR(__xludf.DUMMYFUNCTION("""COMPUTED_VALUE"""),43096.64583333333)</f>
        <v>43096.64583</v>
      </c>
      <c r="B1472" s="1">
        <f>IFERROR(__xludf.DUMMYFUNCTION("""COMPUTED_VALUE"""),6070.0)</f>
        <v>6070</v>
      </c>
      <c r="C1472" s="1">
        <f>IFERROR(__xludf.DUMMYFUNCTION("""COMPUTED_VALUE"""),6070.0)</f>
        <v>6070</v>
      </c>
      <c r="D1472" s="1">
        <f>IFERROR(__xludf.DUMMYFUNCTION("""COMPUTED_VALUE"""),5980.0)</f>
        <v>5980</v>
      </c>
      <c r="E1472" s="1">
        <f>IFERROR(__xludf.DUMMYFUNCTION("""COMPUTED_VALUE"""),5990.0)</f>
        <v>5990</v>
      </c>
      <c r="F1472" s="1">
        <f>IFERROR(__xludf.DUMMYFUNCTION("""COMPUTED_VALUE"""),31992.0)</f>
        <v>31992</v>
      </c>
    </row>
    <row r="1473">
      <c r="A1473" s="2">
        <f>IFERROR(__xludf.DUMMYFUNCTION("""COMPUTED_VALUE"""),43097.64583333333)</f>
        <v>43097.64583</v>
      </c>
      <c r="B1473" s="1">
        <f>IFERROR(__xludf.DUMMYFUNCTION("""COMPUTED_VALUE"""),6020.0)</f>
        <v>6020</v>
      </c>
      <c r="C1473" s="1">
        <f>IFERROR(__xludf.DUMMYFUNCTION("""COMPUTED_VALUE"""),6030.0)</f>
        <v>6030</v>
      </c>
      <c r="D1473" s="1">
        <f>IFERROR(__xludf.DUMMYFUNCTION("""COMPUTED_VALUE"""),5960.0)</f>
        <v>5960</v>
      </c>
      <c r="E1473" s="1">
        <f>IFERROR(__xludf.DUMMYFUNCTION("""COMPUTED_VALUE"""),6010.0)</f>
        <v>6010</v>
      </c>
      <c r="F1473" s="1">
        <f>IFERROR(__xludf.DUMMYFUNCTION("""COMPUTED_VALUE"""),8107.0)</f>
        <v>8107</v>
      </c>
    </row>
    <row r="1474">
      <c r="A1474" s="2">
        <f>IFERROR(__xludf.DUMMYFUNCTION("""COMPUTED_VALUE"""),43102.64583333333)</f>
        <v>43102.64583</v>
      </c>
      <c r="B1474" s="1">
        <f>IFERROR(__xludf.DUMMYFUNCTION("""COMPUTED_VALUE"""),6250.0)</f>
        <v>6250</v>
      </c>
      <c r="C1474" s="1">
        <f>IFERROR(__xludf.DUMMYFUNCTION("""COMPUTED_VALUE"""),6250.0)</f>
        <v>6250</v>
      </c>
      <c r="D1474" s="1">
        <f>IFERROR(__xludf.DUMMYFUNCTION("""COMPUTED_VALUE"""),5800.0)</f>
        <v>5800</v>
      </c>
      <c r="E1474" s="1">
        <f>IFERROR(__xludf.DUMMYFUNCTION("""COMPUTED_VALUE"""),5900.0)</f>
        <v>5900</v>
      </c>
      <c r="F1474" s="1">
        <f>IFERROR(__xludf.DUMMYFUNCTION("""COMPUTED_VALUE"""),33664.0)</f>
        <v>33664</v>
      </c>
    </row>
    <row r="1475">
      <c r="A1475" s="2">
        <f>IFERROR(__xludf.DUMMYFUNCTION("""COMPUTED_VALUE"""),43103.64583333333)</f>
        <v>43103.64583</v>
      </c>
      <c r="B1475" s="1">
        <f>IFERROR(__xludf.DUMMYFUNCTION("""COMPUTED_VALUE"""),5920.0)</f>
        <v>5920</v>
      </c>
      <c r="C1475" s="1">
        <f>IFERROR(__xludf.DUMMYFUNCTION("""COMPUTED_VALUE"""),5960.0)</f>
        <v>5960</v>
      </c>
      <c r="D1475" s="1">
        <f>IFERROR(__xludf.DUMMYFUNCTION("""COMPUTED_VALUE"""),5840.0)</f>
        <v>5840</v>
      </c>
      <c r="E1475" s="1">
        <f>IFERROR(__xludf.DUMMYFUNCTION("""COMPUTED_VALUE"""),5880.0)</f>
        <v>5880</v>
      </c>
      <c r="F1475" s="1">
        <f>IFERROR(__xludf.DUMMYFUNCTION("""COMPUTED_VALUE"""),8399.0)</f>
        <v>8399</v>
      </c>
    </row>
    <row r="1476">
      <c r="A1476" s="2">
        <f>IFERROR(__xludf.DUMMYFUNCTION("""COMPUTED_VALUE"""),43104.64583333333)</f>
        <v>43104.64583</v>
      </c>
      <c r="B1476" s="1">
        <f>IFERROR(__xludf.DUMMYFUNCTION("""COMPUTED_VALUE"""),5880.0)</f>
        <v>5880</v>
      </c>
      <c r="C1476" s="1">
        <f>IFERROR(__xludf.DUMMYFUNCTION("""COMPUTED_VALUE"""),5890.0)</f>
        <v>5890</v>
      </c>
      <c r="D1476" s="1">
        <f>IFERROR(__xludf.DUMMYFUNCTION("""COMPUTED_VALUE"""),5810.0)</f>
        <v>5810</v>
      </c>
      <c r="E1476" s="1">
        <f>IFERROR(__xludf.DUMMYFUNCTION("""COMPUTED_VALUE"""),5860.0)</f>
        <v>5860</v>
      </c>
      <c r="F1476" s="1">
        <f>IFERROR(__xludf.DUMMYFUNCTION("""COMPUTED_VALUE"""),13769.0)</f>
        <v>13769</v>
      </c>
    </row>
    <row r="1477">
      <c r="A1477" s="2">
        <f>IFERROR(__xludf.DUMMYFUNCTION("""COMPUTED_VALUE"""),43105.64583333333)</f>
        <v>43105.64583</v>
      </c>
      <c r="B1477" s="1">
        <f>IFERROR(__xludf.DUMMYFUNCTION("""COMPUTED_VALUE"""),5810.0)</f>
        <v>5810</v>
      </c>
      <c r="C1477" s="1">
        <f>IFERROR(__xludf.DUMMYFUNCTION("""COMPUTED_VALUE"""),5900.0)</f>
        <v>5900</v>
      </c>
      <c r="D1477" s="1">
        <f>IFERROR(__xludf.DUMMYFUNCTION("""COMPUTED_VALUE"""),5810.0)</f>
        <v>5810</v>
      </c>
      <c r="E1477" s="1">
        <f>IFERROR(__xludf.DUMMYFUNCTION("""COMPUTED_VALUE"""),5860.0)</f>
        <v>5860</v>
      </c>
      <c r="F1477" s="1">
        <f>IFERROR(__xludf.DUMMYFUNCTION("""COMPUTED_VALUE"""),17731.0)</f>
        <v>17731</v>
      </c>
    </row>
    <row r="1478">
      <c r="A1478" s="2">
        <f>IFERROR(__xludf.DUMMYFUNCTION("""COMPUTED_VALUE"""),43108.64583333333)</f>
        <v>43108.64583</v>
      </c>
      <c r="B1478" s="1">
        <f>IFERROR(__xludf.DUMMYFUNCTION("""COMPUTED_VALUE"""),5860.0)</f>
        <v>5860</v>
      </c>
      <c r="C1478" s="1">
        <f>IFERROR(__xludf.DUMMYFUNCTION("""COMPUTED_VALUE"""),5860.0)</f>
        <v>5860</v>
      </c>
      <c r="D1478" s="1">
        <f>IFERROR(__xludf.DUMMYFUNCTION("""COMPUTED_VALUE"""),5710.0)</f>
        <v>5710</v>
      </c>
      <c r="E1478" s="1">
        <f>IFERROR(__xludf.DUMMYFUNCTION("""COMPUTED_VALUE"""),5800.0)</f>
        <v>5800</v>
      </c>
      <c r="F1478" s="1">
        <f>IFERROR(__xludf.DUMMYFUNCTION("""COMPUTED_VALUE"""),28251.0)</f>
        <v>28251</v>
      </c>
    </row>
    <row r="1479">
      <c r="A1479" s="2">
        <f>IFERROR(__xludf.DUMMYFUNCTION("""COMPUTED_VALUE"""),43109.64583333333)</f>
        <v>43109.64583</v>
      </c>
      <c r="B1479" s="1">
        <f>IFERROR(__xludf.DUMMYFUNCTION("""COMPUTED_VALUE"""),5780.0)</f>
        <v>5780</v>
      </c>
      <c r="C1479" s="1">
        <f>IFERROR(__xludf.DUMMYFUNCTION("""COMPUTED_VALUE"""),5840.0)</f>
        <v>5840</v>
      </c>
      <c r="D1479" s="1">
        <f>IFERROR(__xludf.DUMMYFUNCTION("""COMPUTED_VALUE"""),5750.0)</f>
        <v>5750</v>
      </c>
      <c r="E1479" s="1">
        <f>IFERROR(__xludf.DUMMYFUNCTION("""COMPUTED_VALUE"""),5790.0)</f>
        <v>5790</v>
      </c>
      <c r="F1479" s="1">
        <f>IFERROR(__xludf.DUMMYFUNCTION("""COMPUTED_VALUE"""),17379.0)</f>
        <v>17379</v>
      </c>
    </row>
    <row r="1480">
      <c r="A1480" s="2">
        <f>IFERROR(__xludf.DUMMYFUNCTION("""COMPUTED_VALUE"""),43110.64583333333)</f>
        <v>43110.64583</v>
      </c>
      <c r="B1480" s="1">
        <f>IFERROR(__xludf.DUMMYFUNCTION("""COMPUTED_VALUE"""),5800.0)</f>
        <v>5800</v>
      </c>
      <c r="C1480" s="1">
        <f>IFERROR(__xludf.DUMMYFUNCTION("""COMPUTED_VALUE"""),5840.0)</f>
        <v>5840</v>
      </c>
      <c r="D1480" s="1">
        <f>IFERROR(__xludf.DUMMYFUNCTION("""COMPUTED_VALUE"""),5770.0)</f>
        <v>5770</v>
      </c>
      <c r="E1480" s="1">
        <f>IFERROR(__xludf.DUMMYFUNCTION("""COMPUTED_VALUE"""),5770.0)</f>
        <v>5770</v>
      </c>
      <c r="F1480" s="1">
        <f>IFERROR(__xludf.DUMMYFUNCTION("""COMPUTED_VALUE"""),9067.0)</f>
        <v>9067</v>
      </c>
    </row>
    <row r="1481">
      <c r="A1481" s="2">
        <f>IFERROR(__xludf.DUMMYFUNCTION("""COMPUTED_VALUE"""),43111.64583333333)</f>
        <v>43111.64583</v>
      </c>
      <c r="B1481" s="1">
        <f>IFERROR(__xludf.DUMMYFUNCTION("""COMPUTED_VALUE"""),5770.0)</f>
        <v>5770</v>
      </c>
      <c r="C1481" s="1">
        <f>IFERROR(__xludf.DUMMYFUNCTION("""COMPUTED_VALUE"""),5850.0)</f>
        <v>5850</v>
      </c>
      <c r="D1481" s="1">
        <f>IFERROR(__xludf.DUMMYFUNCTION("""COMPUTED_VALUE"""),5770.0)</f>
        <v>5770</v>
      </c>
      <c r="E1481" s="1">
        <f>IFERROR(__xludf.DUMMYFUNCTION("""COMPUTED_VALUE"""),5850.0)</f>
        <v>5850</v>
      </c>
      <c r="F1481" s="1">
        <f>IFERROR(__xludf.DUMMYFUNCTION("""COMPUTED_VALUE"""),7719.0)</f>
        <v>7719</v>
      </c>
    </row>
    <row r="1482">
      <c r="A1482" s="2">
        <f>IFERROR(__xludf.DUMMYFUNCTION("""COMPUTED_VALUE"""),43112.64583333333)</f>
        <v>43112.64583</v>
      </c>
      <c r="B1482" s="1">
        <f>IFERROR(__xludf.DUMMYFUNCTION("""COMPUTED_VALUE"""),5810.0)</f>
        <v>5810</v>
      </c>
      <c r="C1482" s="1">
        <f>IFERROR(__xludf.DUMMYFUNCTION("""COMPUTED_VALUE"""),5890.0)</f>
        <v>5890</v>
      </c>
      <c r="D1482" s="1">
        <f>IFERROR(__xludf.DUMMYFUNCTION("""COMPUTED_VALUE"""),5770.0)</f>
        <v>5770</v>
      </c>
      <c r="E1482" s="1">
        <f>IFERROR(__xludf.DUMMYFUNCTION("""COMPUTED_VALUE"""),5770.0)</f>
        <v>5770</v>
      </c>
      <c r="F1482" s="1">
        <f>IFERROR(__xludf.DUMMYFUNCTION("""COMPUTED_VALUE"""),10187.0)</f>
        <v>10187</v>
      </c>
    </row>
    <row r="1483">
      <c r="A1483" s="2">
        <f>IFERROR(__xludf.DUMMYFUNCTION("""COMPUTED_VALUE"""),43115.64583333333)</f>
        <v>43115.64583</v>
      </c>
      <c r="B1483" s="1">
        <f>IFERROR(__xludf.DUMMYFUNCTION("""COMPUTED_VALUE"""),5770.0)</f>
        <v>5770</v>
      </c>
      <c r="C1483" s="1">
        <f>IFERROR(__xludf.DUMMYFUNCTION("""COMPUTED_VALUE"""),5790.0)</f>
        <v>5790</v>
      </c>
      <c r="D1483" s="1">
        <f>IFERROR(__xludf.DUMMYFUNCTION("""COMPUTED_VALUE"""),5740.0)</f>
        <v>5740</v>
      </c>
      <c r="E1483" s="1">
        <f>IFERROR(__xludf.DUMMYFUNCTION("""COMPUTED_VALUE"""),5760.0)</f>
        <v>5760</v>
      </c>
      <c r="F1483" s="1">
        <f>IFERROR(__xludf.DUMMYFUNCTION("""COMPUTED_VALUE"""),5374.0)</f>
        <v>5374</v>
      </c>
    </row>
    <row r="1484">
      <c r="A1484" s="2">
        <f>IFERROR(__xludf.DUMMYFUNCTION("""COMPUTED_VALUE"""),43116.64583333333)</f>
        <v>43116.64583</v>
      </c>
      <c r="B1484" s="1">
        <f>IFERROR(__xludf.DUMMYFUNCTION("""COMPUTED_VALUE"""),5740.0)</f>
        <v>5740</v>
      </c>
      <c r="C1484" s="1">
        <f>IFERROR(__xludf.DUMMYFUNCTION("""COMPUTED_VALUE"""),5780.0)</f>
        <v>5780</v>
      </c>
      <c r="D1484" s="1">
        <f>IFERROR(__xludf.DUMMYFUNCTION("""COMPUTED_VALUE"""),5730.0)</f>
        <v>5730</v>
      </c>
      <c r="E1484" s="1">
        <f>IFERROR(__xludf.DUMMYFUNCTION("""COMPUTED_VALUE"""),5750.0)</f>
        <v>5750</v>
      </c>
      <c r="F1484" s="1">
        <f>IFERROR(__xludf.DUMMYFUNCTION("""COMPUTED_VALUE"""),7410.0)</f>
        <v>7410</v>
      </c>
    </row>
    <row r="1485">
      <c r="A1485" s="2">
        <f>IFERROR(__xludf.DUMMYFUNCTION("""COMPUTED_VALUE"""),43117.64583333333)</f>
        <v>43117.64583</v>
      </c>
      <c r="B1485" s="1">
        <f>IFERROR(__xludf.DUMMYFUNCTION("""COMPUTED_VALUE"""),5750.0)</f>
        <v>5750</v>
      </c>
      <c r="C1485" s="1">
        <f>IFERROR(__xludf.DUMMYFUNCTION("""COMPUTED_VALUE"""),5780.0)</f>
        <v>5780</v>
      </c>
      <c r="D1485" s="1">
        <f>IFERROR(__xludf.DUMMYFUNCTION("""COMPUTED_VALUE"""),5680.0)</f>
        <v>5680</v>
      </c>
      <c r="E1485" s="1">
        <f>IFERROR(__xludf.DUMMYFUNCTION("""COMPUTED_VALUE"""),5720.0)</f>
        <v>5720</v>
      </c>
      <c r="F1485" s="1">
        <f>IFERROR(__xludf.DUMMYFUNCTION("""COMPUTED_VALUE"""),21876.0)</f>
        <v>21876</v>
      </c>
    </row>
    <row r="1486">
      <c r="A1486" s="2">
        <f>IFERROR(__xludf.DUMMYFUNCTION("""COMPUTED_VALUE"""),43118.64583333333)</f>
        <v>43118.64583</v>
      </c>
      <c r="B1486" s="1">
        <f>IFERROR(__xludf.DUMMYFUNCTION("""COMPUTED_VALUE"""),5800.0)</f>
        <v>5800</v>
      </c>
      <c r="C1486" s="1">
        <f>IFERROR(__xludf.DUMMYFUNCTION("""COMPUTED_VALUE"""),5800.0)</f>
        <v>5800</v>
      </c>
      <c r="D1486" s="1">
        <f>IFERROR(__xludf.DUMMYFUNCTION("""COMPUTED_VALUE"""),5630.0)</f>
        <v>5630</v>
      </c>
      <c r="E1486" s="1">
        <f>IFERROR(__xludf.DUMMYFUNCTION("""COMPUTED_VALUE"""),5670.0)</f>
        <v>5670</v>
      </c>
      <c r="F1486" s="1">
        <f>IFERROR(__xludf.DUMMYFUNCTION("""COMPUTED_VALUE"""),24024.0)</f>
        <v>24024</v>
      </c>
    </row>
    <row r="1487">
      <c r="A1487" s="2">
        <f>IFERROR(__xludf.DUMMYFUNCTION("""COMPUTED_VALUE"""),43119.64583333333)</f>
        <v>43119.64583</v>
      </c>
      <c r="B1487" s="1">
        <f>IFERROR(__xludf.DUMMYFUNCTION("""COMPUTED_VALUE"""),5630.0)</f>
        <v>5630</v>
      </c>
      <c r="C1487" s="1">
        <f>IFERROR(__xludf.DUMMYFUNCTION("""COMPUTED_VALUE"""),5770.0)</f>
        <v>5770</v>
      </c>
      <c r="D1487" s="1">
        <f>IFERROR(__xludf.DUMMYFUNCTION("""COMPUTED_VALUE"""),5630.0)</f>
        <v>5630</v>
      </c>
      <c r="E1487" s="1">
        <f>IFERROR(__xludf.DUMMYFUNCTION("""COMPUTED_VALUE"""),5670.0)</f>
        <v>5670</v>
      </c>
      <c r="F1487" s="1">
        <f>IFERROR(__xludf.DUMMYFUNCTION("""COMPUTED_VALUE"""),11310.0)</f>
        <v>11310</v>
      </c>
    </row>
    <row r="1488">
      <c r="A1488" s="2">
        <f>IFERROR(__xludf.DUMMYFUNCTION("""COMPUTED_VALUE"""),43122.64583333333)</f>
        <v>43122.64583</v>
      </c>
      <c r="B1488" s="1">
        <f>IFERROR(__xludf.DUMMYFUNCTION("""COMPUTED_VALUE"""),5700.0)</f>
        <v>5700</v>
      </c>
      <c r="C1488" s="1">
        <f>IFERROR(__xludf.DUMMYFUNCTION("""COMPUTED_VALUE"""),5720.0)</f>
        <v>5720</v>
      </c>
      <c r="D1488" s="1">
        <f>IFERROR(__xludf.DUMMYFUNCTION("""COMPUTED_VALUE"""),5660.0)</f>
        <v>5660</v>
      </c>
      <c r="E1488" s="1">
        <f>IFERROR(__xludf.DUMMYFUNCTION("""COMPUTED_VALUE"""),5680.0)</f>
        <v>5680</v>
      </c>
      <c r="F1488" s="1">
        <f>IFERROR(__xludf.DUMMYFUNCTION("""COMPUTED_VALUE"""),6162.0)</f>
        <v>6162</v>
      </c>
    </row>
    <row r="1489">
      <c r="A1489" s="2">
        <f>IFERROR(__xludf.DUMMYFUNCTION("""COMPUTED_VALUE"""),43123.64583333333)</f>
        <v>43123.64583</v>
      </c>
      <c r="B1489" s="1">
        <f>IFERROR(__xludf.DUMMYFUNCTION("""COMPUTED_VALUE"""),5750.0)</f>
        <v>5750</v>
      </c>
      <c r="C1489" s="1">
        <f>IFERROR(__xludf.DUMMYFUNCTION("""COMPUTED_VALUE"""),5770.0)</f>
        <v>5770</v>
      </c>
      <c r="D1489" s="1">
        <f>IFERROR(__xludf.DUMMYFUNCTION("""COMPUTED_VALUE"""),5680.0)</f>
        <v>5680</v>
      </c>
      <c r="E1489" s="1">
        <f>IFERROR(__xludf.DUMMYFUNCTION("""COMPUTED_VALUE"""),5770.0)</f>
        <v>5770</v>
      </c>
      <c r="F1489" s="1">
        <f>IFERROR(__xludf.DUMMYFUNCTION("""COMPUTED_VALUE"""),17678.0)</f>
        <v>17678</v>
      </c>
    </row>
    <row r="1490">
      <c r="A1490" s="2">
        <f>IFERROR(__xludf.DUMMYFUNCTION("""COMPUTED_VALUE"""),43124.64583333333)</f>
        <v>43124.64583</v>
      </c>
      <c r="B1490" s="1">
        <f>IFERROR(__xludf.DUMMYFUNCTION("""COMPUTED_VALUE"""),5770.0)</f>
        <v>5770</v>
      </c>
      <c r="C1490" s="1">
        <f>IFERROR(__xludf.DUMMYFUNCTION("""COMPUTED_VALUE"""),5790.0)</f>
        <v>5790</v>
      </c>
      <c r="D1490" s="1">
        <f>IFERROR(__xludf.DUMMYFUNCTION("""COMPUTED_VALUE"""),5730.0)</f>
        <v>5730</v>
      </c>
      <c r="E1490" s="1">
        <f>IFERROR(__xludf.DUMMYFUNCTION("""COMPUTED_VALUE"""),5760.0)</f>
        <v>5760</v>
      </c>
      <c r="F1490" s="1">
        <f>IFERROR(__xludf.DUMMYFUNCTION("""COMPUTED_VALUE"""),12354.0)</f>
        <v>12354</v>
      </c>
    </row>
    <row r="1491">
      <c r="A1491" s="2">
        <f>IFERROR(__xludf.DUMMYFUNCTION("""COMPUTED_VALUE"""),43125.64583333333)</f>
        <v>43125.64583</v>
      </c>
      <c r="B1491" s="1">
        <f>IFERROR(__xludf.DUMMYFUNCTION("""COMPUTED_VALUE"""),5760.0)</f>
        <v>5760</v>
      </c>
      <c r="C1491" s="1">
        <f>IFERROR(__xludf.DUMMYFUNCTION("""COMPUTED_VALUE"""),5850.0)</f>
        <v>5850</v>
      </c>
      <c r="D1491" s="1">
        <f>IFERROR(__xludf.DUMMYFUNCTION("""COMPUTED_VALUE"""),5760.0)</f>
        <v>5760</v>
      </c>
      <c r="E1491" s="1">
        <f>IFERROR(__xludf.DUMMYFUNCTION("""COMPUTED_VALUE"""),5810.0)</f>
        <v>5810</v>
      </c>
      <c r="F1491" s="1">
        <f>IFERROR(__xludf.DUMMYFUNCTION("""COMPUTED_VALUE"""),11772.0)</f>
        <v>11772</v>
      </c>
    </row>
    <row r="1492">
      <c r="A1492" s="2">
        <f>IFERROR(__xludf.DUMMYFUNCTION("""COMPUTED_VALUE"""),43126.64583333333)</f>
        <v>43126.64583</v>
      </c>
      <c r="B1492" s="1">
        <f>IFERROR(__xludf.DUMMYFUNCTION("""COMPUTED_VALUE"""),5860.0)</f>
        <v>5860</v>
      </c>
      <c r="C1492" s="1">
        <f>IFERROR(__xludf.DUMMYFUNCTION("""COMPUTED_VALUE"""),5860.0)</f>
        <v>5860</v>
      </c>
      <c r="D1492" s="1">
        <f>IFERROR(__xludf.DUMMYFUNCTION("""COMPUTED_VALUE"""),5800.0)</f>
        <v>5800</v>
      </c>
      <c r="E1492" s="1">
        <f>IFERROR(__xludf.DUMMYFUNCTION("""COMPUTED_VALUE"""),5830.0)</f>
        <v>5830</v>
      </c>
      <c r="F1492" s="1">
        <f>IFERROR(__xludf.DUMMYFUNCTION("""COMPUTED_VALUE"""),3297.0)</f>
        <v>3297</v>
      </c>
    </row>
    <row r="1493">
      <c r="A1493" s="2">
        <f>IFERROR(__xludf.DUMMYFUNCTION("""COMPUTED_VALUE"""),43129.64583333333)</f>
        <v>43129.64583</v>
      </c>
      <c r="B1493" s="1">
        <f>IFERROR(__xludf.DUMMYFUNCTION("""COMPUTED_VALUE"""),5800.0)</f>
        <v>5800</v>
      </c>
      <c r="C1493" s="1">
        <f>IFERROR(__xludf.DUMMYFUNCTION("""COMPUTED_VALUE"""),6140.0)</f>
        <v>6140</v>
      </c>
      <c r="D1493" s="1">
        <f>IFERROR(__xludf.DUMMYFUNCTION("""COMPUTED_VALUE"""),5800.0)</f>
        <v>5800</v>
      </c>
      <c r="E1493" s="1">
        <f>IFERROR(__xludf.DUMMYFUNCTION("""COMPUTED_VALUE"""),6070.0)</f>
        <v>6070</v>
      </c>
      <c r="F1493" s="1">
        <f>IFERROR(__xludf.DUMMYFUNCTION("""COMPUTED_VALUE"""),103278.0)</f>
        <v>103278</v>
      </c>
    </row>
    <row r="1494">
      <c r="A1494" s="2">
        <f>IFERROR(__xludf.DUMMYFUNCTION("""COMPUTED_VALUE"""),43130.64583333333)</f>
        <v>43130.64583</v>
      </c>
      <c r="B1494" s="1">
        <f>IFERROR(__xludf.DUMMYFUNCTION("""COMPUTED_VALUE"""),6060.0)</f>
        <v>6060</v>
      </c>
      <c r="C1494" s="1">
        <f>IFERROR(__xludf.DUMMYFUNCTION("""COMPUTED_VALUE"""),6070.0)</f>
        <v>6070</v>
      </c>
      <c r="D1494" s="1">
        <f>IFERROR(__xludf.DUMMYFUNCTION("""COMPUTED_VALUE"""),5980.0)</f>
        <v>5980</v>
      </c>
      <c r="E1494" s="1">
        <f>IFERROR(__xludf.DUMMYFUNCTION("""COMPUTED_VALUE"""),6000.0)</f>
        <v>6000</v>
      </c>
      <c r="F1494" s="1">
        <f>IFERROR(__xludf.DUMMYFUNCTION("""COMPUTED_VALUE"""),5877.0)</f>
        <v>5877</v>
      </c>
    </row>
    <row r="1495">
      <c r="A1495" s="2">
        <f>IFERROR(__xludf.DUMMYFUNCTION("""COMPUTED_VALUE"""),43131.64583333333)</f>
        <v>43131.64583</v>
      </c>
      <c r="B1495" s="1">
        <f>IFERROR(__xludf.DUMMYFUNCTION("""COMPUTED_VALUE"""),5900.0)</f>
        <v>5900</v>
      </c>
      <c r="C1495" s="1">
        <f>IFERROR(__xludf.DUMMYFUNCTION("""COMPUTED_VALUE"""),5990.0)</f>
        <v>5990</v>
      </c>
      <c r="D1495" s="1">
        <f>IFERROR(__xludf.DUMMYFUNCTION("""COMPUTED_VALUE"""),5900.0)</f>
        <v>5900</v>
      </c>
      <c r="E1495" s="1">
        <f>IFERROR(__xludf.DUMMYFUNCTION("""COMPUTED_VALUE"""),5910.0)</f>
        <v>5910</v>
      </c>
      <c r="F1495" s="1">
        <f>IFERROR(__xludf.DUMMYFUNCTION("""COMPUTED_VALUE"""),9206.0)</f>
        <v>9206</v>
      </c>
    </row>
    <row r="1496">
      <c r="A1496" s="2">
        <f>IFERROR(__xludf.DUMMYFUNCTION("""COMPUTED_VALUE"""),43132.64583333333)</f>
        <v>43132.64583</v>
      </c>
      <c r="B1496" s="1">
        <f>IFERROR(__xludf.DUMMYFUNCTION("""COMPUTED_VALUE"""),5910.0)</f>
        <v>5910</v>
      </c>
      <c r="C1496" s="1">
        <f>IFERROR(__xludf.DUMMYFUNCTION("""COMPUTED_VALUE"""),6020.0)</f>
        <v>6020</v>
      </c>
      <c r="D1496" s="1">
        <f>IFERROR(__xludf.DUMMYFUNCTION("""COMPUTED_VALUE"""),5910.0)</f>
        <v>5910</v>
      </c>
      <c r="E1496" s="1">
        <f>IFERROR(__xludf.DUMMYFUNCTION("""COMPUTED_VALUE"""),6000.0)</f>
        <v>6000</v>
      </c>
      <c r="F1496" s="1">
        <f>IFERROR(__xludf.DUMMYFUNCTION("""COMPUTED_VALUE"""),12319.0)</f>
        <v>12319</v>
      </c>
    </row>
    <row r="1497">
      <c r="A1497" s="2">
        <f>IFERROR(__xludf.DUMMYFUNCTION("""COMPUTED_VALUE"""),43133.64583333333)</f>
        <v>43133.64583</v>
      </c>
      <c r="B1497" s="1">
        <f>IFERROR(__xludf.DUMMYFUNCTION("""COMPUTED_VALUE"""),5950.0)</f>
        <v>5950</v>
      </c>
      <c r="C1497" s="1">
        <f>IFERROR(__xludf.DUMMYFUNCTION("""COMPUTED_VALUE"""),6200.0)</f>
        <v>6200</v>
      </c>
      <c r="D1497" s="1">
        <f>IFERROR(__xludf.DUMMYFUNCTION("""COMPUTED_VALUE"""),5850.0)</f>
        <v>5850</v>
      </c>
      <c r="E1497" s="1">
        <f>IFERROR(__xludf.DUMMYFUNCTION("""COMPUTED_VALUE"""),5920.0)</f>
        <v>5920</v>
      </c>
      <c r="F1497" s="1">
        <f>IFERROR(__xludf.DUMMYFUNCTION("""COMPUTED_VALUE"""),46036.0)</f>
        <v>46036</v>
      </c>
    </row>
    <row r="1498">
      <c r="A1498" s="2">
        <f>IFERROR(__xludf.DUMMYFUNCTION("""COMPUTED_VALUE"""),43136.64583333333)</f>
        <v>43136.64583</v>
      </c>
      <c r="B1498" s="1">
        <f>IFERROR(__xludf.DUMMYFUNCTION("""COMPUTED_VALUE"""),5900.0)</f>
        <v>5900</v>
      </c>
      <c r="C1498" s="1">
        <f>IFERROR(__xludf.DUMMYFUNCTION("""COMPUTED_VALUE"""),6200.0)</f>
        <v>6200</v>
      </c>
      <c r="D1498" s="1">
        <f>IFERROR(__xludf.DUMMYFUNCTION("""COMPUTED_VALUE"""),5850.0)</f>
        <v>5850</v>
      </c>
      <c r="E1498" s="1">
        <f>IFERROR(__xludf.DUMMYFUNCTION("""COMPUTED_VALUE"""),5910.0)</f>
        <v>5910</v>
      </c>
      <c r="F1498" s="1">
        <f>IFERROR(__xludf.DUMMYFUNCTION("""COMPUTED_VALUE"""),32445.0)</f>
        <v>32445</v>
      </c>
    </row>
    <row r="1499">
      <c r="A1499" s="2">
        <f>IFERROR(__xludf.DUMMYFUNCTION("""COMPUTED_VALUE"""),43137.64583333333)</f>
        <v>43137.64583</v>
      </c>
      <c r="B1499" s="1">
        <f>IFERROR(__xludf.DUMMYFUNCTION("""COMPUTED_VALUE"""),5800.0)</f>
        <v>5800</v>
      </c>
      <c r="C1499" s="1">
        <f>IFERROR(__xludf.DUMMYFUNCTION("""COMPUTED_VALUE"""),6030.0)</f>
        <v>6030</v>
      </c>
      <c r="D1499" s="1">
        <f>IFERROR(__xludf.DUMMYFUNCTION("""COMPUTED_VALUE"""),5790.0)</f>
        <v>5790</v>
      </c>
      <c r="E1499" s="1">
        <f>IFERROR(__xludf.DUMMYFUNCTION("""COMPUTED_VALUE"""),5870.0)</f>
        <v>5870</v>
      </c>
      <c r="F1499" s="1">
        <f>IFERROR(__xludf.DUMMYFUNCTION("""COMPUTED_VALUE"""),33417.0)</f>
        <v>33417</v>
      </c>
    </row>
    <row r="1500">
      <c r="A1500" s="2">
        <f>IFERROR(__xludf.DUMMYFUNCTION("""COMPUTED_VALUE"""),43138.64583333333)</f>
        <v>43138.64583</v>
      </c>
      <c r="B1500" s="1">
        <f>IFERROR(__xludf.DUMMYFUNCTION("""COMPUTED_VALUE"""),5900.0)</f>
        <v>5900</v>
      </c>
      <c r="C1500" s="1">
        <f>IFERROR(__xludf.DUMMYFUNCTION("""COMPUTED_VALUE"""),6040.0)</f>
        <v>6040</v>
      </c>
      <c r="D1500" s="1">
        <f>IFERROR(__xludf.DUMMYFUNCTION("""COMPUTED_VALUE"""),5860.0)</f>
        <v>5860</v>
      </c>
      <c r="E1500" s="1">
        <f>IFERROR(__xludf.DUMMYFUNCTION("""COMPUTED_VALUE"""),6010.0)</f>
        <v>6010</v>
      </c>
      <c r="F1500" s="1">
        <f>IFERROR(__xludf.DUMMYFUNCTION("""COMPUTED_VALUE"""),49579.0)</f>
        <v>49579</v>
      </c>
    </row>
    <row r="1501">
      <c r="A1501" s="2">
        <f>IFERROR(__xludf.DUMMYFUNCTION("""COMPUTED_VALUE"""),43139.64583333333)</f>
        <v>43139.64583</v>
      </c>
      <c r="B1501" s="1">
        <f>IFERROR(__xludf.DUMMYFUNCTION("""COMPUTED_VALUE"""),6010.0)</f>
        <v>6010</v>
      </c>
      <c r="C1501" s="1">
        <f>IFERROR(__xludf.DUMMYFUNCTION("""COMPUTED_VALUE"""),6020.0)</f>
        <v>6020</v>
      </c>
      <c r="D1501" s="1">
        <f>IFERROR(__xludf.DUMMYFUNCTION("""COMPUTED_VALUE"""),5910.0)</f>
        <v>5910</v>
      </c>
      <c r="E1501" s="1">
        <f>IFERROR(__xludf.DUMMYFUNCTION("""COMPUTED_VALUE"""),6000.0)</f>
        <v>6000</v>
      </c>
      <c r="F1501" s="1">
        <f>IFERROR(__xludf.DUMMYFUNCTION("""COMPUTED_VALUE"""),4086.0)</f>
        <v>4086</v>
      </c>
    </row>
    <row r="1502">
      <c r="A1502" s="2">
        <f>IFERROR(__xludf.DUMMYFUNCTION("""COMPUTED_VALUE"""),43140.64583333333)</f>
        <v>43140.64583</v>
      </c>
      <c r="B1502" s="1">
        <f>IFERROR(__xludf.DUMMYFUNCTION("""COMPUTED_VALUE"""),5990.0)</f>
        <v>5990</v>
      </c>
      <c r="C1502" s="1">
        <f>IFERROR(__xludf.DUMMYFUNCTION("""COMPUTED_VALUE"""),5990.0)</f>
        <v>5990</v>
      </c>
      <c r="D1502" s="1">
        <f>IFERROR(__xludf.DUMMYFUNCTION("""COMPUTED_VALUE"""),5850.0)</f>
        <v>5850</v>
      </c>
      <c r="E1502" s="1">
        <f>IFERROR(__xludf.DUMMYFUNCTION("""COMPUTED_VALUE"""),5900.0)</f>
        <v>5900</v>
      </c>
      <c r="F1502" s="1">
        <f>IFERROR(__xludf.DUMMYFUNCTION("""COMPUTED_VALUE"""),9043.0)</f>
        <v>9043</v>
      </c>
    </row>
    <row r="1503">
      <c r="A1503" s="2">
        <f>IFERROR(__xludf.DUMMYFUNCTION("""COMPUTED_VALUE"""),43143.64583333333)</f>
        <v>43143.64583</v>
      </c>
      <c r="B1503" s="1">
        <f>IFERROR(__xludf.DUMMYFUNCTION("""COMPUTED_VALUE"""),5860.0)</f>
        <v>5860</v>
      </c>
      <c r="C1503" s="1">
        <f>IFERROR(__xludf.DUMMYFUNCTION("""COMPUTED_VALUE"""),5950.0)</f>
        <v>5950</v>
      </c>
      <c r="D1503" s="1">
        <f>IFERROR(__xludf.DUMMYFUNCTION("""COMPUTED_VALUE"""),5850.0)</f>
        <v>5850</v>
      </c>
      <c r="E1503" s="1">
        <f>IFERROR(__xludf.DUMMYFUNCTION("""COMPUTED_VALUE"""),5890.0)</f>
        <v>5890</v>
      </c>
      <c r="F1503" s="1">
        <f>IFERROR(__xludf.DUMMYFUNCTION("""COMPUTED_VALUE"""),9213.0)</f>
        <v>9213</v>
      </c>
    </row>
    <row r="1504">
      <c r="A1504" s="2">
        <f>IFERROR(__xludf.DUMMYFUNCTION("""COMPUTED_VALUE"""),43144.64583333333)</f>
        <v>43144.64583</v>
      </c>
      <c r="B1504" s="1">
        <f>IFERROR(__xludf.DUMMYFUNCTION("""COMPUTED_VALUE"""),5870.0)</f>
        <v>5870</v>
      </c>
      <c r="C1504" s="1">
        <f>IFERROR(__xludf.DUMMYFUNCTION("""COMPUTED_VALUE"""),5910.0)</f>
        <v>5910</v>
      </c>
      <c r="D1504" s="1">
        <f>IFERROR(__xludf.DUMMYFUNCTION("""COMPUTED_VALUE"""),5810.0)</f>
        <v>5810</v>
      </c>
      <c r="E1504" s="1">
        <f>IFERROR(__xludf.DUMMYFUNCTION("""COMPUTED_VALUE"""),5870.0)</f>
        <v>5870</v>
      </c>
      <c r="F1504" s="1">
        <f>IFERROR(__xludf.DUMMYFUNCTION("""COMPUTED_VALUE"""),10300.0)</f>
        <v>10300</v>
      </c>
    </row>
    <row r="1505">
      <c r="A1505" s="2">
        <f>IFERROR(__xludf.DUMMYFUNCTION("""COMPUTED_VALUE"""),43145.64583333333)</f>
        <v>43145.64583</v>
      </c>
      <c r="B1505" s="1">
        <f>IFERROR(__xludf.DUMMYFUNCTION("""COMPUTED_VALUE"""),5870.0)</f>
        <v>5870</v>
      </c>
      <c r="C1505" s="1">
        <f>IFERROR(__xludf.DUMMYFUNCTION("""COMPUTED_VALUE"""),5960.0)</f>
        <v>5960</v>
      </c>
      <c r="D1505" s="1">
        <f>IFERROR(__xludf.DUMMYFUNCTION("""COMPUTED_VALUE"""),5860.0)</f>
        <v>5860</v>
      </c>
      <c r="E1505" s="1">
        <f>IFERROR(__xludf.DUMMYFUNCTION("""COMPUTED_VALUE"""),5890.0)</f>
        <v>5890</v>
      </c>
      <c r="F1505" s="1">
        <f>IFERROR(__xludf.DUMMYFUNCTION("""COMPUTED_VALUE"""),4539.0)</f>
        <v>4539</v>
      </c>
    </row>
    <row r="1506">
      <c r="A1506" s="2">
        <f>IFERROR(__xludf.DUMMYFUNCTION("""COMPUTED_VALUE"""),43150.64583333333)</f>
        <v>43150.64583</v>
      </c>
      <c r="B1506" s="1">
        <f>IFERROR(__xludf.DUMMYFUNCTION("""COMPUTED_VALUE"""),5890.0)</f>
        <v>5890</v>
      </c>
      <c r="C1506" s="1">
        <f>IFERROR(__xludf.DUMMYFUNCTION("""COMPUTED_VALUE"""),6100.0)</f>
        <v>6100</v>
      </c>
      <c r="D1506" s="1">
        <f>IFERROR(__xludf.DUMMYFUNCTION("""COMPUTED_VALUE"""),5880.0)</f>
        <v>5880</v>
      </c>
      <c r="E1506" s="1">
        <f>IFERROR(__xludf.DUMMYFUNCTION("""COMPUTED_VALUE"""),6000.0)</f>
        <v>6000</v>
      </c>
      <c r="F1506" s="1">
        <f>IFERROR(__xludf.DUMMYFUNCTION("""COMPUTED_VALUE"""),35455.0)</f>
        <v>35455</v>
      </c>
    </row>
    <row r="1507">
      <c r="A1507" s="2">
        <f>IFERROR(__xludf.DUMMYFUNCTION("""COMPUTED_VALUE"""),43151.64583333333)</f>
        <v>43151.64583</v>
      </c>
      <c r="B1507" s="1">
        <f>IFERROR(__xludf.DUMMYFUNCTION("""COMPUTED_VALUE"""),6070.0)</f>
        <v>6070</v>
      </c>
      <c r="C1507" s="1">
        <f>IFERROR(__xludf.DUMMYFUNCTION("""COMPUTED_VALUE"""),6070.0)</f>
        <v>6070</v>
      </c>
      <c r="D1507" s="1">
        <f>IFERROR(__xludf.DUMMYFUNCTION("""COMPUTED_VALUE"""),5900.0)</f>
        <v>5900</v>
      </c>
      <c r="E1507" s="1">
        <f>IFERROR(__xludf.DUMMYFUNCTION("""COMPUTED_VALUE"""),5900.0)</f>
        <v>5900</v>
      </c>
      <c r="F1507" s="1">
        <f>IFERROR(__xludf.DUMMYFUNCTION("""COMPUTED_VALUE"""),12183.0)</f>
        <v>12183</v>
      </c>
    </row>
    <row r="1508">
      <c r="A1508" s="2">
        <f>IFERROR(__xludf.DUMMYFUNCTION("""COMPUTED_VALUE"""),43152.64583333333)</f>
        <v>43152.64583</v>
      </c>
      <c r="B1508" s="1">
        <f>IFERROR(__xludf.DUMMYFUNCTION("""COMPUTED_VALUE"""),5900.0)</f>
        <v>5900</v>
      </c>
      <c r="C1508" s="1">
        <f>IFERROR(__xludf.DUMMYFUNCTION("""COMPUTED_VALUE"""),6010.0)</f>
        <v>6010</v>
      </c>
      <c r="D1508" s="1">
        <f>IFERROR(__xludf.DUMMYFUNCTION("""COMPUTED_VALUE"""),5880.0)</f>
        <v>5880</v>
      </c>
      <c r="E1508" s="1">
        <f>IFERROR(__xludf.DUMMYFUNCTION("""COMPUTED_VALUE"""),5940.0)</f>
        <v>5940</v>
      </c>
      <c r="F1508" s="1">
        <f>IFERROR(__xludf.DUMMYFUNCTION("""COMPUTED_VALUE"""),18899.0)</f>
        <v>18899</v>
      </c>
    </row>
    <row r="1509">
      <c r="A1509" s="2">
        <f>IFERROR(__xludf.DUMMYFUNCTION("""COMPUTED_VALUE"""),43153.64583333333)</f>
        <v>43153.64583</v>
      </c>
      <c r="B1509" s="1">
        <f>IFERROR(__xludf.DUMMYFUNCTION("""COMPUTED_VALUE"""),6000.0)</f>
        <v>6000</v>
      </c>
      <c r="C1509" s="1">
        <f>IFERROR(__xludf.DUMMYFUNCTION("""COMPUTED_VALUE"""),6000.0)</f>
        <v>6000</v>
      </c>
      <c r="D1509" s="1">
        <f>IFERROR(__xludf.DUMMYFUNCTION("""COMPUTED_VALUE"""),5900.0)</f>
        <v>5900</v>
      </c>
      <c r="E1509" s="1">
        <f>IFERROR(__xludf.DUMMYFUNCTION("""COMPUTED_VALUE"""),5970.0)</f>
        <v>5970</v>
      </c>
      <c r="F1509" s="1">
        <f>IFERROR(__xludf.DUMMYFUNCTION("""COMPUTED_VALUE"""),3774.0)</f>
        <v>3774</v>
      </c>
    </row>
    <row r="1510">
      <c r="A1510" s="2">
        <f>IFERROR(__xludf.DUMMYFUNCTION("""COMPUTED_VALUE"""),43154.64583333333)</f>
        <v>43154.64583</v>
      </c>
      <c r="B1510" s="1">
        <f>IFERROR(__xludf.DUMMYFUNCTION("""COMPUTED_VALUE"""),6000.0)</f>
        <v>6000</v>
      </c>
      <c r="C1510" s="1">
        <f>IFERROR(__xludf.DUMMYFUNCTION("""COMPUTED_VALUE"""),6000.0)</f>
        <v>6000</v>
      </c>
      <c r="D1510" s="1">
        <f>IFERROR(__xludf.DUMMYFUNCTION("""COMPUTED_VALUE"""),5930.0)</f>
        <v>5930</v>
      </c>
      <c r="E1510" s="1">
        <f>IFERROR(__xludf.DUMMYFUNCTION("""COMPUTED_VALUE"""),5990.0)</f>
        <v>5990</v>
      </c>
      <c r="F1510" s="1">
        <f>IFERROR(__xludf.DUMMYFUNCTION("""COMPUTED_VALUE"""),7113.0)</f>
        <v>7113</v>
      </c>
    </row>
    <row r="1511">
      <c r="A1511" s="2">
        <f>IFERROR(__xludf.DUMMYFUNCTION("""COMPUTED_VALUE"""),43157.64583333333)</f>
        <v>43157.64583</v>
      </c>
      <c r="B1511" s="1">
        <f>IFERROR(__xludf.DUMMYFUNCTION("""COMPUTED_VALUE"""),6000.0)</f>
        <v>6000</v>
      </c>
      <c r="C1511" s="1">
        <f>IFERROR(__xludf.DUMMYFUNCTION("""COMPUTED_VALUE"""),6000.0)</f>
        <v>6000</v>
      </c>
      <c r="D1511" s="1">
        <f>IFERROR(__xludf.DUMMYFUNCTION("""COMPUTED_VALUE"""),5900.0)</f>
        <v>5900</v>
      </c>
      <c r="E1511" s="1">
        <f>IFERROR(__xludf.DUMMYFUNCTION("""COMPUTED_VALUE"""),5940.0)</f>
        <v>5940</v>
      </c>
      <c r="F1511" s="1">
        <f>IFERROR(__xludf.DUMMYFUNCTION("""COMPUTED_VALUE"""),10109.0)</f>
        <v>10109</v>
      </c>
    </row>
    <row r="1512">
      <c r="A1512" s="2">
        <f>IFERROR(__xludf.DUMMYFUNCTION("""COMPUTED_VALUE"""),43158.64583333333)</f>
        <v>43158.64583</v>
      </c>
      <c r="B1512" s="1">
        <f>IFERROR(__xludf.DUMMYFUNCTION("""COMPUTED_VALUE"""),5990.0)</f>
        <v>5990</v>
      </c>
      <c r="C1512" s="1">
        <f>IFERROR(__xludf.DUMMYFUNCTION("""COMPUTED_VALUE"""),6000.0)</f>
        <v>6000</v>
      </c>
      <c r="D1512" s="1">
        <f>IFERROR(__xludf.DUMMYFUNCTION("""COMPUTED_VALUE"""),5900.0)</f>
        <v>5900</v>
      </c>
      <c r="E1512" s="1">
        <f>IFERROR(__xludf.DUMMYFUNCTION("""COMPUTED_VALUE"""),5940.0)</f>
        <v>5940</v>
      </c>
      <c r="F1512" s="1">
        <f>IFERROR(__xludf.DUMMYFUNCTION("""COMPUTED_VALUE"""),15045.0)</f>
        <v>15045</v>
      </c>
    </row>
    <row r="1513">
      <c r="A1513" s="2">
        <f>IFERROR(__xludf.DUMMYFUNCTION("""COMPUTED_VALUE"""),43159.64583333333)</f>
        <v>43159.64583</v>
      </c>
      <c r="B1513" s="1">
        <f>IFERROR(__xludf.DUMMYFUNCTION("""COMPUTED_VALUE"""),5960.0)</f>
        <v>5960</v>
      </c>
      <c r="C1513" s="1">
        <f>IFERROR(__xludf.DUMMYFUNCTION("""COMPUTED_VALUE"""),6000.0)</f>
        <v>6000</v>
      </c>
      <c r="D1513" s="1">
        <f>IFERROR(__xludf.DUMMYFUNCTION("""COMPUTED_VALUE"""),5880.0)</f>
        <v>5880</v>
      </c>
      <c r="E1513" s="1">
        <f>IFERROR(__xludf.DUMMYFUNCTION("""COMPUTED_VALUE"""),5980.0)</f>
        <v>5980</v>
      </c>
      <c r="F1513" s="1">
        <f>IFERROR(__xludf.DUMMYFUNCTION("""COMPUTED_VALUE"""),8809.0)</f>
        <v>8809</v>
      </c>
    </row>
    <row r="1514">
      <c r="A1514" s="2">
        <f>IFERROR(__xludf.DUMMYFUNCTION("""COMPUTED_VALUE"""),43161.64583333333)</f>
        <v>43161.64583</v>
      </c>
      <c r="B1514" s="1">
        <f>IFERROR(__xludf.DUMMYFUNCTION("""COMPUTED_VALUE"""),5920.0)</f>
        <v>5920</v>
      </c>
      <c r="C1514" s="1">
        <f>IFERROR(__xludf.DUMMYFUNCTION("""COMPUTED_VALUE"""),5980.0)</f>
        <v>5980</v>
      </c>
      <c r="D1514" s="1">
        <f>IFERROR(__xludf.DUMMYFUNCTION("""COMPUTED_VALUE"""),5870.0)</f>
        <v>5870</v>
      </c>
      <c r="E1514" s="1">
        <f>IFERROR(__xludf.DUMMYFUNCTION("""COMPUTED_VALUE"""),5920.0)</f>
        <v>5920</v>
      </c>
      <c r="F1514" s="1">
        <f>IFERROR(__xludf.DUMMYFUNCTION("""COMPUTED_VALUE"""),7499.0)</f>
        <v>7499</v>
      </c>
    </row>
    <row r="1515">
      <c r="A1515" s="2">
        <f>IFERROR(__xludf.DUMMYFUNCTION("""COMPUTED_VALUE"""),43164.64583333333)</f>
        <v>43164.64583</v>
      </c>
      <c r="B1515" s="1">
        <f>IFERROR(__xludf.DUMMYFUNCTION("""COMPUTED_VALUE"""),5840.0)</f>
        <v>5840</v>
      </c>
      <c r="C1515" s="1">
        <f>IFERROR(__xludf.DUMMYFUNCTION("""COMPUTED_VALUE"""),5870.0)</f>
        <v>5870</v>
      </c>
      <c r="D1515" s="1">
        <f>IFERROR(__xludf.DUMMYFUNCTION("""COMPUTED_VALUE"""),5810.0)</f>
        <v>5810</v>
      </c>
      <c r="E1515" s="1">
        <f>IFERROR(__xludf.DUMMYFUNCTION("""COMPUTED_VALUE"""),5820.0)</f>
        <v>5820</v>
      </c>
      <c r="F1515" s="1">
        <f>IFERROR(__xludf.DUMMYFUNCTION("""COMPUTED_VALUE"""),10701.0)</f>
        <v>10701</v>
      </c>
    </row>
    <row r="1516">
      <c r="A1516" s="2">
        <f>IFERROR(__xludf.DUMMYFUNCTION("""COMPUTED_VALUE"""),43165.64583333333)</f>
        <v>43165.64583</v>
      </c>
      <c r="B1516" s="1">
        <f>IFERROR(__xludf.DUMMYFUNCTION("""COMPUTED_VALUE"""),5820.0)</f>
        <v>5820</v>
      </c>
      <c r="C1516" s="1">
        <f>IFERROR(__xludf.DUMMYFUNCTION("""COMPUTED_VALUE"""),5970.0)</f>
        <v>5970</v>
      </c>
      <c r="D1516" s="1">
        <f>IFERROR(__xludf.DUMMYFUNCTION("""COMPUTED_VALUE"""),5820.0)</f>
        <v>5820</v>
      </c>
      <c r="E1516" s="1">
        <f>IFERROR(__xludf.DUMMYFUNCTION("""COMPUTED_VALUE"""),5870.0)</f>
        <v>5870</v>
      </c>
      <c r="F1516" s="1">
        <f>IFERROR(__xludf.DUMMYFUNCTION("""COMPUTED_VALUE"""),6256.0)</f>
        <v>6256</v>
      </c>
    </row>
    <row r="1517">
      <c r="A1517" s="2">
        <f>IFERROR(__xludf.DUMMYFUNCTION("""COMPUTED_VALUE"""),43166.64583333333)</f>
        <v>43166.64583</v>
      </c>
      <c r="B1517" s="1">
        <f>IFERROR(__xludf.DUMMYFUNCTION("""COMPUTED_VALUE"""),6110.0)</f>
        <v>6110</v>
      </c>
      <c r="C1517" s="1">
        <f>IFERROR(__xludf.DUMMYFUNCTION("""COMPUTED_VALUE"""),6260.0)</f>
        <v>6260</v>
      </c>
      <c r="D1517" s="1">
        <f>IFERROR(__xludf.DUMMYFUNCTION("""COMPUTED_VALUE"""),5980.0)</f>
        <v>5980</v>
      </c>
      <c r="E1517" s="1">
        <f>IFERROR(__xludf.DUMMYFUNCTION("""COMPUTED_VALUE"""),6180.0)</f>
        <v>6180</v>
      </c>
      <c r="F1517" s="1">
        <f>IFERROR(__xludf.DUMMYFUNCTION("""COMPUTED_VALUE"""),140513.0)</f>
        <v>140513</v>
      </c>
    </row>
    <row r="1518">
      <c r="A1518" s="2">
        <f>IFERROR(__xludf.DUMMYFUNCTION("""COMPUTED_VALUE"""),43167.64583333333)</f>
        <v>43167.64583</v>
      </c>
      <c r="B1518" s="1">
        <f>IFERROR(__xludf.DUMMYFUNCTION("""COMPUTED_VALUE"""),6170.0)</f>
        <v>6170</v>
      </c>
      <c r="C1518" s="1">
        <f>IFERROR(__xludf.DUMMYFUNCTION("""COMPUTED_VALUE"""),6180.0)</f>
        <v>6180</v>
      </c>
      <c r="D1518" s="1">
        <f>IFERROR(__xludf.DUMMYFUNCTION("""COMPUTED_VALUE"""),6010.0)</f>
        <v>6010</v>
      </c>
      <c r="E1518" s="1">
        <f>IFERROR(__xludf.DUMMYFUNCTION("""COMPUTED_VALUE"""),6180.0)</f>
        <v>6180</v>
      </c>
      <c r="F1518" s="1">
        <f>IFERROR(__xludf.DUMMYFUNCTION("""COMPUTED_VALUE"""),41244.0)</f>
        <v>41244</v>
      </c>
    </row>
    <row r="1519">
      <c r="A1519" s="2">
        <f>IFERROR(__xludf.DUMMYFUNCTION("""COMPUTED_VALUE"""),43168.64583333333)</f>
        <v>43168.64583</v>
      </c>
      <c r="B1519" s="1">
        <f>IFERROR(__xludf.DUMMYFUNCTION("""COMPUTED_VALUE"""),6200.0)</f>
        <v>6200</v>
      </c>
      <c r="C1519" s="1">
        <f>IFERROR(__xludf.DUMMYFUNCTION("""COMPUTED_VALUE"""),6360.0)</f>
        <v>6360</v>
      </c>
      <c r="D1519" s="1">
        <f>IFERROR(__xludf.DUMMYFUNCTION("""COMPUTED_VALUE"""),6140.0)</f>
        <v>6140</v>
      </c>
      <c r="E1519" s="1">
        <f>IFERROR(__xludf.DUMMYFUNCTION("""COMPUTED_VALUE"""),6300.0)</f>
        <v>6300</v>
      </c>
      <c r="F1519" s="1">
        <f>IFERROR(__xludf.DUMMYFUNCTION("""COMPUTED_VALUE"""),133450.0)</f>
        <v>133450</v>
      </c>
    </row>
    <row r="1520">
      <c r="A1520" s="2">
        <f>IFERROR(__xludf.DUMMYFUNCTION("""COMPUTED_VALUE"""),43171.64583333333)</f>
        <v>43171.64583</v>
      </c>
      <c r="B1520" s="1">
        <f>IFERROR(__xludf.DUMMYFUNCTION("""COMPUTED_VALUE"""),6390.0)</f>
        <v>6390</v>
      </c>
      <c r="C1520" s="1">
        <f>IFERROR(__xludf.DUMMYFUNCTION("""COMPUTED_VALUE"""),6400.0)</f>
        <v>6400</v>
      </c>
      <c r="D1520" s="1">
        <f>IFERROR(__xludf.DUMMYFUNCTION("""COMPUTED_VALUE"""),6180.0)</f>
        <v>6180</v>
      </c>
      <c r="E1520" s="1">
        <f>IFERROR(__xludf.DUMMYFUNCTION("""COMPUTED_VALUE"""),6200.0)</f>
        <v>6200</v>
      </c>
      <c r="F1520" s="1">
        <f>IFERROR(__xludf.DUMMYFUNCTION("""COMPUTED_VALUE"""),70088.0)</f>
        <v>70088</v>
      </c>
    </row>
    <row r="1521">
      <c r="A1521" s="2">
        <f>IFERROR(__xludf.DUMMYFUNCTION("""COMPUTED_VALUE"""),43172.64583333333)</f>
        <v>43172.64583</v>
      </c>
      <c r="B1521" s="1">
        <f>IFERROR(__xludf.DUMMYFUNCTION("""COMPUTED_VALUE"""),6260.0)</f>
        <v>6260</v>
      </c>
      <c r="C1521" s="1">
        <f>IFERROR(__xludf.DUMMYFUNCTION("""COMPUTED_VALUE"""),6290.0)</f>
        <v>6290</v>
      </c>
      <c r="D1521" s="1">
        <f>IFERROR(__xludf.DUMMYFUNCTION("""COMPUTED_VALUE"""),6100.0)</f>
        <v>6100</v>
      </c>
      <c r="E1521" s="1">
        <f>IFERROR(__xludf.DUMMYFUNCTION("""COMPUTED_VALUE"""),6180.0)</f>
        <v>6180</v>
      </c>
      <c r="F1521" s="1">
        <f>IFERROR(__xludf.DUMMYFUNCTION("""COMPUTED_VALUE"""),32808.0)</f>
        <v>32808</v>
      </c>
    </row>
    <row r="1522">
      <c r="A1522" s="2">
        <f>IFERROR(__xludf.DUMMYFUNCTION("""COMPUTED_VALUE"""),43173.64583333333)</f>
        <v>43173.64583</v>
      </c>
      <c r="B1522" s="1">
        <f>IFERROR(__xludf.DUMMYFUNCTION("""COMPUTED_VALUE"""),6150.0)</f>
        <v>6150</v>
      </c>
      <c r="C1522" s="1">
        <f>IFERROR(__xludf.DUMMYFUNCTION("""COMPUTED_VALUE"""),6240.0)</f>
        <v>6240</v>
      </c>
      <c r="D1522" s="1">
        <f>IFERROR(__xludf.DUMMYFUNCTION("""COMPUTED_VALUE"""),6130.0)</f>
        <v>6130</v>
      </c>
      <c r="E1522" s="1">
        <f>IFERROR(__xludf.DUMMYFUNCTION("""COMPUTED_VALUE"""),6150.0)</f>
        <v>6150</v>
      </c>
      <c r="F1522" s="1">
        <f>IFERROR(__xludf.DUMMYFUNCTION("""COMPUTED_VALUE"""),13987.0)</f>
        <v>13987</v>
      </c>
    </row>
    <row r="1523">
      <c r="A1523" s="2">
        <f>IFERROR(__xludf.DUMMYFUNCTION("""COMPUTED_VALUE"""),43174.64583333333)</f>
        <v>43174.64583</v>
      </c>
      <c r="B1523" s="1">
        <f>IFERROR(__xludf.DUMMYFUNCTION("""COMPUTED_VALUE"""),6100.0)</f>
        <v>6100</v>
      </c>
      <c r="C1523" s="1">
        <f>IFERROR(__xludf.DUMMYFUNCTION("""COMPUTED_VALUE"""),6220.0)</f>
        <v>6220</v>
      </c>
      <c r="D1523" s="1">
        <f>IFERROR(__xludf.DUMMYFUNCTION("""COMPUTED_VALUE"""),6030.0)</f>
        <v>6030</v>
      </c>
      <c r="E1523" s="1">
        <f>IFERROR(__xludf.DUMMYFUNCTION("""COMPUTED_VALUE"""),6110.0)</f>
        <v>6110</v>
      </c>
      <c r="F1523" s="1">
        <f>IFERROR(__xludf.DUMMYFUNCTION("""COMPUTED_VALUE"""),34932.0)</f>
        <v>34932</v>
      </c>
    </row>
    <row r="1524">
      <c r="A1524" s="2">
        <f>IFERROR(__xludf.DUMMYFUNCTION("""COMPUTED_VALUE"""),43175.64583333333)</f>
        <v>43175.64583</v>
      </c>
      <c r="B1524" s="1">
        <f>IFERROR(__xludf.DUMMYFUNCTION("""COMPUTED_VALUE"""),6110.0)</f>
        <v>6110</v>
      </c>
      <c r="C1524" s="1">
        <f>IFERROR(__xludf.DUMMYFUNCTION("""COMPUTED_VALUE"""),6160.0)</f>
        <v>6160</v>
      </c>
      <c r="D1524" s="1">
        <f>IFERROR(__xludf.DUMMYFUNCTION("""COMPUTED_VALUE"""),6090.0)</f>
        <v>6090</v>
      </c>
      <c r="E1524" s="1">
        <f>IFERROR(__xludf.DUMMYFUNCTION("""COMPUTED_VALUE"""),6140.0)</f>
        <v>6140</v>
      </c>
      <c r="F1524" s="1">
        <f>IFERROR(__xludf.DUMMYFUNCTION("""COMPUTED_VALUE"""),8466.0)</f>
        <v>8466</v>
      </c>
    </row>
    <row r="1525">
      <c r="A1525" s="2">
        <f>IFERROR(__xludf.DUMMYFUNCTION("""COMPUTED_VALUE"""),43178.64583333333)</f>
        <v>43178.64583</v>
      </c>
      <c r="B1525" s="1">
        <f>IFERROR(__xludf.DUMMYFUNCTION("""COMPUTED_VALUE"""),6120.0)</f>
        <v>6120</v>
      </c>
      <c r="C1525" s="1">
        <f>IFERROR(__xludf.DUMMYFUNCTION("""COMPUTED_VALUE"""),6280.0)</f>
        <v>6280</v>
      </c>
      <c r="D1525" s="1">
        <f>IFERROR(__xludf.DUMMYFUNCTION("""COMPUTED_VALUE"""),6120.0)</f>
        <v>6120</v>
      </c>
      <c r="E1525" s="1">
        <f>IFERROR(__xludf.DUMMYFUNCTION("""COMPUTED_VALUE"""),6200.0)</f>
        <v>6200</v>
      </c>
      <c r="F1525" s="1">
        <f>IFERROR(__xludf.DUMMYFUNCTION("""COMPUTED_VALUE"""),40555.0)</f>
        <v>40555</v>
      </c>
    </row>
    <row r="1526">
      <c r="A1526" s="2">
        <f>IFERROR(__xludf.DUMMYFUNCTION("""COMPUTED_VALUE"""),43179.64583333333)</f>
        <v>43179.64583</v>
      </c>
      <c r="B1526" s="1">
        <f>IFERROR(__xludf.DUMMYFUNCTION("""COMPUTED_VALUE"""),6160.0)</f>
        <v>6160</v>
      </c>
      <c r="C1526" s="1">
        <f>IFERROR(__xludf.DUMMYFUNCTION("""COMPUTED_VALUE"""),6250.0)</f>
        <v>6250</v>
      </c>
      <c r="D1526" s="1">
        <f>IFERROR(__xludf.DUMMYFUNCTION("""COMPUTED_VALUE"""),6160.0)</f>
        <v>6160</v>
      </c>
      <c r="E1526" s="1">
        <f>IFERROR(__xludf.DUMMYFUNCTION("""COMPUTED_VALUE"""),6240.0)</f>
        <v>6240</v>
      </c>
      <c r="F1526" s="1">
        <f>IFERROR(__xludf.DUMMYFUNCTION("""COMPUTED_VALUE"""),17527.0)</f>
        <v>17527</v>
      </c>
    </row>
    <row r="1527">
      <c r="A1527" s="2">
        <f>IFERROR(__xludf.DUMMYFUNCTION("""COMPUTED_VALUE"""),43180.64583333333)</f>
        <v>43180.64583</v>
      </c>
      <c r="B1527" s="1">
        <f>IFERROR(__xludf.DUMMYFUNCTION("""COMPUTED_VALUE"""),6200.0)</f>
        <v>6200</v>
      </c>
      <c r="C1527" s="1">
        <f>IFERROR(__xludf.DUMMYFUNCTION("""COMPUTED_VALUE"""),6280.0)</f>
        <v>6280</v>
      </c>
      <c r="D1527" s="1">
        <f>IFERROR(__xludf.DUMMYFUNCTION("""COMPUTED_VALUE"""),6160.0)</f>
        <v>6160</v>
      </c>
      <c r="E1527" s="1">
        <f>IFERROR(__xludf.DUMMYFUNCTION("""COMPUTED_VALUE"""),6210.0)</f>
        <v>6210</v>
      </c>
      <c r="F1527" s="1">
        <f>IFERROR(__xludf.DUMMYFUNCTION("""COMPUTED_VALUE"""),40834.0)</f>
        <v>40834</v>
      </c>
    </row>
    <row r="1528">
      <c r="A1528" s="2">
        <f>IFERROR(__xludf.DUMMYFUNCTION("""COMPUTED_VALUE"""),43181.64583333333)</f>
        <v>43181.64583</v>
      </c>
      <c r="B1528" s="1">
        <f>IFERROR(__xludf.DUMMYFUNCTION("""COMPUTED_VALUE"""),6160.0)</f>
        <v>6160</v>
      </c>
      <c r="C1528" s="1">
        <f>IFERROR(__xludf.DUMMYFUNCTION("""COMPUTED_VALUE"""),6270.0)</f>
        <v>6270</v>
      </c>
      <c r="D1528" s="1">
        <f>IFERROR(__xludf.DUMMYFUNCTION("""COMPUTED_VALUE"""),6150.0)</f>
        <v>6150</v>
      </c>
      <c r="E1528" s="1">
        <f>IFERROR(__xludf.DUMMYFUNCTION("""COMPUTED_VALUE"""),6240.0)</f>
        <v>6240</v>
      </c>
      <c r="F1528" s="1">
        <f>IFERROR(__xludf.DUMMYFUNCTION("""COMPUTED_VALUE"""),43995.0)</f>
        <v>43995</v>
      </c>
    </row>
    <row r="1529">
      <c r="A1529" s="2">
        <f>IFERROR(__xludf.DUMMYFUNCTION("""COMPUTED_VALUE"""),43182.64583333333)</f>
        <v>43182.64583</v>
      </c>
      <c r="B1529" s="1">
        <f>IFERROR(__xludf.DUMMYFUNCTION("""COMPUTED_VALUE"""),6110.0)</f>
        <v>6110</v>
      </c>
      <c r="C1529" s="1">
        <f>IFERROR(__xludf.DUMMYFUNCTION("""COMPUTED_VALUE"""),6250.0)</f>
        <v>6250</v>
      </c>
      <c r="D1529" s="1">
        <f>IFERROR(__xludf.DUMMYFUNCTION("""COMPUTED_VALUE"""),6100.0)</f>
        <v>6100</v>
      </c>
      <c r="E1529" s="1">
        <f>IFERROR(__xludf.DUMMYFUNCTION("""COMPUTED_VALUE"""),6100.0)</f>
        <v>6100</v>
      </c>
      <c r="F1529" s="1">
        <f>IFERROR(__xludf.DUMMYFUNCTION("""COMPUTED_VALUE"""),24013.0)</f>
        <v>24013</v>
      </c>
    </row>
    <row r="1530">
      <c r="A1530" s="2">
        <f>IFERROR(__xludf.DUMMYFUNCTION("""COMPUTED_VALUE"""),43185.64583333333)</f>
        <v>43185.64583</v>
      </c>
      <c r="B1530" s="1">
        <f>IFERROR(__xludf.DUMMYFUNCTION("""COMPUTED_VALUE"""),6100.0)</f>
        <v>6100</v>
      </c>
      <c r="C1530" s="1">
        <f>IFERROR(__xludf.DUMMYFUNCTION("""COMPUTED_VALUE"""),6120.0)</f>
        <v>6120</v>
      </c>
      <c r="D1530" s="1">
        <f>IFERROR(__xludf.DUMMYFUNCTION("""COMPUTED_VALUE"""),6030.0)</f>
        <v>6030</v>
      </c>
      <c r="E1530" s="1">
        <f>IFERROR(__xludf.DUMMYFUNCTION("""COMPUTED_VALUE"""),6080.0)</f>
        <v>6080</v>
      </c>
      <c r="F1530" s="1">
        <f>IFERROR(__xludf.DUMMYFUNCTION("""COMPUTED_VALUE"""),19503.0)</f>
        <v>19503</v>
      </c>
    </row>
    <row r="1531">
      <c r="A1531" s="2">
        <f>IFERROR(__xludf.DUMMYFUNCTION("""COMPUTED_VALUE"""),43186.64583333333)</f>
        <v>43186.64583</v>
      </c>
      <c r="B1531" s="1">
        <f>IFERROR(__xludf.DUMMYFUNCTION("""COMPUTED_VALUE"""),6120.0)</f>
        <v>6120</v>
      </c>
      <c r="C1531" s="1">
        <f>IFERROR(__xludf.DUMMYFUNCTION("""COMPUTED_VALUE"""),6150.0)</f>
        <v>6150</v>
      </c>
      <c r="D1531" s="1">
        <f>IFERROR(__xludf.DUMMYFUNCTION("""COMPUTED_VALUE"""),6090.0)</f>
        <v>6090</v>
      </c>
      <c r="E1531" s="1">
        <f>IFERROR(__xludf.DUMMYFUNCTION("""COMPUTED_VALUE"""),6130.0)</f>
        <v>6130</v>
      </c>
      <c r="F1531" s="1">
        <f>IFERROR(__xludf.DUMMYFUNCTION("""COMPUTED_VALUE"""),16580.0)</f>
        <v>16580</v>
      </c>
    </row>
    <row r="1532">
      <c r="A1532" s="2">
        <f>IFERROR(__xludf.DUMMYFUNCTION("""COMPUTED_VALUE"""),43187.64583333333)</f>
        <v>43187.64583</v>
      </c>
      <c r="B1532" s="1">
        <f>IFERROR(__xludf.DUMMYFUNCTION("""COMPUTED_VALUE"""),6100.0)</f>
        <v>6100</v>
      </c>
      <c r="C1532" s="1">
        <f>IFERROR(__xludf.DUMMYFUNCTION("""COMPUTED_VALUE"""),6290.0)</f>
        <v>6290</v>
      </c>
      <c r="D1532" s="1">
        <f>IFERROR(__xludf.DUMMYFUNCTION("""COMPUTED_VALUE"""),6100.0)</f>
        <v>6100</v>
      </c>
      <c r="E1532" s="1">
        <f>IFERROR(__xludf.DUMMYFUNCTION("""COMPUTED_VALUE"""),6160.0)</f>
        <v>6160</v>
      </c>
      <c r="F1532" s="1">
        <f>IFERROR(__xludf.DUMMYFUNCTION("""COMPUTED_VALUE"""),61432.0)</f>
        <v>61432</v>
      </c>
    </row>
    <row r="1533">
      <c r="A1533" s="2">
        <f>IFERROR(__xludf.DUMMYFUNCTION("""COMPUTED_VALUE"""),43188.64583333333)</f>
        <v>43188.64583</v>
      </c>
      <c r="B1533" s="1">
        <f>IFERROR(__xludf.DUMMYFUNCTION("""COMPUTED_VALUE"""),6230.0)</f>
        <v>6230</v>
      </c>
      <c r="C1533" s="1">
        <f>IFERROR(__xludf.DUMMYFUNCTION("""COMPUTED_VALUE"""),6240.0)</f>
        <v>6240</v>
      </c>
      <c r="D1533" s="1">
        <f>IFERROR(__xludf.DUMMYFUNCTION("""COMPUTED_VALUE"""),6120.0)</f>
        <v>6120</v>
      </c>
      <c r="E1533" s="1">
        <f>IFERROR(__xludf.DUMMYFUNCTION("""COMPUTED_VALUE"""),6240.0)</f>
        <v>6240</v>
      </c>
      <c r="F1533" s="1">
        <f>IFERROR(__xludf.DUMMYFUNCTION("""COMPUTED_VALUE"""),24442.0)</f>
        <v>24442</v>
      </c>
    </row>
    <row r="1534">
      <c r="A1534" s="2">
        <f>IFERROR(__xludf.DUMMYFUNCTION("""COMPUTED_VALUE"""),43189.64583333333)</f>
        <v>43189.64583</v>
      </c>
      <c r="B1534" s="1">
        <f>IFERROR(__xludf.DUMMYFUNCTION("""COMPUTED_VALUE"""),6290.0)</f>
        <v>6290</v>
      </c>
      <c r="C1534" s="1">
        <f>IFERROR(__xludf.DUMMYFUNCTION("""COMPUTED_VALUE"""),6310.0)</f>
        <v>6310</v>
      </c>
      <c r="D1534" s="1">
        <f>IFERROR(__xludf.DUMMYFUNCTION("""COMPUTED_VALUE"""),6210.0)</f>
        <v>6210</v>
      </c>
      <c r="E1534" s="1">
        <f>IFERROR(__xludf.DUMMYFUNCTION("""COMPUTED_VALUE"""),6250.0)</f>
        <v>6250</v>
      </c>
      <c r="F1534" s="1">
        <f>IFERROR(__xludf.DUMMYFUNCTION("""COMPUTED_VALUE"""),49576.0)</f>
        <v>49576</v>
      </c>
    </row>
    <row r="1535">
      <c r="A1535" s="2">
        <f>IFERROR(__xludf.DUMMYFUNCTION("""COMPUTED_VALUE"""),43192.64583333333)</f>
        <v>43192.64583</v>
      </c>
      <c r="B1535" s="1">
        <f>IFERROR(__xludf.DUMMYFUNCTION("""COMPUTED_VALUE"""),6200.0)</f>
        <v>6200</v>
      </c>
      <c r="C1535" s="1">
        <f>IFERROR(__xludf.DUMMYFUNCTION("""COMPUTED_VALUE"""),6310.0)</f>
        <v>6310</v>
      </c>
      <c r="D1535" s="1">
        <f>IFERROR(__xludf.DUMMYFUNCTION("""COMPUTED_VALUE"""),6180.0)</f>
        <v>6180</v>
      </c>
      <c r="E1535" s="1">
        <f>IFERROR(__xludf.DUMMYFUNCTION("""COMPUTED_VALUE"""),6180.0)</f>
        <v>6180</v>
      </c>
      <c r="F1535" s="1">
        <f>IFERROR(__xludf.DUMMYFUNCTION("""COMPUTED_VALUE"""),20916.0)</f>
        <v>20916</v>
      </c>
    </row>
    <row r="1536">
      <c r="A1536" s="2">
        <f>IFERROR(__xludf.DUMMYFUNCTION("""COMPUTED_VALUE"""),43193.64583333333)</f>
        <v>43193.64583</v>
      </c>
      <c r="B1536" s="1">
        <f>IFERROR(__xludf.DUMMYFUNCTION("""COMPUTED_VALUE"""),6150.0)</f>
        <v>6150</v>
      </c>
      <c r="C1536" s="1">
        <f>IFERROR(__xludf.DUMMYFUNCTION("""COMPUTED_VALUE"""),8000.0)</f>
        <v>8000</v>
      </c>
      <c r="D1536" s="1">
        <f>IFERROR(__xludf.DUMMYFUNCTION("""COMPUTED_VALUE"""),6150.0)</f>
        <v>6150</v>
      </c>
      <c r="E1536" s="1">
        <f>IFERROR(__xludf.DUMMYFUNCTION("""COMPUTED_VALUE"""),7100.0)</f>
        <v>7100</v>
      </c>
      <c r="F1536" s="1">
        <f>IFERROR(__xludf.DUMMYFUNCTION("""COMPUTED_VALUE"""),2889552.0)</f>
        <v>2889552</v>
      </c>
    </row>
    <row r="1537">
      <c r="A1537" s="2">
        <f>IFERROR(__xludf.DUMMYFUNCTION("""COMPUTED_VALUE"""),43194.64583333333)</f>
        <v>43194.64583</v>
      </c>
      <c r="B1537" s="1">
        <f>IFERROR(__xludf.DUMMYFUNCTION("""COMPUTED_VALUE"""),6900.0)</f>
        <v>6900</v>
      </c>
      <c r="C1537" s="1">
        <f>IFERROR(__xludf.DUMMYFUNCTION("""COMPUTED_VALUE"""),7100.0)</f>
        <v>7100</v>
      </c>
      <c r="D1537" s="1">
        <f>IFERROR(__xludf.DUMMYFUNCTION("""COMPUTED_VALUE"""),6830.0)</f>
        <v>6830</v>
      </c>
      <c r="E1537" s="1">
        <f>IFERROR(__xludf.DUMMYFUNCTION("""COMPUTED_VALUE"""),6940.0)</f>
        <v>6940</v>
      </c>
      <c r="F1537" s="1">
        <f>IFERROR(__xludf.DUMMYFUNCTION("""COMPUTED_VALUE"""),498536.0)</f>
        <v>498536</v>
      </c>
    </row>
    <row r="1538">
      <c r="A1538" s="2">
        <f>IFERROR(__xludf.DUMMYFUNCTION("""COMPUTED_VALUE"""),43195.64583333333)</f>
        <v>43195.64583</v>
      </c>
      <c r="B1538" s="1">
        <f>IFERROR(__xludf.DUMMYFUNCTION("""COMPUTED_VALUE"""),7180.0)</f>
        <v>7180</v>
      </c>
      <c r="C1538" s="1">
        <f>IFERROR(__xludf.DUMMYFUNCTION("""COMPUTED_VALUE"""),7200.0)</f>
        <v>7200</v>
      </c>
      <c r="D1538" s="1">
        <f>IFERROR(__xludf.DUMMYFUNCTION("""COMPUTED_VALUE"""),6890.0)</f>
        <v>6890</v>
      </c>
      <c r="E1538" s="1">
        <f>IFERROR(__xludf.DUMMYFUNCTION("""COMPUTED_VALUE"""),6910.0)</f>
        <v>6910</v>
      </c>
      <c r="F1538" s="1">
        <f>IFERROR(__xludf.DUMMYFUNCTION("""COMPUTED_VALUE"""),341996.0)</f>
        <v>341996</v>
      </c>
    </row>
    <row r="1539">
      <c r="A1539" s="2">
        <f>IFERROR(__xludf.DUMMYFUNCTION("""COMPUTED_VALUE"""),43196.64583333333)</f>
        <v>43196.64583</v>
      </c>
      <c r="B1539" s="1">
        <f>IFERROR(__xludf.DUMMYFUNCTION("""COMPUTED_VALUE"""),6900.0)</f>
        <v>6900</v>
      </c>
      <c r="C1539" s="1">
        <f>IFERROR(__xludf.DUMMYFUNCTION("""COMPUTED_VALUE"""),7010.0)</f>
        <v>7010</v>
      </c>
      <c r="D1539" s="1">
        <f>IFERROR(__xludf.DUMMYFUNCTION("""COMPUTED_VALUE"""),6810.0)</f>
        <v>6810</v>
      </c>
      <c r="E1539" s="1">
        <f>IFERROR(__xludf.DUMMYFUNCTION("""COMPUTED_VALUE"""),6820.0)</f>
        <v>6820</v>
      </c>
      <c r="F1539" s="1">
        <f>IFERROR(__xludf.DUMMYFUNCTION("""COMPUTED_VALUE"""),138556.0)</f>
        <v>138556</v>
      </c>
    </row>
    <row r="1540">
      <c r="A1540" s="2">
        <f>IFERROR(__xludf.DUMMYFUNCTION("""COMPUTED_VALUE"""),43199.64583333333)</f>
        <v>43199.64583</v>
      </c>
      <c r="B1540" s="1">
        <f>IFERROR(__xludf.DUMMYFUNCTION("""COMPUTED_VALUE"""),6720.0)</f>
        <v>6720</v>
      </c>
      <c r="C1540" s="1">
        <f>IFERROR(__xludf.DUMMYFUNCTION("""COMPUTED_VALUE"""),6790.0)</f>
        <v>6790</v>
      </c>
      <c r="D1540" s="1">
        <f>IFERROR(__xludf.DUMMYFUNCTION("""COMPUTED_VALUE"""),6600.0)</f>
        <v>6600</v>
      </c>
      <c r="E1540" s="1">
        <f>IFERROR(__xludf.DUMMYFUNCTION("""COMPUTED_VALUE"""),6700.0)</f>
        <v>6700</v>
      </c>
      <c r="F1540" s="1">
        <f>IFERROR(__xludf.DUMMYFUNCTION("""COMPUTED_VALUE"""),138049.0)</f>
        <v>138049</v>
      </c>
    </row>
    <row r="1541">
      <c r="A1541" s="2">
        <f>IFERROR(__xludf.DUMMYFUNCTION("""COMPUTED_VALUE"""),43200.64583333333)</f>
        <v>43200.64583</v>
      </c>
      <c r="B1541" s="1">
        <f>IFERROR(__xludf.DUMMYFUNCTION("""COMPUTED_VALUE"""),6710.0)</f>
        <v>6710</v>
      </c>
      <c r="C1541" s="1">
        <f>IFERROR(__xludf.DUMMYFUNCTION("""COMPUTED_VALUE"""),6760.0)</f>
        <v>6760</v>
      </c>
      <c r="D1541" s="1">
        <f>IFERROR(__xludf.DUMMYFUNCTION("""COMPUTED_VALUE"""),6560.0)</f>
        <v>6560</v>
      </c>
      <c r="E1541" s="1">
        <f>IFERROR(__xludf.DUMMYFUNCTION("""COMPUTED_VALUE"""),6710.0)</f>
        <v>6710</v>
      </c>
      <c r="F1541" s="1">
        <f>IFERROR(__xludf.DUMMYFUNCTION("""COMPUTED_VALUE"""),69589.0)</f>
        <v>69589</v>
      </c>
    </row>
    <row r="1542">
      <c r="A1542" s="2">
        <f>IFERROR(__xludf.DUMMYFUNCTION("""COMPUTED_VALUE"""),43201.64583333333)</f>
        <v>43201.64583</v>
      </c>
      <c r="B1542" s="1">
        <f>IFERROR(__xludf.DUMMYFUNCTION("""COMPUTED_VALUE"""),6720.0)</f>
        <v>6720</v>
      </c>
      <c r="C1542" s="1">
        <f>IFERROR(__xludf.DUMMYFUNCTION("""COMPUTED_VALUE"""),7050.0)</f>
        <v>7050</v>
      </c>
      <c r="D1542" s="1">
        <f>IFERROR(__xludf.DUMMYFUNCTION("""COMPUTED_VALUE"""),6720.0)</f>
        <v>6720</v>
      </c>
      <c r="E1542" s="1">
        <f>IFERROR(__xludf.DUMMYFUNCTION("""COMPUTED_VALUE"""),7040.0)</f>
        <v>7040</v>
      </c>
      <c r="F1542" s="1">
        <f>IFERROR(__xludf.DUMMYFUNCTION("""COMPUTED_VALUE"""),191124.0)</f>
        <v>191124</v>
      </c>
    </row>
    <row r="1543">
      <c r="A1543" s="2">
        <f>IFERROR(__xludf.DUMMYFUNCTION("""COMPUTED_VALUE"""),43202.64583333333)</f>
        <v>43202.64583</v>
      </c>
      <c r="B1543" s="1">
        <f>IFERROR(__xludf.DUMMYFUNCTION("""COMPUTED_VALUE"""),7090.0)</f>
        <v>7090</v>
      </c>
      <c r="C1543" s="1">
        <f>IFERROR(__xludf.DUMMYFUNCTION("""COMPUTED_VALUE"""),7100.0)</f>
        <v>7100</v>
      </c>
      <c r="D1543" s="1">
        <f>IFERROR(__xludf.DUMMYFUNCTION("""COMPUTED_VALUE"""),6770.0)</f>
        <v>6770</v>
      </c>
      <c r="E1543" s="1">
        <f>IFERROR(__xludf.DUMMYFUNCTION("""COMPUTED_VALUE"""),6820.0)</f>
        <v>6820</v>
      </c>
      <c r="F1543" s="1">
        <f>IFERROR(__xludf.DUMMYFUNCTION("""COMPUTED_VALUE"""),89296.0)</f>
        <v>89296</v>
      </c>
    </row>
    <row r="1544">
      <c r="A1544" s="2">
        <f>IFERROR(__xludf.DUMMYFUNCTION("""COMPUTED_VALUE"""),43203.64583333333)</f>
        <v>43203.64583</v>
      </c>
      <c r="B1544" s="1">
        <f>IFERROR(__xludf.DUMMYFUNCTION("""COMPUTED_VALUE"""),6950.0)</f>
        <v>6950</v>
      </c>
      <c r="C1544" s="1">
        <f>IFERROR(__xludf.DUMMYFUNCTION("""COMPUTED_VALUE"""),6970.0)</f>
        <v>6970</v>
      </c>
      <c r="D1544" s="1">
        <f>IFERROR(__xludf.DUMMYFUNCTION("""COMPUTED_VALUE"""),6820.0)</f>
        <v>6820</v>
      </c>
      <c r="E1544" s="1">
        <f>IFERROR(__xludf.DUMMYFUNCTION("""COMPUTED_VALUE"""),6830.0)</f>
        <v>6830</v>
      </c>
      <c r="F1544" s="1">
        <f>IFERROR(__xludf.DUMMYFUNCTION("""COMPUTED_VALUE"""),88119.0)</f>
        <v>88119</v>
      </c>
    </row>
    <row r="1545">
      <c r="A1545" s="2">
        <f>IFERROR(__xludf.DUMMYFUNCTION("""COMPUTED_VALUE"""),43206.64583333333)</f>
        <v>43206.64583</v>
      </c>
      <c r="B1545" s="1">
        <f>IFERROR(__xludf.DUMMYFUNCTION("""COMPUTED_VALUE"""),6780.0)</f>
        <v>6780</v>
      </c>
      <c r="C1545" s="1">
        <f>IFERROR(__xludf.DUMMYFUNCTION("""COMPUTED_VALUE"""),6950.0)</f>
        <v>6950</v>
      </c>
      <c r="D1545" s="1">
        <f>IFERROR(__xludf.DUMMYFUNCTION("""COMPUTED_VALUE"""),6770.0)</f>
        <v>6770</v>
      </c>
      <c r="E1545" s="1">
        <f>IFERROR(__xludf.DUMMYFUNCTION("""COMPUTED_VALUE"""),6950.0)</f>
        <v>6950</v>
      </c>
      <c r="F1545" s="1">
        <f>IFERROR(__xludf.DUMMYFUNCTION("""COMPUTED_VALUE"""),58155.0)</f>
        <v>58155</v>
      </c>
    </row>
    <row r="1546">
      <c r="A1546" s="2">
        <f>IFERROR(__xludf.DUMMYFUNCTION("""COMPUTED_VALUE"""),43207.64583333333)</f>
        <v>43207.64583</v>
      </c>
      <c r="B1546" s="1">
        <f>IFERROR(__xludf.DUMMYFUNCTION("""COMPUTED_VALUE"""),6990.0)</f>
        <v>6990</v>
      </c>
      <c r="C1546" s="1">
        <f>IFERROR(__xludf.DUMMYFUNCTION("""COMPUTED_VALUE"""),7080.0)</f>
        <v>7080</v>
      </c>
      <c r="D1546" s="1">
        <f>IFERROR(__xludf.DUMMYFUNCTION("""COMPUTED_VALUE"""),6850.0)</f>
        <v>6850</v>
      </c>
      <c r="E1546" s="1">
        <f>IFERROR(__xludf.DUMMYFUNCTION("""COMPUTED_VALUE"""),6900.0)</f>
        <v>6900</v>
      </c>
      <c r="F1546" s="1">
        <f>IFERROR(__xludf.DUMMYFUNCTION("""COMPUTED_VALUE"""),145286.0)</f>
        <v>145286</v>
      </c>
    </row>
    <row r="1547">
      <c r="A1547" s="2">
        <f>IFERROR(__xludf.DUMMYFUNCTION("""COMPUTED_VALUE"""),43208.64583333333)</f>
        <v>43208.64583</v>
      </c>
      <c r="B1547" s="1">
        <f>IFERROR(__xludf.DUMMYFUNCTION("""COMPUTED_VALUE"""),6920.0)</f>
        <v>6920</v>
      </c>
      <c r="C1547" s="1">
        <f>IFERROR(__xludf.DUMMYFUNCTION("""COMPUTED_VALUE"""),7310.0)</f>
        <v>7310</v>
      </c>
      <c r="D1547" s="1">
        <f>IFERROR(__xludf.DUMMYFUNCTION("""COMPUTED_VALUE"""),6900.0)</f>
        <v>6900</v>
      </c>
      <c r="E1547" s="1">
        <f>IFERROR(__xludf.DUMMYFUNCTION("""COMPUTED_VALUE"""),7230.0)</f>
        <v>7230</v>
      </c>
      <c r="F1547" s="1">
        <f>IFERROR(__xludf.DUMMYFUNCTION("""COMPUTED_VALUE"""),397685.0)</f>
        <v>397685</v>
      </c>
    </row>
    <row r="1548">
      <c r="A1548" s="2">
        <f>IFERROR(__xludf.DUMMYFUNCTION("""COMPUTED_VALUE"""),43209.64583333333)</f>
        <v>43209.64583</v>
      </c>
      <c r="B1548" s="1">
        <f>IFERROR(__xludf.DUMMYFUNCTION("""COMPUTED_VALUE"""),7340.0)</f>
        <v>7340</v>
      </c>
      <c r="C1548" s="1">
        <f>IFERROR(__xludf.DUMMYFUNCTION("""COMPUTED_VALUE"""),7900.0)</f>
        <v>7900</v>
      </c>
      <c r="D1548" s="1">
        <f>IFERROR(__xludf.DUMMYFUNCTION("""COMPUTED_VALUE"""),7290.0)</f>
        <v>7290</v>
      </c>
      <c r="E1548" s="1">
        <f>IFERROR(__xludf.DUMMYFUNCTION("""COMPUTED_VALUE"""),7490.0)</f>
        <v>7490</v>
      </c>
      <c r="F1548" s="1">
        <f>IFERROR(__xludf.DUMMYFUNCTION("""COMPUTED_VALUE"""),910842.0)</f>
        <v>910842</v>
      </c>
    </row>
    <row r="1549">
      <c r="A1549" s="2">
        <f>IFERROR(__xludf.DUMMYFUNCTION("""COMPUTED_VALUE"""),43210.64583333333)</f>
        <v>43210.64583</v>
      </c>
      <c r="B1549" s="1">
        <f>IFERROR(__xludf.DUMMYFUNCTION("""COMPUTED_VALUE"""),7880.0)</f>
        <v>7880</v>
      </c>
      <c r="C1549" s="1">
        <f>IFERROR(__xludf.DUMMYFUNCTION("""COMPUTED_VALUE"""),7880.0)</f>
        <v>7880</v>
      </c>
      <c r="D1549" s="1">
        <f>IFERROR(__xludf.DUMMYFUNCTION("""COMPUTED_VALUE"""),7170.0)</f>
        <v>7170</v>
      </c>
      <c r="E1549" s="1">
        <f>IFERROR(__xludf.DUMMYFUNCTION("""COMPUTED_VALUE"""),7300.0)</f>
        <v>7300</v>
      </c>
      <c r="F1549" s="1">
        <f>IFERROR(__xludf.DUMMYFUNCTION("""COMPUTED_VALUE"""),331389.0)</f>
        <v>331389</v>
      </c>
    </row>
    <row r="1550">
      <c r="A1550" s="2">
        <f>IFERROR(__xludf.DUMMYFUNCTION("""COMPUTED_VALUE"""),43213.64583333333)</f>
        <v>43213.64583</v>
      </c>
      <c r="B1550" s="1">
        <f>IFERROR(__xludf.DUMMYFUNCTION("""COMPUTED_VALUE"""),7550.0)</f>
        <v>7550</v>
      </c>
      <c r="C1550" s="1">
        <f>IFERROR(__xludf.DUMMYFUNCTION("""COMPUTED_VALUE"""),7690.0)</f>
        <v>7690</v>
      </c>
      <c r="D1550" s="1">
        <f>IFERROR(__xludf.DUMMYFUNCTION("""COMPUTED_VALUE"""),7330.0)</f>
        <v>7330</v>
      </c>
      <c r="E1550" s="1">
        <f>IFERROR(__xludf.DUMMYFUNCTION("""COMPUTED_VALUE"""),7380.0)</f>
        <v>7380</v>
      </c>
      <c r="F1550" s="1">
        <f>IFERROR(__xludf.DUMMYFUNCTION("""COMPUTED_VALUE"""),293867.0)</f>
        <v>293867</v>
      </c>
    </row>
    <row r="1551">
      <c r="A1551" s="2">
        <f>IFERROR(__xludf.DUMMYFUNCTION("""COMPUTED_VALUE"""),43214.64583333333)</f>
        <v>43214.64583</v>
      </c>
      <c r="B1551" s="1">
        <f>IFERROR(__xludf.DUMMYFUNCTION("""COMPUTED_VALUE"""),7520.0)</f>
        <v>7520</v>
      </c>
      <c r="C1551" s="1">
        <f>IFERROR(__xludf.DUMMYFUNCTION("""COMPUTED_VALUE"""),7520.0)</f>
        <v>7520</v>
      </c>
      <c r="D1551" s="1">
        <f>IFERROR(__xludf.DUMMYFUNCTION("""COMPUTED_VALUE"""),6830.0)</f>
        <v>6830</v>
      </c>
      <c r="E1551" s="1">
        <f>IFERROR(__xludf.DUMMYFUNCTION("""COMPUTED_VALUE"""),6980.0)</f>
        <v>6980</v>
      </c>
      <c r="F1551" s="1">
        <f>IFERROR(__xludf.DUMMYFUNCTION("""COMPUTED_VALUE"""),153577.0)</f>
        <v>153577</v>
      </c>
    </row>
    <row r="1552">
      <c r="A1552" s="2">
        <f>IFERROR(__xludf.DUMMYFUNCTION("""COMPUTED_VALUE"""),43215.64583333333)</f>
        <v>43215.64583</v>
      </c>
      <c r="B1552" s="1">
        <f>IFERROR(__xludf.DUMMYFUNCTION("""COMPUTED_VALUE"""),7040.0)</f>
        <v>7040</v>
      </c>
      <c r="C1552" s="1">
        <f>IFERROR(__xludf.DUMMYFUNCTION("""COMPUTED_VALUE"""),7110.0)</f>
        <v>7110</v>
      </c>
      <c r="D1552" s="1">
        <f>IFERROR(__xludf.DUMMYFUNCTION("""COMPUTED_VALUE"""),6500.0)</f>
        <v>6500</v>
      </c>
      <c r="E1552" s="1">
        <f>IFERROR(__xludf.DUMMYFUNCTION("""COMPUTED_VALUE"""),6900.0)</f>
        <v>6900</v>
      </c>
      <c r="F1552" s="1">
        <f>IFERROR(__xludf.DUMMYFUNCTION("""COMPUTED_VALUE"""),102304.0)</f>
        <v>102304</v>
      </c>
    </row>
    <row r="1553">
      <c r="A1553" s="2">
        <f>IFERROR(__xludf.DUMMYFUNCTION("""COMPUTED_VALUE"""),43216.64583333333)</f>
        <v>43216.64583</v>
      </c>
      <c r="B1553" s="1">
        <f>IFERROR(__xludf.DUMMYFUNCTION("""COMPUTED_VALUE"""),7090.0)</f>
        <v>7090</v>
      </c>
      <c r="C1553" s="1">
        <f>IFERROR(__xludf.DUMMYFUNCTION("""COMPUTED_VALUE"""),7090.0)</f>
        <v>7090</v>
      </c>
      <c r="D1553" s="1">
        <f>IFERROR(__xludf.DUMMYFUNCTION("""COMPUTED_VALUE"""),6760.0)</f>
        <v>6760</v>
      </c>
      <c r="E1553" s="1">
        <f>IFERROR(__xludf.DUMMYFUNCTION("""COMPUTED_VALUE"""),6840.0)</f>
        <v>6840</v>
      </c>
      <c r="F1553" s="1">
        <f>IFERROR(__xludf.DUMMYFUNCTION("""COMPUTED_VALUE"""),68003.0)</f>
        <v>68003</v>
      </c>
    </row>
    <row r="1554">
      <c r="A1554" s="2">
        <f>IFERROR(__xludf.DUMMYFUNCTION("""COMPUTED_VALUE"""),43217.64583333333)</f>
        <v>43217.64583</v>
      </c>
      <c r="B1554" s="1">
        <f>IFERROR(__xludf.DUMMYFUNCTION("""COMPUTED_VALUE"""),6850.0)</f>
        <v>6850</v>
      </c>
      <c r="C1554" s="1">
        <f>IFERROR(__xludf.DUMMYFUNCTION("""COMPUTED_VALUE"""),7000.0)</f>
        <v>7000</v>
      </c>
      <c r="D1554" s="1">
        <f>IFERROR(__xludf.DUMMYFUNCTION("""COMPUTED_VALUE"""),6700.0)</f>
        <v>6700</v>
      </c>
      <c r="E1554" s="1">
        <f>IFERROR(__xludf.DUMMYFUNCTION("""COMPUTED_VALUE"""),6850.0)</f>
        <v>6850</v>
      </c>
      <c r="F1554" s="1">
        <f>IFERROR(__xludf.DUMMYFUNCTION("""COMPUTED_VALUE"""),72778.0)</f>
        <v>72778</v>
      </c>
    </row>
    <row r="1555">
      <c r="A1555" s="2">
        <f>IFERROR(__xludf.DUMMYFUNCTION("""COMPUTED_VALUE"""),43220.64583333333)</f>
        <v>43220.64583</v>
      </c>
      <c r="B1555" s="1">
        <f>IFERROR(__xludf.DUMMYFUNCTION("""COMPUTED_VALUE"""),7160.0)</f>
        <v>7160</v>
      </c>
      <c r="C1555" s="1">
        <f>IFERROR(__xludf.DUMMYFUNCTION("""COMPUTED_VALUE"""),7660.0)</f>
        <v>7660</v>
      </c>
      <c r="D1555" s="1">
        <f>IFERROR(__xludf.DUMMYFUNCTION("""COMPUTED_VALUE"""),7110.0)</f>
        <v>7110</v>
      </c>
      <c r="E1555" s="1">
        <f>IFERROR(__xludf.DUMMYFUNCTION("""COMPUTED_VALUE"""),7550.0)</f>
        <v>7550</v>
      </c>
      <c r="F1555" s="1">
        <f>IFERROR(__xludf.DUMMYFUNCTION("""COMPUTED_VALUE"""),350786.0)</f>
        <v>350786</v>
      </c>
    </row>
    <row r="1556">
      <c r="A1556" s="2">
        <f>IFERROR(__xludf.DUMMYFUNCTION("""COMPUTED_VALUE"""),43222.64583333333)</f>
        <v>43222.64583</v>
      </c>
      <c r="B1556" s="1">
        <f>IFERROR(__xludf.DUMMYFUNCTION("""COMPUTED_VALUE"""),8100.0)</f>
        <v>8100</v>
      </c>
      <c r="C1556" s="1">
        <f>IFERROR(__xludf.DUMMYFUNCTION("""COMPUTED_VALUE"""),9810.0)</f>
        <v>9810</v>
      </c>
      <c r="D1556" s="1">
        <f>IFERROR(__xludf.DUMMYFUNCTION("""COMPUTED_VALUE"""),7870.0)</f>
        <v>7870</v>
      </c>
      <c r="E1556" s="1">
        <f>IFERROR(__xludf.DUMMYFUNCTION("""COMPUTED_VALUE"""),9810.0)</f>
        <v>9810</v>
      </c>
      <c r="F1556" s="1">
        <f>IFERROR(__xludf.DUMMYFUNCTION("""COMPUTED_VALUE"""),1838307.0)</f>
        <v>1838307</v>
      </c>
    </row>
    <row r="1557">
      <c r="A1557" s="2">
        <f>IFERROR(__xludf.DUMMYFUNCTION("""COMPUTED_VALUE"""),43223.64583333333)</f>
        <v>43223.64583</v>
      </c>
      <c r="B1557" s="1">
        <f>IFERROR(__xludf.DUMMYFUNCTION("""COMPUTED_VALUE"""),10000.0)</f>
        <v>10000</v>
      </c>
      <c r="C1557" s="1">
        <f>IFERROR(__xludf.DUMMYFUNCTION("""COMPUTED_VALUE"""),10650.0)</f>
        <v>10650</v>
      </c>
      <c r="D1557" s="1">
        <f>IFERROR(__xludf.DUMMYFUNCTION("""COMPUTED_VALUE"""),8620.0)</f>
        <v>8620</v>
      </c>
      <c r="E1557" s="1">
        <f>IFERROR(__xludf.DUMMYFUNCTION("""COMPUTED_VALUE"""),8850.0)</f>
        <v>8850</v>
      </c>
      <c r="F1557" s="1">
        <f>IFERROR(__xludf.DUMMYFUNCTION("""COMPUTED_VALUE"""),2925884.0)</f>
        <v>2925884</v>
      </c>
    </row>
    <row r="1558">
      <c r="A1558" s="2">
        <f>IFERROR(__xludf.DUMMYFUNCTION("""COMPUTED_VALUE"""),43224.64583333333)</f>
        <v>43224.64583</v>
      </c>
      <c r="B1558" s="1">
        <f>IFERROR(__xludf.DUMMYFUNCTION("""COMPUTED_VALUE"""),9250.0)</f>
        <v>9250</v>
      </c>
      <c r="C1558" s="1">
        <f>IFERROR(__xludf.DUMMYFUNCTION("""COMPUTED_VALUE"""),11050.0)</f>
        <v>11050</v>
      </c>
      <c r="D1558" s="1">
        <f>IFERROR(__xludf.DUMMYFUNCTION("""COMPUTED_VALUE"""),9240.0)</f>
        <v>9240</v>
      </c>
      <c r="E1558" s="1">
        <f>IFERROR(__xludf.DUMMYFUNCTION("""COMPUTED_VALUE"""),10150.0)</f>
        <v>10150</v>
      </c>
      <c r="F1558" s="1">
        <f>IFERROR(__xludf.DUMMYFUNCTION("""COMPUTED_VALUE"""),2770564.0)</f>
        <v>2770564</v>
      </c>
    </row>
    <row r="1559">
      <c r="A1559" s="2">
        <f>IFERROR(__xludf.DUMMYFUNCTION("""COMPUTED_VALUE"""),43228.64583333333)</f>
        <v>43228.64583</v>
      </c>
      <c r="B1559" s="1">
        <f>IFERROR(__xludf.DUMMYFUNCTION("""COMPUTED_VALUE"""),9640.0)</f>
        <v>9640</v>
      </c>
      <c r="C1559" s="1">
        <f>IFERROR(__xludf.DUMMYFUNCTION("""COMPUTED_VALUE"""),9750.0)</f>
        <v>9750</v>
      </c>
      <c r="D1559" s="1">
        <f>IFERROR(__xludf.DUMMYFUNCTION("""COMPUTED_VALUE"""),9020.0)</f>
        <v>9020</v>
      </c>
      <c r="E1559" s="1">
        <f>IFERROR(__xludf.DUMMYFUNCTION("""COMPUTED_VALUE"""),9150.0)</f>
        <v>9150</v>
      </c>
      <c r="F1559" s="1">
        <f>IFERROR(__xludf.DUMMYFUNCTION("""COMPUTED_VALUE"""),589435.0)</f>
        <v>589435</v>
      </c>
    </row>
    <row r="1560">
      <c r="A1560" s="2">
        <f>IFERROR(__xludf.DUMMYFUNCTION("""COMPUTED_VALUE"""),43229.64583333333)</f>
        <v>43229.64583</v>
      </c>
      <c r="B1560" s="1">
        <f>IFERROR(__xludf.DUMMYFUNCTION("""COMPUTED_VALUE"""),9370.0)</f>
        <v>9370</v>
      </c>
      <c r="C1560" s="1">
        <f>IFERROR(__xludf.DUMMYFUNCTION("""COMPUTED_VALUE"""),9410.0)</f>
        <v>9410</v>
      </c>
      <c r="D1560" s="1">
        <f>IFERROR(__xludf.DUMMYFUNCTION("""COMPUTED_VALUE"""),8290.0)</f>
        <v>8290</v>
      </c>
      <c r="E1560" s="1">
        <f>IFERROR(__xludf.DUMMYFUNCTION("""COMPUTED_VALUE"""),8750.0)</f>
        <v>8750</v>
      </c>
      <c r="F1560" s="1">
        <f>IFERROR(__xludf.DUMMYFUNCTION("""COMPUTED_VALUE"""),514011.0)</f>
        <v>514011</v>
      </c>
    </row>
    <row r="1561">
      <c r="A1561" s="2">
        <f>IFERROR(__xludf.DUMMYFUNCTION("""COMPUTED_VALUE"""),43230.64583333333)</f>
        <v>43230.64583</v>
      </c>
      <c r="B1561" s="1">
        <f>IFERROR(__xludf.DUMMYFUNCTION("""COMPUTED_VALUE"""),8980.0)</f>
        <v>8980</v>
      </c>
      <c r="C1561" s="1">
        <f>IFERROR(__xludf.DUMMYFUNCTION("""COMPUTED_VALUE"""),9130.0)</f>
        <v>9130</v>
      </c>
      <c r="D1561" s="1">
        <f>IFERROR(__xludf.DUMMYFUNCTION("""COMPUTED_VALUE"""),8520.0)</f>
        <v>8520</v>
      </c>
      <c r="E1561" s="1">
        <f>IFERROR(__xludf.DUMMYFUNCTION("""COMPUTED_VALUE"""),8990.0)</f>
        <v>8990</v>
      </c>
      <c r="F1561" s="1">
        <f>IFERROR(__xludf.DUMMYFUNCTION("""COMPUTED_VALUE"""),387865.0)</f>
        <v>387865</v>
      </c>
    </row>
    <row r="1562">
      <c r="A1562" s="2">
        <f>IFERROR(__xludf.DUMMYFUNCTION("""COMPUTED_VALUE"""),43231.64583333333)</f>
        <v>43231.64583</v>
      </c>
      <c r="B1562" s="1">
        <f>IFERROR(__xludf.DUMMYFUNCTION("""COMPUTED_VALUE"""),9240.0)</f>
        <v>9240</v>
      </c>
      <c r="C1562" s="1">
        <f>IFERROR(__xludf.DUMMYFUNCTION("""COMPUTED_VALUE"""),10350.0)</f>
        <v>10350</v>
      </c>
      <c r="D1562" s="1">
        <f>IFERROR(__xludf.DUMMYFUNCTION("""COMPUTED_VALUE"""),8810.0)</f>
        <v>8810</v>
      </c>
      <c r="E1562" s="1">
        <f>IFERROR(__xludf.DUMMYFUNCTION("""COMPUTED_VALUE"""),9570.0)</f>
        <v>9570</v>
      </c>
      <c r="F1562" s="1">
        <f>IFERROR(__xludf.DUMMYFUNCTION("""COMPUTED_VALUE"""),2572273.0)</f>
        <v>2572273</v>
      </c>
    </row>
    <row r="1563">
      <c r="A1563" s="2">
        <f>IFERROR(__xludf.DUMMYFUNCTION("""COMPUTED_VALUE"""),43234.64583333333)</f>
        <v>43234.64583</v>
      </c>
      <c r="B1563" s="1">
        <f>IFERROR(__xludf.DUMMYFUNCTION("""COMPUTED_VALUE"""),9700.0)</f>
        <v>9700</v>
      </c>
      <c r="C1563" s="1">
        <f>IFERROR(__xludf.DUMMYFUNCTION("""COMPUTED_VALUE"""),10650.0)</f>
        <v>10650</v>
      </c>
      <c r="D1563" s="1">
        <f>IFERROR(__xludf.DUMMYFUNCTION("""COMPUTED_VALUE"""),9500.0)</f>
        <v>9500</v>
      </c>
      <c r="E1563" s="1">
        <f>IFERROR(__xludf.DUMMYFUNCTION("""COMPUTED_VALUE"""),9870.0)</f>
        <v>9870</v>
      </c>
      <c r="F1563" s="1">
        <f>IFERROR(__xludf.DUMMYFUNCTION("""COMPUTED_VALUE"""),1534451.0)</f>
        <v>1534451</v>
      </c>
    </row>
    <row r="1564">
      <c r="A1564" s="2">
        <f>IFERROR(__xludf.DUMMYFUNCTION("""COMPUTED_VALUE"""),43235.64583333333)</f>
        <v>43235.64583</v>
      </c>
      <c r="B1564" s="1">
        <f>IFERROR(__xludf.DUMMYFUNCTION("""COMPUTED_VALUE"""),10250.0)</f>
        <v>10250</v>
      </c>
      <c r="C1564" s="1">
        <f>IFERROR(__xludf.DUMMYFUNCTION("""COMPUTED_VALUE"""),10250.0)</f>
        <v>10250</v>
      </c>
      <c r="D1564" s="1">
        <f>IFERROR(__xludf.DUMMYFUNCTION("""COMPUTED_VALUE"""),9710.0)</f>
        <v>9710</v>
      </c>
      <c r="E1564" s="1">
        <f>IFERROR(__xludf.DUMMYFUNCTION("""COMPUTED_VALUE"""),9870.0)</f>
        <v>9870</v>
      </c>
      <c r="F1564" s="1">
        <f>IFERROR(__xludf.DUMMYFUNCTION("""COMPUTED_VALUE"""),670335.0)</f>
        <v>670335</v>
      </c>
    </row>
    <row r="1565">
      <c r="A1565" s="2">
        <f>IFERROR(__xludf.DUMMYFUNCTION("""COMPUTED_VALUE"""),43236.64583333333)</f>
        <v>43236.64583</v>
      </c>
      <c r="B1565" s="1">
        <f>IFERROR(__xludf.DUMMYFUNCTION("""COMPUTED_VALUE"""),8700.0)</f>
        <v>8700</v>
      </c>
      <c r="C1565" s="1">
        <f>IFERROR(__xludf.DUMMYFUNCTION("""COMPUTED_VALUE"""),9390.0)</f>
        <v>9390</v>
      </c>
      <c r="D1565" s="1">
        <f>IFERROR(__xludf.DUMMYFUNCTION("""COMPUTED_VALUE"""),8700.0)</f>
        <v>8700</v>
      </c>
      <c r="E1565" s="1">
        <f>IFERROR(__xludf.DUMMYFUNCTION("""COMPUTED_VALUE"""),8930.0)</f>
        <v>8930</v>
      </c>
      <c r="F1565" s="1">
        <f>IFERROR(__xludf.DUMMYFUNCTION("""COMPUTED_VALUE"""),570738.0)</f>
        <v>570738</v>
      </c>
    </row>
    <row r="1566">
      <c r="A1566" s="2">
        <f>IFERROR(__xludf.DUMMYFUNCTION("""COMPUTED_VALUE"""),43237.64583333333)</f>
        <v>43237.64583</v>
      </c>
      <c r="B1566" s="1">
        <f>IFERROR(__xludf.DUMMYFUNCTION("""COMPUTED_VALUE"""),9110.0)</f>
        <v>9110</v>
      </c>
      <c r="C1566" s="1">
        <f>IFERROR(__xludf.DUMMYFUNCTION("""COMPUTED_VALUE"""),9340.0)</f>
        <v>9340</v>
      </c>
      <c r="D1566" s="1">
        <f>IFERROR(__xludf.DUMMYFUNCTION("""COMPUTED_VALUE"""),8810.0)</f>
        <v>8810</v>
      </c>
      <c r="E1566" s="1">
        <f>IFERROR(__xludf.DUMMYFUNCTION("""COMPUTED_VALUE"""),9180.0)</f>
        <v>9180</v>
      </c>
      <c r="F1566" s="1">
        <f>IFERROR(__xludf.DUMMYFUNCTION("""COMPUTED_VALUE"""),276852.0)</f>
        <v>276852</v>
      </c>
    </row>
    <row r="1567">
      <c r="A1567" s="2">
        <f>IFERROR(__xludf.DUMMYFUNCTION("""COMPUTED_VALUE"""),43238.64583333333)</f>
        <v>43238.64583</v>
      </c>
      <c r="B1567" s="1">
        <f>IFERROR(__xludf.DUMMYFUNCTION("""COMPUTED_VALUE"""),9210.0)</f>
        <v>9210</v>
      </c>
      <c r="C1567" s="1">
        <f>IFERROR(__xludf.DUMMYFUNCTION("""COMPUTED_VALUE"""),9370.0)</f>
        <v>9370</v>
      </c>
      <c r="D1567" s="1">
        <f>IFERROR(__xludf.DUMMYFUNCTION("""COMPUTED_VALUE"""),9000.0)</f>
        <v>9000</v>
      </c>
      <c r="E1567" s="1">
        <f>IFERROR(__xludf.DUMMYFUNCTION("""COMPUTED_VALUE"""),9130.0)</f>
        <v>9130</v>
      </c>
      <c r="F1567" s="1">
        <f>IFERROR(__xludf.DUMMYFUNCTION("""COMPUTED_VALUE"""),294781.0)</f>
        <v>294781</v>
      </c>
    </row>
    <row r="1568">
      <c r="A1568" s="2">
        <f>IFERROR(__xludf.DUMMYFUNCTION("""COMPUTED_VALUE"""),43241.64583333333)</f>
        <v>43241.64583</v>
      </c>
      <c r="B1568" s="1">
        <f>IFERROR(__xludf.DUMMYFUNCTION("""COMPUTED_VALUE"""),9100.0)</f>
        <v>9100</v>
      </c>
      <c r="C1568" s="1">
        <f>IFERROR(__xludf.DUMMYFUNCTION("""COMPUTED_VALUE"""),9140.0)</f>
        <v>9140</v>
      </c>
      <c r="D1568" s="1">
        <f>IFERROR(__xludf.DUMMYFUNCTION("""COMPUTED_VALUE"""),8830.0)</f>
        <v>8830</v>
      </c>
      <c r="E1568" s="1">
        <f>IFERROR(__xludf.DUMMYFUNCTION("""COMPUTED_VALUE"""),9010.0)</f>
        <v>9010</v>
      </c>
      <c r="F1568" s="1">
        <f>IFERROR(__xludf.DUMMYFUNCTION("""COMPUTED_VALUE"""),133876.0)</f>
        <v>133876</v>
      </c>
    </row>
    <row r="1569">
      <c r="A1569" s="2">
        <f>IFERROR(__xludf.DUMMYFUNCTION("""COMPUTED_VALUE"""),43243.64583333333)</f>
        <v>43243.64583</v>
      </c>
      <c r="B1569" s="1">
        <f>IFERROR(__xludf.DUMMYFUNCTION("""COMPUTED_VALUE"""),8880.0)</f>
        <v>8880</v>
      </c>
      <c r="C1569" s="1">
        <f>IFERROR(__xludf.DUMMYFUNCTION("""COMPUTED_VALUE"""),9140.0)</f>
        <v>9140</v>
      </c>
      <c r="D1569" s="1">
        <f>IFERROR(__xludf.DUMMYFUNCTION("""COMPUTED_VALUE"""),8510.0)</f>
        <v>8510</v>
      </c>
      <c r="E1569" s="1">
        <f>IFERROR(__xludf.DUMMYFUNCTION("""COMPUTED_VALUE"""),9050.0)</f>
        <v>9050</v>
      </c>
      <c r="F1569" s="1">
        <f>IFERROR(__xludf.DUMMYFUNCTION("""COMPUTED_VALUE"""),189893.0)</f>
        <v>189893</v>
      </c>
    </row>
    <row r="1570">
      <c r="A1570" s="2">
        <f>IFERROR(__xludf.DUMMYFUNCTION("""COMPUTED_VALUE"""),43244.64583333333)</f>
        <v>43244.64583</v>
      </c>
      <c r="B1570" s="1">
        <f>IFERROR(__xludf.DUMMYFUNCTION("""COMPUTED_VALUE"""),9100.0)</f>
        <v>9100</v>
      </c>
      <c r="C1570" s="1">
        <f>IFERROR(__xludf.DUMMYFUNCTION("""COMPUTED_VALUE"""),9170.0)</f>
        <v>9170</v>
      </c>
      <c r="D1570" s="1">
        <f>IFERROR(__xludf.DUMMYFUNCTION("""COMPUTED_VALUE"""),8560.0)</f>
        <v>8560</v>
      </c>
      <c r="E1570" s="1">
        <f>IFERROR(__xludf.DUMMYFUNCTION("""COMPUTED_VALUE"""),8660.0)</f>
        <v>8660</v>
      </c>
      <c r="F1570" s="1">
        <f>IFERROR(__xludf.DUMMYFUNCTION("""COMPUTED_VALUE"""),174901.0)</f>
        <v>174901</v>
      </c>
    </row>
    <row r="1571">
      <c r="A1571" s="2">
        <f>IFERROR(__xludf.DUMMYFUNCTION("""COMPUTED_VALUE"""),43245.64583333333)</f>
        <v>43245.64583</v>
      </c>
      <c r="B1571" s="1">
        <f>IFERROR(__xludf.DUMMYFUNCTION("""COMPUTED_VALUE"""),7390.0)</f>
        <v>7390</v>
      </c>
      <c r="C1571" s="1">
        <f>IFERROR(__xludf.DUMMYFUNCTION("""COMPUTED_VALUE"""),7770.0)</f>
        <v>7770</v>
      </c>
      <c r="D1571" s="1">
        <f>IFERROR(__xludf.DUMMYFUNCTION("""COMPUTED_VALUE"""),7270.0)</f>
        <v>7270</v>
      </c>
      <c r="E1571" s="1">
        <f>IFERROR(__xludf.DUMMYFUNCTION("""COMPUTED_VALUE"""),7600.0)</f>
        <v>7600</v>
      </c>
      <c r="F1571" s="1">
        <f>IFERROR(__xludf.DUMMYFUNCTION("""COMPUTED_VALUE"""),383997.0)</f>
        <v>383997</v>
      </c>
    </row>
    <row r="1572">
      <c r="A1572" s="2">
        <f>IFERROR(__xludf.DUMMYFUNCTION("""COMPUTED_VALUE"""),43248.64583333333)</f>
        <v>43248.64583</v>
      </c>
      <c r="B1572" s="1">
        <f>IFERROR(__xludf.DUMMYFUNCTION("""COMPUTED_VALUE"""),8800.0)</f>
        <v>8800</v>
      </c>
      <c r="C1572" s="1">
        <f>IFERROR(__xludf.DUMMYFUNCTION("""COMPUTED_VALUE"""),9760.0)</f>
        <v>9760</v>
      </c>
      <c r="D1572" s="1">
        <f>IFERROR(__xludf.DUMMYFUNCTION("""COMPUTED_VALUE"""),8670.0)</f>
        <v>8670</v>
      </c>
      <c r="E1572" s="1">
        <f>IFERROR(__xludf.DUMMYFUNCTION("""COMPUTED_VALUE"""),9540.0)</f>
        <v>9540</v>
      </c>
      <c r="F1572" s="1">
        <f>IFERROR(__xludf.DUMMYFUNCTION("""COMPUTED_VALUE"""),1072655.0)</f>
        <v>1072655</v>
      </c>
    </row>
    <row r="1573">
      <c r="A1573" s="2">
        <f>IFERROR(__xludf.DUMMYFUNCTION("""COMPUTED_VALUE"""),43249.64583333333)</f>
        <v>43249.64583</v>
      </c>
      <c r="B1573" s="1">
        <f>IFERROR(__xludf.DUMMYFUNCTION("""COMPUTED_VALUE"""),9390.0)</f>
        <v>9390</v>
      </c>
      <c r="C1573" s="1">
        <f>IFERROR(__xludf.DUMMYFUNCTION("""COMPUTED_VALUE"""),9390.0)</f>
        <v>9390</v>
      </c>
      <c r="D1573" s="1">
        <f>IFERROR(__xludf.DUMMYFUNCTION("""COMPUTED_VALUE"""),8950.0)</f>
        <v>8950</v>
      </c>
      <c r="E1573" s="1">
        <f>IFERROR(__xludf.DUMMYFUNCTION("""COMPUTED_VALUE"""),9000.0)</f>
        <v>9000</v>
      </c>
      <c r="F1573" s="1">
        <f>IFERROR(__xludf.DUMMYFUNCTION("""COMPUTED_VALUE"""),405434.0)</f>
        <v>405434</v>
      </c>
    </row>
    <row r="1574">
      <c r="A1574" s="2">
        <f>IFERROR(__xludf.DUMMYFUNCTION("""COMPUTED_VALUE"""),43250.64583333333)</f>
        <v>43250.64583</v>
      </c>
      <c r="B1574" s="1">
        <f>IFERROR(__xludf.DUMMYFUNCTION("""COMPUTED_VALUE"""),9130.0)</f>
        <v>9130</v>
      </c>
      <c r="C1574" s="1">
        <f>IFERROR(__xludf.DUMMYFUNCTION("""COMPUTED_VALUE"""),9440.0)</f>
        <v>9440</v>
      </c>
      <c r="D1574" s="1">
        <f>IFERROR(__xludf.DUMMYFUNCTION("""COMPUTED_VALUE"""),9070.0)</f>
        <v>9070</v>
      </c>
      <c r="E1574" s="1">
        <f>IFERROR(__xludf.DUMMYFUNCTION("""COMPUTED_VALUE"""),9410.0)</f>
        <v>9410</v>
      </c>
      <c r="F1574" s="1">
        <f>IFERROR(__xludf.DUMMYFUNCTION("""COMPUTED_VALUE"""),439194.0)</f>
        <v>439194</v>
      </c>
    </row>
    <row r="1575">
      <c r="A1575" s="2">
        <f>IFERROR(__xludf.DUMMYFUNCTION("""COMPUTED_VALUE"""),43251.64583333333)</f>
        <v>43251.64583</v>
      </c>
      <c r="B1575" s="1">
        <f>IFERROR(__xludf.DUMMYFUNCTION("""COMPUTED_VALUE"""),9750.0)</f>
        <v>9750</v>
      </c>
      <c r="C1575" s="1">
        <f>IFERROR(__xludf.DUMMYFUNCTION("""COMPUTED_VALUE"""),10350.0)</f>
        <v>10350</v>
      </c>
      <c r="D1575" s="1">
        <f>IFERROR(__xludf.DUMMYFUNCTION("""COMPUTED_VALUE"""),9500.0)</f>
        <v>9500</v>
      </c>
      <c r="E1575" s="1">
        <f>IFERROR(__xludf.DUMMYFUNCTION("""COMPUTED_VALUE"""),9670.0)</f>
        <v>9670</v>
      </c>
      <c r="F1575" s="1">
        <f>IFERROR(__xludf.DUMMYFUNCTION("""COMPUTED_VALUE"""),1119624.0)</f>
        <v>1119624</v>
      </c>
    </row>
    <row r="1576">
      <c r="A1576" s="2">
        <f>IFERROR(__xludf.DUMMYFUNCTION("""COMPUTED_VALUE"""),43252.64583333333)</f>
        <v>43252.64583</v>
      </c>
      <c r="B1576" s="1">
        <f>IFERROR(__xludf.DUMMYFUNCTION("""COMPUTED_VALUE"""),9880.0)</f>
        <v>9880</v>
      </c>
      <c r="C1576" s="1">
        <f>IFERROR(__xludf.DUMMYFUNCTION("""COMPUTED_VALUE"""),9980.0)</f>
        <v>9980</v>
      </c>
      <c r="D1576" s="1">
        <f>IFERROR(__xludf.DUMMYFUNCTION("""COMPUTED_VALUE"""),9000.0)</f>
        <v>9000</v>
      </c>
      <c r="E1576" s="1">
        <f>IFERROR(__xludf.DUMMYFUNCTION("""COMPUTED_VALUE"""),9100.0)</f>
        <v>9100</v>
      </c>
      <c r="F1576" s="1">
        <f>IFERROR(__xludf.DUMMYFUNCTION("""COMPUTED_VALUE"""),511503.0)</f>
        <v>511503</v>
      </c>
    </row>
    <row r="1577">
      <c r="A1577" s="2">
        <f>IFERROR(__xludf.DUMMYFUNCTION("""COMPUTED_VALUE"""),43255.64583333333)</f>
        <v>43255.64583</v>
      </c>
      <c r="B1577" s="1">
        <f>IFERROR(__xludf.DUMMYFUNCTION("""COMPUTED_VALUE"""),9370.0)</f>
        <v>9370</v>
      </c>
      <c r="C1577" s="1">
        <f>IFERROR(__xludf.DUMMYFUNCTION("""COMPUTED_VALUE"""),9370.0)</f>
        <v>9370</v>
      </c>
      <c r="D1577" s="1">
        <f>IFERROR(__xludf.DUMMYFUNCTION("""COMPUTED_VALUE"""),8820.0)</f>
        <v>8820</v>
      </c>
      <c r="E1577" s="1">
        <f>IFERROR(__xludf.DUMMYFUNCTION("""COMPUTED_VALUE"""),8830.0)</f>
        <v>8830</v>
      </c>
      <c r="F1577" s="1">
        <f>IFERROR(__xludf.DUMMYFUNCTION("""COMPUTED_VALUE"""),211631.0)</f>
        <v>211631</v>
      </c>
    </row>
    <row r="1578">
      <c r="A1578" s="2">
        <f>IFERROR(__xludf.DUMMYFUNCTION("""COMPUTED_VALUE"""),43256.64583333333)</f>
        <v>43256.64583</v>
      </c>
      <c r="B1578" s="1">
        <f>IFERROR(__xludf.DUMMYFUNCTION("""COMPUTED_VALUE"""),8560.0)</f>
        <v>8560</v>
      </c>
      <c r="C1578" s="1">
        <f>IFERROR(__xludf.DUMMYFUNCTION("""COMPUTED_VALUE"""),8840.0)</f>
        <v>8840</v>
      </c>
      <c r="D1578" s="1">
        <f>IFERROR(__xludf.DUMMYFUNCTION("""COMPUTED_VALUE"""),8310.0)</f>
        <v>8310</v>
      </c>
      <c r="E1578" s="1">
        <f>IFERROR(__xludf.DUMMYFUNCTION("""COMPUTED_VALUE"""),8820.0)</f>
        <v>8820</v>
      </c>
      <c r="F1578" s="1">
        <f>IFERROR(__xludf.DUMMYFUNCTION("""COMPUTED_VALUE"""),246684.0)</f>
        <v>246684</v>
      </c>
    </row>
    <row r="1579">
      <c r="A1579" s="2">
        <f>IFERROR(__xludf.DUMMYFUNCTION("""COMPUTED_VALUE"""),43258.64583333333)</f>
        <v>43258.64583</v>
      </c>
      <c r="B1579" s="1">
        <f>IFERROR(__xludf.DUMMYFUNCTION("""COMPUTED_VALUE"""),8840.0)</f>
        <v>8840</v>
      </c>
      <c r="C1579" s="1">
        <f>IFERROR(__xludf.DUMMYFUNCTION("""COMPUTED_VALUE"""),8920.0)</f>
        <v>8920</v>
      </c>
      <c r="D1579" s="1">
        <f>IFERROR(__xludf.DUMMYFUNCTION("""COMPUTED_VALUE"""),8640.0)</f>
        <v>8640</v>
      </c>
      <c r="E1579" s="1">
        <f>IFERROR(__xludf.DUMMYFUNCTION("""COMPUTED_VALUE"""),8710.0)</f>
        <v>8710</v>
      </c>
      <c r="F1579" s="1">
        <f>IFERROR(__xludf.DUMMYFUNCTION("""COMPUTED_VALUE"""),167194.0)</f>
        <v>167194</v>
      </c>
    </row>
    <row r="1580">
      <c r="A1580" s="2">
        <f>IFERROR(__xludf.DUMMYFUNCTION("""COMPUTED_VALUE"""),43259.64583333333)</f>
        <v>43259.64583</v>
      </c>
      <c r="B1580" s="1">
        <f>IFERROR(__xludf.DUMMYFUNCTION("""COMPUTED_VALUE"""),8710.0)</f>
        <v>8710</v>
      </c>
      <c r="C1580" s="1">
        <f>IFERROR(__xludf.DUMMYFUNCTION("""COMPUTED_VALUE"""),10500.0)</f>
        <v>10500</v>
      </c>
      <c r="D1580" s="1">
        <f>IFERROR(__xludf.DUMMYFUNCTION("""COMPUTED_VALUE"""),8540.0)</f>
        <v>8540</v>
      </c>
      <c r="E1580" s="1">
        <f>IFERROR(__xludf.DUMMYFUNCTION("""COMPUTED_VALUE"""),9000.0)</f>
        <v>9000</v>
      </c>
      <c r="F1580" s="1">
        <f>IFERROR(__xludf.DUMMYFUNCTION("""COMPUTED_VALUE"""),4349146.0)</f>
        <v>4349146</v>
      </c>
    </row>
    <row r="1581">
      <c r="A1581" s="2">
        <f>IFERROR(__xludf.DUMMYFUNCTION("""COMPUTED_VALUE"""),43262.64583333333)</f>
        <v>43262.64583</v>
      </c>
      <c r="B1581" s="1">
        <f>IFERROR(__xludf.DUMMYFUNCTION("""COMPUTED_VALUE"""),9550.0)</f>
        <v>9550</v>
      </c>
      <c r="C1581" s="1">
        <f>IFERROR(__xludf.DUMMYFUNCTION("""COMPUTED_VALUE"""),11650.0)</f>
        <v>11650</v>
      </c>
      <c r="D1581" s="1">
        <f>IFERROR(__xludf.DUMMYFUNCTION("""COMPUTED_VALUE"""),9480.0)</f>
        <v>9480</v>
      </c>
      <c r="E1581" s="1">
        <f>IFERROR(__xludf.DUMMYFUNCTION("""COMPUTED_VALUE"""),11500.0)</f>
        <v>11500</v>
      </c>
      <c r="F1581" s="1">
        <f>IFERROR(__xludf.DUMMYFUNCTION("""COMPUTED_VALUE"""),6649466.0)</f>
        <v>6649466</v>
      </c>
    </row>
    <row r="1582">
      <c r="A1582" s="2">
        <f>IFERROR(__xludf.DUMMYFUNCTION("""COMPUTED_VALUE"""),43263.64583333333)</f>
        <v>43263.64583</v>
      </c>
      <c r="B1582" s="1">
        <f>IFERROR(__xludf.DUMMYFUNCTION("""COMPUTED_VALUE"""),11450.0)</f>
        <v>11450</v>
      </c>
      <c r="C1582" s="1">
        <f>IFERROR(__xludf.DUMMYFUNCTION("""COMPUTED_VALUE"""),13500.0)</f>
        <v>13500</v>
      </c>
      <c r="D1582" s="1">
        <f>IFERROR(__xludf.DUMMYFUNCTION("""COMPUTED_VALUE"""),10700.0)</f>
        <v>10700</v>
      </c>
      <c r="E1582" s="1">
        <f>IFERROR(__xludf.DUMMYFUNCTION("""COMPUTED_VALUE"""),12000.0)</f>
        <v>12000</v>
      </c>
      <c r="F1582" s="1">
        <f>IFERROR(__xludf.DUMMYFUNCTION("""COMPUTED_VALUE"""),8108735.0)</f>
        <v>8108735</v>
      </c>
    </row>
    <row r="1583">
      <c r="A1583" s="2">
        <f>IFERROR(__xludf.DUMMYFUNCTION("""COMPUTED_VALUE"""),43266.64583333333)</f>
        <v>43266.64583</v>
      </c>
      <c r="B1583" s="1">
        <f>IFERROR(__xludf.DUMMYFUNCTION("""COMPUTED_VALUE"""),10350.0)</f>
        <v>10350</v>
      </c>
      <c r="C1583" s="1">
        <f>IFERROR(__xludf.DUMMYFUNCTION("""COMPUTED_VALUE"""),13450.0)</f>
        <v>13450</v>
      </c>
      <c r="D1583" s="1">
        <f>IFERROR(__xludf.DUMMYFUNCTION("""COMPUTED_VALUE"""),10200.0)</f>
        <v>10200</v>
      </c>
      <c r="E1583" s="1">
        <f>IFERROR(__xludf.DUMMYFUNCTION("""COMPUTED_VALUE"""),13450.0)</f>
        <v>13450</v>
      </c>
      <c r="F1583" s="1">
        <f>IFERROR(__xludf.DUMMYFUNCTION("""COMPUTED_VALUE"""),6193915.0)</f>
        <v>6193915</v>
      </c>
    </row>
    <row r="1584">
      <c r="A1584" s="2">
        <f>IFERROR(__xludf.DUMMYFUNCTION("""COMPUTED_VALUE"""),43269.64583333333)</f>
        <v>43269.64583</v>
      </c>
      <c r="B1584" s="1">
        <f>IFERROR(__xludf.DUMMYFUNCTION("""COMPUTED_VALUE"""),13150.0)</f>
        <v>13150</v>
      </c>
      <c r="C1584" s="1">
        <f>IFERROR(__xludf.DUMMYFUNCTION("""COMPUTED_VALUE"""),16200.0)</f>
        <v>16200</v>
      </c>
      <c r="D1584" s="1">
        <f>IFERROR(__xludf.DUMMYFUNCTION("""COMPUTED_VALUE"""),12800.0)</f>
        <v>12800</v>
      </c>
      <c r="E1584" s="1">
        <f>IFERROR(__xludf.DUMMYFUNCTION("""COMPUTED_VALUE"""),13800.0)</f>
        <v>13800</v>
      </c>
      <c r="F1584" s="1">
        <f>IFERROR(__xludf.DUMMYFUNCTION("""COMPUTED_VALUE"""),1.187109E7)</f>
        <v>11871090</v>
      </c>
    </row>
    <row r="1585">
      <c r="A1585" s="2">
        <f>IFERROR(__xludf.DUMMYFUNCTION("""COMPUTED_VALUE"""),43270.64583333333)</f>
        <v>43270.64583</v>
      </c>
      <c r="B1585" s="1">
        <f>IFERROR(__xludf.DUMMYFUNCTION("""COMPUTED_VALUE"""),13500.0)</f>
        <v>13500</v>
      </c>
      <c r="C1585" s="1">
        <f>IFERROR(__xludf.DUMMYFUNCTION("""COMPUTED_VALUE"""),13550.0)</f>
        <v>13550</v>
      </c>
      <c r="D1585" s="1">
        <f>IFERROR(__xludf.DUMMYFUNCTION("""COMPUTED_VALUE"""),12400.0)</f>
        <v>12400</v>
      </c>
      <c r="E1585" s="1">
        <f>IFERROR(__xludf.DUMMYFUNCTION("""COMPUTED_VALUE"""),12450.0)</f>
        <v>12450</v>
      </c>
      <c r="F1585" s="1">
        <f>IFERROR(__xludf.DUMMYFUNCTION("""COMPUTED_VALUE"""),737009.0)</f>
        <v>737009</v>
      </c>
    </row>
    <row r="1586">
      <c r="A1586" s="2">
        <f>IFERROR(__xludf.DUMMYFUNCTION("""COMPUTED_VALUE"""),43271.64583333333)</f>
        <v>43271.64583</v>
      </c>
      <c r="B1586" s="1">
        <f>IFERROR(__xludf.DUMMYFUNCTION("""COMPUTED_VALUE"""),12600.0)</f>
        <v>12600</v>
      </c>
      <c r="C1586" s="1">
        <f>IFERROR(__xludf.DUMMYFUNCTION("""COMPUTED_VALUE"""),12900.0)</f>
        <v>12900</v>
      </c>
      <c r="D1586" s="1">
        <f>IFERROR(__xludf.DUMMYFUNCTION("""COMPUTED_VALUE"""),12400.0)</f>
        <v>12400</v>
      </c>
      <c r="E1586" s="1">
        <f>IFERROR(__xludf.DUMMYFUNCTION("""COMPUTED_VALUE"""),12800.0)</f>
        <v>12800</v>
      </c>
      <c r="F1586" s="1">
        <f>IFERROR(__xludf.DUMMYFUNCTION("""COMPUTED_VALUE"""),483603.0)</f>
        <v>483603</v>
      </c>
    </row>
    <row r="1587">
      <c r="A1587" s="2">
        <f>IFERROR(__xludf.DUMMYFUNCTION("""COMPUTED_VALUE"""),43272.64583333333)</f>
        <v>43272.64583</v>
      </c>
      <c r="B1587" s="1">
        <f>IFERROR(__xludf.DUMMYFUNCTION("""COMPUTED_VALUE"""),13300.0)</f>
        <v>13300</v>
      </c>
      <c r="C1587" s="1">
        <f>IFERROR(__xludf.DUMMYFUNCTION("""COMPUTED_VALUE"""),13550.0)</f>
        <v>13550</v>
      </c>
      <c r="D1587" s="1">
        <f>IFERROR(__xludf.DUMMYFUNCTION("""COMPUTED_VALUE"""),12550.0)</f>
        <v>12550</v>
      </c>
      <c r="E1587" s="1">
        <f>IFERROR(__xludf.DUMMYFUNCTION("""COMPUTED_VALUE"""),12550.0)</f>
        <v>12550</v>
      </c>
      <c r="F1587" s="1">
        <f>IFERROR(__xludf.DUMMYFUNCTION("""COMPUTED_VALUE"""),687351.0)</f>
        <v>687351</v>
      </c>
    </row>
    <row r="1588">
      <c r="A1588" s="2">
        <f>IFERROR(__xludf.DUMMYFUNCTION("""COMPUTED_VALUE"""),43273.64583333333)</f>
        <v>43273.64583</v>
      </c>
      <c r="B1588" s="1">
        <f>IFERROR(__xludf.DUMMYFUNCTION("""COMPUTED_VALUE"""),13550.0)</f>
        <v>13550</v>
      </c>
      <c r="C1588" s="1">
        <f>IFERROR(__xludf.DUMMYFUNCTION("""COMPUTED_VALUE"""),15200.0)</f>
        <v>15200</v>
      </c>
      <c r="D1588" s="1">
        <f>IFERROR(__xludf.DUMMYFUNCTION("""COMPUTED_VALUE"""),12500.0)</f>
        <v>12500</v>
      </c>
      <c r="E1588" s="1">
        <f>IFERROR(__xludf.DUMMYFUNCTION("""COMPUTED_VALUE"""),12650.0)</f>
        <v>12650</v>
      </c>
      <c r="F1588" s="1">
        <f>IFERROR(__xludf.DUMMYFUNCTION("""COMPUTED_VALUE"""),7216590.0)</f>
        <v>7216590</v>
      </c>
    </row>
    <row r="1589">
      <c r="A1589" s="2">
        <f>IFERROR(__xludf.DUMMYFUNCTION("""COMPUTED_VALUE"""),43276.64583333333)</f>
        <v>43276.64583</v>
      </c>
      <c r="B1589" s="1">
        <f>IFERROR(__xludf.DUMMYFUNCTION("""COMPUTED_VALUE"""),12700.0)</f>
        <v>12700</v>
      </c>
      <c r="C1589" s="1">
        <f>IFERROR(__xludf.DUMMYFUNCTION("""COMPUTED_VALUE"""),13650.0)</f>
        <v>13650</v>
      </c>
      <c r="D1589" s="1">
        <f>IFERROR(__xludf.DUMMYFUNCTION("""COMPUTED_VALUE"""),11550.0)</f>
        <v>11550</v>
      </c>
      <c r="E1589" s="1">
        <f>IFERROR(__xludf.DUMMYFUNCTION("""COMPUTED_VALUE"""),11700.0)</f>
        <v>11700</v>
      </c>
      <c r="F1589" s="1">
        <f>IFERROR(__xludf.DUMMYFUNCTION("""COMPUTED_VALUE"""),1859715.0)</f>
        <v>1859715</v>
      </c>
    </row>
    <row r="1590">
      <c r="A1590" s="2">
        <f>IFERROR(__xludf.DUMMYFUNCTION("""COMPUTED_VALUE"""),43277.64583333333)</f>
        <v>43277.64583</v>
      </c>
      <c r="B1590" s="1">
        <f>IFERROR(__xludf.DUMMYFUNCTION("""COMPUTED_VALUE"""),11650.0)</f>
        <v>11650</v>
      </c>
      <c r="C1590" s="1">
        <f>IFERROR(__xludf.DUMMYFUNCTION("""COMPUTED_VALUE"""),12150.0)</f>
        <v>12150</v>
      </c>
      <c r="D1590" s="1">
        <f>IFERROR(__xludf.DUMMYFUNCTION("""COMPUTED_VALUE"""),10850.0)</f>
        <v>10850</v>
      </c>
      <c r="E1590" s="1">
        <f>IFERROR(__xludf.DUMMYFUNCTION("""COMPUTED_VALUE"""),11400.0)</f>
        <v>11400</v>
      </c>
      <c r="F1590" s="1">
        <f>IFERROR(__xludf.DUMMYFUNCTION("""COMPUTED_VALUE"""),1559260.0)</f>
        <v>1559260</v>
      </c>
    </row>
    <row r="1591">
      <c r="A1591" s="2">
        <f>IFERROR(__xludf.DUMMYFUNCTION("""COMPUTED_VALUE"""),43278.64583333333)</f>
        <v>43278.64583</v>
      </c>
      <c r="B1591" s="1">
        <f>IFERROR(__xludf.DUMMYFUNCTION("""COMPUTED_VALUE"""),11450.0)</f>
        <v>11450</v>
      </c>
      <c r="C1591" s="1">
        <f>IFERROR(__xludf.DUMMYFUNCTION("""COMPUTED_VALUE"""),11550.0)</f>
        <v>11550</v>
      </c>
      <c r="D1591" s="1">
        <f>IFERROR(__xludf.DUMMYFUNCTION("""COMPUTED_VALUE"""),10250.0)</f>
        <v>10250</v>
      </c>
      <c r="E1591" s="1">
        <f>IFERROR(__xludf.DUMMYFUNCTION("""COMPUTED_VALUE"""),10350.0)</f>
        <v>10350</v>
      </c>
      <c r="F1591" s="1">
        <f>IFERROR(__xludf.DUMMYFUNCTION("""COMPUTED_VALUE"""),942889.0)</f>
        <v>942889</v>
      </c>
    </row>
    <row r="1592">
      <c r="A1592" s="2">
        <f>IFERROR(__xludf.DUMMYFUNCTION("""COMPUTED_VALUE"""),43279.64583333333)</f>
        <v>43279.64583</v>
      </c>
      <c r="B1592" s="1">
        <f>IFERROR(__xludf.DUMMYFUNCTION("""COMPUTED_VALUE"""),10200.0)</f>
        <v>10200</v>
      </c>
      <c r="C1592" s="1">
        <f>IFERROR(__xludf.DUMMYFUNCTION("""COMPUTED_VALUE"""),11300.0)</f>
        <v>11300</v>
      </c>
      <c r="D1592" s="1">
        <f>IFERROR(__xludf.DUMMYFUNCTION("""COMPUTED_VALUE"""),10000.0)</f>
        <v>10000</v>
      </c>
      <c r="E1592" s="1">
        <f>IFERROR(__xludf.DUMMYFUNCTION("""COMPUTED_VALUE"""),10400.0)</f>
        <v>10400</v>
      </c>
      <c r="F1592" s="1">
        <f>IFERROR(__xludf.DUMMYFUNCTION("""COMPUTED_VALUE"""),1820330.0)</f>
        <v>1820330</v>
      </c>
    </row>
    <row r="1593">
      <c r="A1593" s="2">
        <f>IFERROR(__xludf.DUMMYFUNCTION("""COMPUTED_VALUE"""),43280.64583333333)</f>
        <v>43280.64583</v>
      </c>
      <c r="B1593" s="1">
        <f>IFERROR(__xludf.DUMMYFUNCTION("""COMPUTED_VALUE"""),10650.0)</f>
        <v>10650</v>
      </c>
      <c r="C1593" s="1">
        <f>IFERROR(__xludf.DUMMYFUNCTION("""COMPUTED_VALUE"""),11100.0)</f>
        <v>11100</v>
      </c>
      <c r="D1593" s="1">
        <f>IFERROR(__xludf.DUMMYFUNCTION("""COMPUTED_VALUE"""),10150.0)</f>
        <v>10150</v>
      </c>
      <c r="E1593" s="1">
        <f>IFERROR(__xludf.DUMMYFUNCTION("""COMPUTED_VALUE"""),10950.0)</f>
        <v>10950</v>
      </c>
      <c r="F1593" s="1">
        <f>IFERROR(__xludf.DUMMYFUNCTION("""COMPUTED_VALUE"""),1096192.0)</f>
        <v>1096192</v>
      </c>
    </row>
    <row r="1594">
      <c r="A1594" s="2">
        <f>IFERROR(__xludf.DUMMYFUNCTION("""COMPUTED_VALUE"""),43283.64583333333)</f>
        <v>43283.64583</v>
      </c>
      <c r="B1594" s="1">
        <f>IFERROR(__xludf.DUMMYFUNCTION("""COMPUTED_VALUE"""),10900.0)</f>
        <v>10900</v>
      </c>
      <c r="C1594" s="1">
        <f>IFERROR(__xludf.DUMMYFUNCTION("""COMPUTED_VALUE"""),11150.0)</f>
        <v>11150</v>
      </c>
      <c r="D1594" s="1">
        <f>IFERROR(__xludf.DUMMYFUNCTION("""COMPUTED_VALUE"""),9900.0)</f>
        <v>9900</v>
      </c>
      <c r="E1594" s="1">
        <f>IFERROR(__xludf.DUMMYFUNCTION("""COMPUTED_VALUE"""),9900.0)</f>
        <v>9900</v>
      </c>
      <c r="F1594" s="1">
        <f>IFERROR(__xludf.DUMMYFUNCTION("""COMPUTED_VALUE"""),808495.0)</f>
        <v>808495</v>
      </c>
    </row>
    <row r="1595">
      <c r="A1595" s="2">
        <f>IFERROR(__xludf.DUMMYFUNCTION("""COMPUTED_VALUE"""),43284.64583333333)</f>
        <v>43284.64583</v>
      </c>
      <c r="B1595" s="1">
        <f>IFERROR(__xludf.DUMMYFUNCTION("""COMPUTED_VALUE"""),9980.0)</f>
        <v>9980</v>
      </c>
      <c r="C1595" s="1">
        <f>IFERROR(__xludf.DUMMYFUNCTION("""COMPUTED_VALUE"""),10250.0)</f>
        <v>10250</v>
      </c>
      <c r="D1595" s="1">
        <f>IFERROR(__xludf.DUMMYFUNCTION("""COMPUTED_VALUE"""),9280.0)</f>
        <v>9280</v>
      </c>
      <c r="E1595" s="1">
        <f>IFERROR(__xludf.DUMMYFUNCTION("""COMPUTED_VALUE"""),9900.0)</f>
        <v>9900</v>
      </c>
      <c r="F1595" s="1">
        <f>IFERROR(__xludf.DUMMYFUNCTION("""COMPUTED_VALUE"""),847258.0)</f>
        <v>847258</v>
      </c>
    </row>
    <row r="1596">
      <c r="A1596" s="2">
        <f>IFERROR(__xludf.DUMMYFUNCTION("""COMPUTED_VALUE"""),43285.64583333333)</f>
        <v>43285.64583</v>
      </c>
      <c r="B1596" s="1">
        <f>IFERROR(__xludf.DUMMYFUNCTION("""COMPUTED_VALUE"""),9850.0)</f>
        <v>9850</v>
      </c>
      <c r="C1596" s="1">
        <f>IFERROR(__xludf.DUMMYFUNCTION("""COMPUTED_VALUE"""),11500.0)</f>
        <v>11500</v>
      </c>
      <c r="D1596" s="1">
        <f>IFERROR(__xludf.DUMMYFUNCTION("""COMPUTED_VALUE"""),9830.0)</f>
        <v>9830</v>
      </c>
      <c r="E1596" s="1">
        <f>IFERROR(__xludf.DUMMYFUNCTION("""COMPUTED_VALUE"""),10400.0)</f>
        <v>10400</v>
      </c>
      <c r="F1596" s="1">
        <f>IFERROR(__xludf.DUMMYFUNCTION("""COMPUTED_VALUE"""),3310997.0)</f>
        <v>3310997</v>
      </c>
    </row>
    <row r="1597">
      <c r="A1597" s="2">
        <f>IFERROR(__xludf.DUMMYFUNCTION("""COMPUTED_VALUE"""),43286.64583333333)</f>
        <v>43286.64583</v>
      </c>
      <c r="B1597" s="1">
        <f>IFERROR(__xludf.DUMMYFUNCTION("""COMPUTED_VALUE"""),11300.0)</f>
        <v>11300</v>
      </c>
      <c r="C1597" s="1">
        <f>IFERROR(__xludf.DUMMYFUNCTION("""COMPUTED_VALUE"""),12300.0)</f>
        <v>12300</v>
      </c>
      <c r="D1597" s="1">
        <f>IFERROR(__xludf.DUMMYFUNCTION("""COMPUTED_VALUE"""),10700.0)</f>
        <v>10700</v>
      </c>
      <c r="E1597" s="1">
        <f>IFERROR(__xludf.DUMMYFUNCTION("""COMPUTED_VALUE"""),10850.0)</f>
        <v>10850</v>
      </c>
      <c r="F1597" s="1">
        <f>IFERROR(__xludf.DUMMYFUNCTION("""COMPUTED_VALUE"""),3632635.0)</f>
        <v>3632635</v>
      </c>
    </row>
    <row r="1598">
      <c r="A1598" s="2">
        <f>IFERROR(__xludf.DUMMYFUNCTION("""COMPUTED_VALUE"""),43287.64583333333)</f>
        <v>43287.64583</v>
      </c>
      <c r="B1598" s="1">
        <f>IFERROR(__xludf.DUMMYFUNCTION("""COMPUTED_VALUE"""),11050.0)</f>
        <v>11050</v>
      </c>
      <c r="C1598" s="1">
        <f>IFERROR(__xludf.DUMMYFUNCTION("""COMPUTED_VALUE"""),11300.0)</f>
        <v>11300</v>
      </c>
      <c r="D1598" s="1">
        <f>IFERROR(__xludf.DUMMYFUNCTION("""COMPUTED_VALUE"""),9980.0)</f>
        <v>9980</v>
      </c>
      <c r="E1598" s="1">
        <f>IFERROR(__xludf.DUMMYFUNCTION("""COMPUTED_VALUE"""),10700.0)</f>
        <v>10700</v>
      </c>
      <c r="F1598" s="1">
        <f>IFERROR(__xludf.DUMMYFUNCTION("""COMPUTED_VALUE"""),1900597.0)</f>
        <v>1900597</v>
      </c>
    </row>
    <row r="1599">
      <c r="A1599" s="2">
        <f>IFERROR(__xludf.DUMMYFUNCTION("""COMPUTED_VALUE"""),43290.64583333333)</f>
        <v>43290.64583</v>
      </c>
      <c r="B1599" s="1">
        <f>IFERROR(__xludf.DUMMYFUNCTION("""COMPUTED_VALUE"""),10050.0)</f>
        <v>10050</v>
      </c>
      <c r="C1599" s="1">
        <f>IFERROR(__xludf.DUMMYFUNCTION("""COMPUTED_VALUE"""),10250.0)</f>
        <v>10250</v>
      </c>
      <c r="D1599" s="1">
        <f>IFERROR(__xludf.DUMMYFUNCTION("""COMPUTED_VALUE"""),9060.0)</f>
        <v>9060</v>
      </c>
      <c r="E1599" s="1">
        <f>IFERROR(__xludf.DUMMYFUNCTION("""COMPUTED_VALUE"""),9320.0)</f>
        <v>9320</v>
      </c>
      <c r="F1599" s="1">
        <f>IFERROR(__xludf.DUMMYFUNCTION("""COMPUTED_VALUE"""),975903.0)</f>
        <v>975903</v>
      </c>
    </row>
    <row r="1600">
      <c r="A1600" s="2">
        <f>IFERROR(__xludf.DUMMYFUNCTION("""COMPUTED_VALUE"""),43291.64583333333)</f>
        <v>43291.64583</v>
      </c>
      <c r="B1600" s="1">
        <f>IFERROR(__xludf.DUMMYFUNCTION("""COMPUTED_VALUE"""),9400.0)</f>
        <v>9400</v>
      </c>
      <c r="C1600" s="1">
        <f>IFERROR(__xludf.DUMMYFUNCTION("""COMPUTED_VALUE"""),9540.0)</f>
        <v>9540</v>
      </c>
      <c r="D1600" s="1">
        <f>IFERROR(__xludf.DUMMYFUNCTION("""COMPUTED_VALUE"""),9230.0)</f>
        <v>9230</v>
      </c>
      <c r="E1600" s="1">
        <f>IFERROR(__xludf.DUMMYFUNCTION("""COMPUTED_VALUE"""),9250.0)</f>
        <v>9250</v>
      </c>
      <c r="F1600" s="1">
        <f>IFERROR(__xludf.DUMMYFUNCTION("""COMPUTED_VALUE"""),487738.0)</f>
        <v>487738</v>
      </c>
    </row>
    <row r="1601">
      <c r="A1601" s="2">
        <f>IFERROR(__xludf.DUMMYFUNCTION("""COMPUTED_VALUE"""),43292.64583333333)</f>
        <v>43292.64583</v>
      </c>
      <c r="B1601" s="1">
        <f>IFERROR(__xludf.DUMMYFUNCTION("""COMPUTED_VALUE"""),9150.0)</f>
        <v>9150</v>
      </c>
      <c r="C1601" s="1">
        <f>IFERROR(__xludf.DUMMYFUNCTION("""COMPUTED_VALUE"""),9970.0)</f>
        <v>9970</v>
      </c>
      <c r="D1601" s="1">
        <f>IFERROR(__xludf.DUMMYFUNCTION("""COMPUTED_VALUE"""),9030.0)</f>
        <v>9030</v>
      </c>
      <c r="E1601" s="1">
        <f>IFERROR(__xludf.DUMMYFUNCTION("""COMPUTED_VALUE"""),9580.0)</f>
        <v>9580</v>
      </c>
      <c r="F1601" s="1">
        <f>IFERROR(__xludf.DUMMYFUNCTION("""COMPUTED_VALUE"""),1129948.0)</f>
        <v>1129948</v>
      </c>
    </row>
    <row r="1602">
      <c r="A1602" s="2">
        <f>IFERROR(__xludf.DUMMYFUNCTION("""COMPUTED_VALUE"""),43293.64583333333)</f>
        <v>43293.64583</v>
      </c>
      <c r="B1602" s="1">
        <f>IFERROR(__xludf.DUMMYFUNCTION("""COMPUTED_VALUE"""),9650.0)</f>
        <v>9650</v>
      </c>
      <c r="C1602" s="1">
        <f>IFERROR(__xludf.DUMMYFUNCTION("""COMPUTED_VALUE"""),9790.0)</f>
        <v>9790</v>
      </c>
      <c r="D1602" s="1">
        <f>IFERROR(__xludf.DUMMYFUNCTION("""COMPUTED_VALUE"""),9290.0)</f>
        <v>9290</v>
      </c>
      <c r="E1602" s="1">
        <f>IFERROR(__xludf.DUMMYFUNCTION("""COMPUTED_VALUE"""),9330.0)</f>
        <v>9330</v>
      </c>
      <c r="F1602" s="1">
        <f>IFERROR(__xludf.DUMMYFUNCTION("""COMPUTED_VALUE"""),444919.0)</f>
        <v>444919</v>
      </c>
    </row>
    <row r="1603">
      <c r="A1603" s="2">
        <f>IFERROR(__xludf.DUMMYFUNCTION("""COMPUTED_VALUE"""),43294.64583333333)</f>
        <v>43294.64583</v>
      </c>
      <c r="B1603" s="1">
        <f>IFERROR(__xludf.DUMMYFUNCTION("""COMPUTED_VALUE"""),9500.0)</f>
        <v>9500</v>
      </c>
      <c r="C1603" s="1">
        <f>IFERROR(__xludf.DUMMYFUNCTION("""COMPUTED_VALUE"""),9650.0)</f>
        <v>9650</v>
      </c>
      <c r="D1603" s="1">
        <f>IFERROR(__xludf.DUMMYFUNCTION("""COMPUTED_VALUE"""),9150.0)</f>
        <v>9150</v>
      </c>
      <c r="E1603" s="1">
        <f>IFERROR(__xludf.DUMMYFUNCTION("""COMPUTED_VALUE"""),9530.0)</f>
        <v>9530</v>
      </c>
      <c r="F1603" s="1">
        <f>IFERROR(__xludf.DUMMYFUNCTION("""COMPUTED_VALUE"""),510408.0)</f>
        <v>510408</v>
      </c>
    </row>
    <row r="1604">
      <c r="A1604" s="2">
        <f>IFERROR(__xludf.DUMMYFUNCTION("""COMPUTED_VALUE"""),43297.64583333333)</f>
        <v>43297.64583</v>
      </c>
      <c r="B1604" s="1">
        <f>IFERROR(__xludf.DUMMYFUNCTION("""COMPUTED_VALUE"""),9710.0)</f>
        <v>9710</v>
      </c>
      <c r="C1604" s="1">
        <f>IFERROR(__xludf.DUMMYFUNCTION("""COMPUTED_VALUE"""),9720.0)</f>
        <v>9720</v>
      </c>
      <c r="D1604" s="1">
        <f>IFERROR(__xludf.DUMMYFUNCTION("""COMPUTED_VALUE"""),9420.0)</f>
        <v>9420</v>
      </c>
      <c r="E1604" s="1">
        <f>IFERROR(__xludf.DUMMYFUNCTION("""COMPUTED_VALUE"""),9550.0)</f>
        <v>9550</v>
      </c>
      <c r="F1604" s="1">
        <f>IFERROR(__xludf.DUMMYFUNCTION("""COMPUTED_VALUE"""),314131.0)</f>
        <v>314131</v>
      </c>
    </row>
    <row r="1605">
      <c r="A1605" s="2">
        <f>IFERROR(__xludf.DUMMYFUNCTION("""COMPUTED_VALUE"""),43298.64583333333)</f>
        <v>43298.64583</v>
      </c>
      <c r="B1605" s="1">
        <f>IFERROR(__xludf.DUMMYFUNCTION("""COMPUTED_VALUE"""),9550.0)</f>
        <v>9550</v>
      </c>
      <c r="C1605" s="1">
        <f>IFERROR(__xludf.DUMMYFUNCTION("""COMPUTED_VALUE"""),9550.0)</f>
        <v>9550</v>
      </c>
      <c r="D1605" s="1">
        <f>IFERROR(__xludf.DUMMYFUNCTION("""COMPUTED_VALUE"""),9250.0)</f>
        <v>9250</v>
      </c>
      <c r="E1605" s="1">
        <f>IFERROR(__xludf.DUMMYFUNCTION("""COMPUTED_VALUE"""),9250.0)</f>
        <v>9250</v>
      </c>
      <c r="F1605" s="1">
        <f>IFERROR(__xludf.DUMMYFUNCTION("""COMPUTED_VALUE"""),256898.0)</f>
        <v>256898</v>
      </c>
    </row>
    <row r="1606">
      <c r="A1606" s="2">
        <f>IFERROR(__xludf.DUMMYFUNCTION("""COMPUTED_VALUE"""),43299.64583333333)</f>
        <v>43299.64583</v>
      </c>
      <c r="B1606" s="1">
        <f>IFERROR(__xludf.DUMMYFUNCTION("""COMPUTED_VALUE"""),9220.0)</f>
        <v>9220</v>
      </c>
      <c r="C1606" s="1">
        <f>IFERROR(__xludf.DUMMYFUNCTION("""COMPUTED_VALUE"""),9320.0)</f>
        <v>9320</v>
      </c>
      <c r="D1606" s="1">
        <f>IFERROR(__xludf.DUMMYFUNCTION("""COMPUTED_VALUE"""),8390.0)</f>
        <v>8390</v>
      </c>
      <c r="E1606" s="1">
        <f>IFERROR(__xludf.DUMMYFUNCTION("""COMPUTED_VALUE"""),8550.0)</f>
        <v>8550</v>
      </c>
      <c r="F1606" s="1">
        <f>IFERROR(__xludf.DUMMYFUNCTION("""COMPUTED_VALUE"""),593647.0)</f>
        <v>593647</v>
      </c>
    </row>
    <row r="1607">
      <c r="A1607" s="2">
        <f>IFERROR(__xludf.DUMMYFUNCTION("""COMPUTED_VALUE"""),43300.64583333333)</f>
        <v>43300.64583</v>
      </c>
      <c r="B1607" s="1">
        <f>IFERROR(__xludf.DUMMYFUNCTION("""COMPUTED_VALUE"""),8500.0)</f>
        <v>8500</v>
      </c>
      <c r="C1607" s="1">
        <f>IFERROR(__xludf.DUMMYFUNCTION("""COMPUTED_VALUE"""),8660.0)</f>
        <v>8660</v>
      </c>
      <c r="D1607" s="1">
        <f>IFERROR(__xludf.DUMMYFUNCTION("""COMPUTED_VALUE"""),8170.0)</f>
        <v>8170</v>
      </c>
      <c r="E1607" s="1">
        <f>IFERROR(__xludf.DUMMYFUNCTION("""COMPUTED_VALUE"""),8230.0)</f>
        <v>8230</v>
      </c>
      <c r="F1607" s="1">
        <f>IFERROR(__xludf.DUMMYFUNCTION("""COMPUTED_VALUE"""),429645.0)</f>
        <v>429645</v>
      </c>
    </row>
    <row r="1608">
      <c r="A1608" s="2">
        <f>IFERROR(__xludf.DUMMYFUNCTION("""COMPUTED_VALUE"""),43301.64583333333)</f>
        <v>43301.64583</v>
      </c>
      <c r="B1608" s="1">
        <f>IFERROR(__xludf.DUMMYFUNCTION("""COMPUTED_VALUE"""),8250.0)</f>
        <v>8250</v>
      </c>
      <c r="C1608" s="1">
        <f>IFERROR(__xludf.DUMMYFUNCTION("""COMPUTED_VALUE"""),8500.0)</f>
        <v>8500</v>
      </c>
      <c r="D1608" s="1">
        <f>IFERROR(__xludf.DUMMYFUNCTION("""COMPUTED_VALUE"""),7980.0)</f>
        <v>7980</v>
      </c>
      <c r="E1608" s="1">
        <f>IFERROR(__xludf.DUMMYFUNCTION("""COMPUTED_VALUE"""),8080.0)</f>
        <v>8080</v>
      </c>
      <c r="F1608" s="1">
        <f>IFERROR(__xludf.DUMMYFUNCTION("""COMPUTED_VALUE"""),291448.0)</f>
        <v>291448</v>
      </c>
    </row>
    <row r="1609">
      <c r="A1609" s="2">
        <f>IFERROR(__xludf.DUMMYFUNCTION("""COMPUTED_VALUE"""),43304.64583333333)</f>
        <v>43304.64583</v>
      </c>
      <c r="B1609" s="1">
        <f>IFERROR(__xludf.DUMMYFUNCTION("""COMPUTED_VALUE"""),7950.0)</f>
        <v>7950</v>
      </c>
      <c r="C1609" s="1">
        <f>IFERROR(__xludf.DUMMYFUNCTION("""COMPUTED_VALUE"""),8020.0)</f>
        <v>8020</v>
      </c>
      <c r="D1609" s="1">
        <f>IFERROR(__xludf.DUMMYFUNCTION("""COMPUTED_VALUE"""),7600.0)</f>
        <v>7600</v>
      </c>
      <c r="E1609" s="1">
        <f>IFERROR(__xludf.DUMMYFUNCTION("""COMPUTED_VALUE"""),7620.0)</f>
        <v>7620</v>
      </c>
      <c r="F1609" s="1">
        <f>IFERROR(__xludf.DUMMYFUNCTION("""COMPUTED_VALUE"""),266975.0)</f>
        <v>266975</v>
      </c>
    </row>
    <row r="1610">
      <c r="A1610" s="2">
        <f>IFERROR(__xludf.DUMMYFUNCTION("""COMPUTED_VALUE"""),43305.64583333333)</f>
        <v>43305.64583</v>
      </c>
      <c r="B1610" s="1">
        <f>IFERROR(__xludf.DUMMYFUNCTION("""COMPUTED_VALUE"""),7700.0)</f>
        <v>7700</v>
      </c>
      <c r="C1610" s="1">
        <f>IFERROR(__xludf.DUMMYFUNCTION("""COMPUTED_VALUE"""),8480.0)</f>
        <v>8480</v>
      </c>
      <c r="D1610" s="1">
        <f>IFERROR(__xludf.DUMMYFUNCTION("""COMPUTED_VALUE"""),7700.0)</f>
        <v>7700</v>
      </c>
      <c r="E1610" s="1">
        <f>IFERROR(__xludf.DUMMYFUNCTION("""COMPUTED_VALUE"""),8200.0)</f>
        <v>8200</v>
      </c>
      <c r="F1610" s="1">
        <f>IFERROR(__xludf.DUMMYFUNCTION("""COMPUTED_VALUE"""),835115.0)</f>
        <v>835115</v>
      </c>
    </row>
    <row r="1611">
      <c r="A1611" s="2">
        <f>IFERROR(__xludf.DUMMYFUNCTION("""COMPUTED_VALUE"""),43306.64583333333)</f>
        <v>43306.64583</v>
      </c>
      <c r="B1611" s="1">
        <f>IFERROR(__xludf.DUMMYFUNCTION("""COMPUTED_VALUE"""),8290.0)</f>
        <v>8290</v>
      </c>
      <c r="C1611" s="1">
        <f>IFERROR(__xludf.DUMMYFUNCTION("""COMPUTED_VALUE"""),8590.0)</f>
        <v>8590</v>
      </c>
      <c r="D1611" s="1">
        <f>IFERROR(__xludf.DUMMYFUNCTION("""COMPUTED_VALUE"""),8050.0)</f>
        <v>8050</v>
      </c>
      <c r="E1611" s="1">
        <f>IFERROR(__xludf.DUMMYFUNCTION("""COMPUTED_VALUE"""),8350.0)</f>
        <v>8350</v>
      </c>
      <c r="F1611" s="1">
        <f>IFERROR(__xludf.DUMMYFUNCTION("""COMPUTED_VALUE"""),584636.0)</f>
        <v>584636</v>
      </c>
    </row>
    <row r="1612">
      <c r="A1612" s="2">
        <f>IFERROR(__xludf.DUMMYFUNCTION("""COMPUTED_VALUE"""),43307.64583333333)</f>
        <v>43307.64583</v>
      </c>
      <c r="B1612" s="1">
        <f>IFERROR(__xludf.DUMMYFUNCTION("""COMPUTED_VALUE"""),8550.0)</f>
        <v>8550</v>
      </c>
      <c r="C1612" s="1">
        <f>IFERROR(__xludf.DUMMYFUNCTION("""COMPUTED_VALUE"""),10750.0)</f>
        <v>10750</v>
      </c>
      <c r="D1612" s="1">
        <f>IFERROR(__xludf.DUMMYFUNCTION("""COMPUTED_VALUE"""),8370.0)</f>
        <v>8370</v>
      </c>
      <c r="E1612" s="1">
        <f>IFERROR(__xludf.DUMMYFUNCTION("""COMPUTED_VALUE"""),10100.0)</f>
        <v>10100</v>
      </c>
      <c r="F1612" s="1">
        <f>IFERROR(__xludf.DUMMYFUNCTION("""COMPUTED_VALUE"""),4866412.0)</f>
        <v>4866412</v>
      </c>
    </row>
    <row r="1613">
      <c r="A1613" s="2">
        <f>IFERROR(__xludf.DUMMYFUNCTION("""COMPUTED_VALUE"""),43308.64583333333)</f>
        <v>43308.64583</v>
      </c>
      <c r="B1613" s="1">
        <f>IFERROR(__xludf.DUMMYFUNCTION("""COMPUTED_VALUE"""),9910.0)</f>
        <v>9910</v>
      </c>
      <c r="C1613" s="1">
        <f>IFERROR(__xludf.DUMMYFUNCTION("""COMPUTED_VALUE"""),11300.0)</f>
        <v>11300</v>
      </c>
      <c r="D1613" s="1">
        <f>IFERROR(__xludf.DUMMYFUNCTION("""COMPUTED_VALUE"""),9640.0)</f>
        <v>9640</v>
      </c>
      <c r="E1613" s="1">
        <f>IFERROR(__xludf.DUMMYFUNCTION("""COMPUTED_VALUE"""),10000.0)</f>
        <v>10000</v>
      </c>
      <c r="F1613" s="1">
        <f>IFERROR(__xludf.DUMMYFUNCTION("""COMPUTED_VALUE"""),4164663.0)</f>
        <v>4164663</v>
      </c>
    </row>
    <row r="1614">
      <c r="A1614" s="2">
        <f>IFERROR(__xludf.DUMMYFUNCTION("""COMPUTED_VALUE"""),43311.64583333333)</f>
        <v>43311.64583</v>
      </c>
      <c r="B1614" s="1">
        <f>IFERROR(__xludf.DUMMYFUNCTION("""COMPUTED_VALUE"""),9910.0)</f>
        <v>9910</v>
      </c>
      <c r="C1614" s="1">
        <f>IFERROR(__xludf.DUMMYFUNCTION("""COMPUTED_VALUE"""),11550.0)</f>
        <v>11550</v>
      </c>
      <c r="D1614" s="1">
        <f>IFERROR(__xludf.DUMMYFUNCTION("""COMPUTED_VALUE"""),9870.0)</f>
        <v>9870</v>
      </c>
      <c r="E1614" s="1">
        <f>IFERROR(__xludf.DUMMYFUNCTION("""COMPUTED_VALUE"""),10600.0)</f>
        <v>10600</v>
      </c>
      <c r="F1614" s="1">
        <f>IFERROR(__xludf.DUMMYFUNCTION("""COMPUTED_VALUE"""),4254138.0)</f>
        <v>4254138</v>
      </c>
    </row>
    <row r="1615">
      <c r="A1615" s="2">
        <f>IFERROR(__xludf.DUMMYFUNCTION("""COMPUTED_VALUE"""),43312.64583333333)</f>
        <v>43312.64583</v>
      </c>
      <c r="B1615" s="1">
        <f>IFERROR(__xludf.DUMMYFUNCTION("""COMPUTED_VALUE"""),10950.0)</f>
        <v>10950</v>
      </c>
      <c r="C1615" s="1">
        <f>IFERROR(__xludf.DUMMYFUNCTION("""COMPUTED_VALUE"""),11150.0)</f>
        <v>11150</v>
      </c>
      <c r="D1615" s="1">
        <f>IFERROR(__xludf.DUMMYFUNCTION("""COMPUTED_VALUE"""),9960.0)</f>
        <v>9960</v>
      </c>
      <c r="E1615" s="1">
        <f>IFERROR(__xludf.DUMMYFUNCTION("""COMPUTED_VALUE"""),10200.0)</f>
        <v>10200</v>
      </c>
      <c r="F1615" s="1">
        <f>IFERROR(__xludf.DUMMYFUNCTION("""COMPUTED_VALUE"""),1366007.0)</f>
        <v>1366007</v>
      </c>
    </row>
    <row r="1616">
      <c r="A1616" s="2">
        <f>IFERROR(__xludf.DUMMYFUNCTION("""COMPUTED_VALUE"""),43313.64583333333)</f>
        <v>43313.64583</v>
      </c>
      <c r="B1616" s="1">
        <f>IFERROR(__xludf.DUMMYFUNCTION("""COMPUTED_VALUE"""),10400.0)</f>
        <v>10400</v>
      </c>
      <c r="C1616" s="1">
        <f>IFERROR(__xludf.DUMMYFUNCTION("""COMPUTED_VALUE"""),11150.0)</f>
        <v>11150</v>
      </c>
      <c r="D1616" s="1">
        <f>IFERROR(__xludf.DUMMYFUNCTION("""COMPUTED_VALUE"""),10000.0)</f>
        <v>10000</v>
      </c>
      <c r="E1616" s="1">
        <f>IFERROR(__xludf.DUMMYFUNCTION("""COMPUTED_VALUE"""),10900.0)</f>
        <v>10900</v>
      </c>
      <c r="F1616" s="1">
        <f>IFERROR(__xludf.DUMMYFUNCTION("""COMPUTED_VALUE"""),1577385.0)</f>
        <v>1577385</v>
      </c>
    </row>
    <row r="1617">
      <c r="A1617" s="2">
        <f>IFERROR(__xludf.DUMMYFUNCTION("""COMPUTED_VALUE"""),43314.64583333333)</f>
        <v>43314.64583</v>
      </c>
      <c r="B1617" s="1">
        <f>IFERROR(__xludf.DUMMYFUNCTION("""COMPUTED_VALUE"""),10900.0)</f>
        <v>10900</v>
      </c>
      <c r="C1617" s="1">
        <f>IFERROR(__xludf.DUMMYFUNCTION("""COMPUTED_VALUE"""),11100.0)</f>
        <v>11100</v>
      </c>
      <c r="D1617" s="1">
        <f>IFERROR(__xludf.DUMMYFUNCTION("""COMPUTED_VALUE"""),10300.0)</f>
        <v>10300</v>
      </c>
      <c r="E1617" s="1">
        <f>IFERROR(__xludf.DUMMYFUNCTION("""COMPUTED_VALUE"""),10750.0)</f>
        <v>10750</v>
      </c>
      <c r="F1617" s="1">
        <f>IFERROR(__xludf.DUMMYFUNCTION("""COMPUTED_VALUE"""),812005.0)</f>
        <v>812005</v>
      </c>
    </row>
    <row r="1618">
      <c r="A1618" s="2">
        <f>IFERROR(__xludf.DUMMYFUNCTION("""COMPUTED_VALUE"""),43315.64583333333)</f>
        <v>43315.64583</v>
      </c>
      <c r="B1618" s="1">
        <f>IFERROR(__xludf.DUMMYFUNCTION("""COMPUTED_VALUE"""),12300.0)</f>
        <v>12300</v>
      </c>
      <c r="C1618" s="1">
        <f>IFERROR(__xludf.DUMMYFUNCTION("""COMPUTED_VALUE"""),12550.0)</f>
        <v>12550</v>
      </c>
      <c r="D1618" s="1">
        <f>IFERROR(__xludf.DUMMYFUNCTION("""COMPUTED_VALUE"""),11050.0)</f>
        <v>11050</v>
      </c>
      <c r="E1618" s="1">
        <f>IFERROR(__xludf.DUMMYFUNCTION("""COMPUTED_VALUE"""),11150.0)</f>
        <v>11150</v>
      </c>
      <c r="F1618" s="1">
        <f>IFERROR(__xludf.DUMMYFUNCTION("""COMPUTED_VALUE"""),2612741.0)</f>
        <v>2612741</v>
      </c>
    </row>
    <row r="1619">
      <c r="A1619" s="2">
        <f>IFERROR(__xludf.DUMMYFUNCTION("""COMPUTED_VALUE"""),43318.64583333333)</f>
        <v>43318.64583</v>
      </c>
      <c r="B1619" s="1">
        <f>IFERROR(__xludf.DUMMYFUNCTION("""COMPUTED_VALUE"""),10950.0)</f>
        <v>10950</v>
      </c>
      <c r="C1619" s="1">
        <f>IFERROR(__xludf.DUMMYFUNCTION("""COMPUTED_VALUE"""),12000.0)</f>
        <v>12000</v>
      </c>
      <c r="D1619" s="1">
        <f>IFERROR(__xludf.DUMMYFUNCTION("""COMPUTED_VALUE"""),10850.0)</f>
        <v>10850</v>
      </c>
      <c r="E1619" s="1">
        <f>IFERROR(__xludf.DUMMYFUNCTION("""COMPUTED_VALUE"""),11600.0)</f>
        <v>11600</v>
      </c>
      <c r="F1619" s="1">
        <f>IFERROR(__xludf.DUMMYFUNCTION("""COMPUTED_VALUE"""),1951880.0)</f>
        <v>1951880</v>
      </c>
    </row>
    <row r="1620">
      <c r="A1620" s="2">
        <f>IFERROR(__xludf.DUMMYFUNCTION("""COMPUTED_VALUE"""),43319.64583333333)</f>
        <v>43319.64583</v>
      </c>
      <c r="B1620" s="1">
        <f>IFERROR(__xludf.DUMMYFUNCTION("""COMPUTED_VALUE"""),11700.0)</f>
        <v>11700</v>
      </c>
      <c r="C1620" s="1">
        <f>IFERROR(__xludf.DUMMYFUNCTION("""COMPUTED_VALUE"""),11800.0)</f>
        <v>11800</v>
      </c>
      <c r="D1620" s="1">
        <f>IFERROR(__xludf.DUMMYFUNCTION("""COMPUTED_VALUE"""),11350.0)</f>
        <v>11350</v>
      </c>
      <c r="E1620" s="1">
        <f>IFERROR(__xludf.DUMMYFUNCTION("""COMPUTED_VALUE"""),11450.0)</f>
        <v>11450</v>
      </c>
      <c r="F1620" s="1">
        <f>IFERROR(__xludf.DUMMYFUNCTION("""COMPUTED_VALUE"""),697161.0)</f>
        <v>697161</v>
      </c>
    </row>
    <row r="1621">
      <c r="A1621" s="2">
        <f>IFERROR(__xludf.DUMMYFUNCTION("""COMPUTED_VALUE"""),43320.64583333333)</f>
        <v>43320.64583</v>
      </c>
      <c r="B1621" s="1">
        <f>IFERROR(__xludf.DUMMYFUNCTION("""COMPUTED_VALUE"""),11650.0)</f>
        <v>11650</v>
      </c>
      <c r="C1621" s="1">
        <f>IFERROR(__xludf.DUMMYFUNCTION("""COMPUTED_VALUE"""),13350.0)</f>
        <v>13350</v>
      </c>
      <c r="D1621" s="1">
        <f>IFERROR(__xludf.DUMMYFUNCTION("""COMPUTED_VALUE"""),11300.0)</f>
        <v>11300</v>
      </c>
      <c r="E1621" s="1">
        <f>IFERROR(__xludf.DUMMYFUNCTION("""COMPUTED_VALUE"""),12300.0)</f>
        <v>12300</v>
      </c>
      <c r="F1621" s="1">
        <f>IFERROR(__xludf.DUMMYFUNCTION("""COMPUTED_VALUE"""),5991083.0)</f>
        <v>5991083</v>
      </c>
    </row>
    <row r="1622">
      <c r="A1622" s="2">
        <f>IFERROR(__xludf.DUMMYFUNCTION("""COMPUTED_VALUE"""),43321.64583333333)</f>
        <v>43321.64583</v>
      </c>
      <c r="B1622" s="1">
        <f>IFERROR(__xludf.DUMMYFUNCTION("""COMPUTED_VALUE"""),12200.0)</f>
        <v>12200</v>
      </c>
      <c r="C1622" s="1">
        <f>IFERROR(__xludf.DUMMYFUNCTION("""COMPUTED_VALUE"""),12650.0)</f>
        <v>12650</v>
      </c>
      <c r="D1622" s="1">
        <f>IFERROR(__xludf.DUMMYFUNCTION("""COMPUTED_VALUE"""),11850.0)</f>
        <v>11850</v>
      </c>
      <c r="E1622" s="1">
        <f>IFERROR(__xludf.DUMMYFUNCTION("""COMPUTED_VALUE"""),12100.0)</f>
        <v>12100</v>
      </c>
      <c r="F1622" s="1">
        <f>IFERROR(__xludf.DUMMYFUNCTION("""COMPUTED_VALUE"""),1104408.0)</f>
        <v>1104408</v>
      </c>
    </row>
    <row r="1623">
      <c r="A1623" s="2">
        <f>IFERROR(__xludf.DUMMYFUNCTION("""COMPUTED_VALUE"""),43322.64583333333)</f>
        <v>43322.64583</v>
      </c>
      <c r="B1623" s="1">
        <f>IFERROR(__xludf.DUMMYFUNCTION("""COMPUTED_VALUE"""),12950.0)</f>
        <v>12950</v>
      </c>
      <c r="C1623" s="1">
        <f>IFERROR(__xludf.DUMMYFUNCTION("""COMPUTED_VALUE"""),13200.0)</f>
        <v>13200</v>
      </c>
      <c r="D1623" s="1">
        <f>IFERROR(__xludf.DUMMYFUNCTION("""COMPUTED_VALUE"""),12150.0)</f>
        <v>12150</v>
      </c>
      <c r="E1623" s="1">
        <f>IFERROR(__xludf.DUMMYFUNCTION("""COMPUTED_VALUE"""),12200.0)</f>
        <v>12200</v>
      </c>
      <c r="F1623" s="1">
        <f>IFERROR(__xludf.DUMMYFUNCTION("""COMPUTED_VALUE"""),2336932.0)</f>
        <v>2336932</v>
      </c>
    </row>
    <row r="1624">
      <c r="A1624" s="2">
        <f>IFERROR(__xludf.DUMMYFUNCTION("""COMPUTED_VALUE"""),43325.64583333333)</f>
        <v>43325.64583</v>
      </c>
      <c r="B1624" s="1">
        <f>IFERROR(__xludf.DUMMYFUNCTION("""COMPUTED_VALUE"""),12350.0)</f>
        <v>12350</v>
      </c>
      <c r="C1624" s="1">
        <f>IFERROR(__xludf.DUMMYFUNCTION("""COMPUTED_VALUE"""),12600.0)</f>
        <v>12600</v>
      </c>
      <c r="D1624" s="1">
        <f>IFERROR(__xludf.DUMMYFUNCTION("""COMPUTED_VALUE"""),10650.0)</f>
        <v>10650</v>
      </c>
      <c r="E1624" s="1">
        <f>IFERROR(__xludf.DUMMYFUNCTION("""COMPUTED_VALUE"""),10850.0)</f>
        <v>10850</v>
      </c>
      <c r="F1624" s="1">
        <f>IFERROR(__xludf.DUMMYFUNCTION("""COMPUTED_VALUE"""),1213152.0)</f>
        <v>1213152</v>
      </c>
    </row>
    <row r="1625">
      <c r="A1625" s="2">
        <f>IFERROR(__xludf.DUMMYFUNCTION("""COMPUTED_VALUE"""),43326.64583333333)</f>
        <v>43326.64583</v>
      </c>
      <c r="B1625" s="1">
        <f>IFERROR(__xludf.DUMMYFUNCTION("""COMPUTED_VALUE"""),11100.0)</f>
        <v>11100</v>
      </c>
      <c r="C1625" s="1">
        <f>IFERROR(__xludf.DUMMYFUNCTION("""COMPUTED_VALUE"""),12350.0)</f>
        <v>12350</v>
      </c>
      <c r="D1625" s="1">
        <f>IFERROR(__xludf.DUMMYFUNCTION("""COMPUTED_VALUE"""),10700.0)</f>
        <v>10700</v>
      </c>
      <c r="E1625" s="1">
        <f>IFERROR(__xludf.DUMMYFUNCTION("""COMPUTED_VALUE"""),11850.0)</f>
        <v>11850</v>
      </c>
      <c r="F1625" s="1">
        <f>IFERROR(__xludf.DUMMYFUNCTION("""COMPUTED_VALUE"""),2194823.0)</f>
        <v>2194823</v>
      </c>
    </row>
    <row r="1626">
      <c r="A1626" s="2">
        <f>IFERROR(__xludf.DUMMYFUNCTION("""COMPUTED_VALUE"""),43328.64583333333)</f>
        <v>43328.64583</v>
      </c>
      <c r="B1626" s="1">
        <f>IFERROR(__xludf.DUMMYFUNCTION("""COMPUTED_VALUE"""),12100.0)</f>
        <v>12100</v>
      </c>
      <c r="C1626" s="1">
        <f>IFERROR(__xludf.DUMMYFUNCTION("""COMPUTED_VALUE"""),12450.0)</f>
        <v>12450</v>
      </c>
      <c r="D1626" s="1">
        <f>IFERROR(__xludf.DUMMYFUNCTION("""COMPUTED_VALUE"""),11450.0)</f>
        <v>11450</v>
      </c>
      <c r="E1626" s="1">
        <f>IFERROR(__xludf.DUMMYFUNCTION("""COMPUTED_VALUE"""),11900.0)</f>
        <v>11900</v>
      </c>
      <c r="F1626" s="1">
        <f>IFERROR(__xludf.DUMMYFUNCTION("""COMPUTED_VALUE"""),1592364.0)</f>
        <v>1592364</v>
      </c>
    </row>
    <row r="1627">
      <c r="A1627" s="2">
        <f>IFERROR(__xludf.DUMMYFUNCTION("""COMPUTED_VALUE"""),43329.64583333333)</f>
        <v>43329.64583</v>
      </c>
      <c r="B1627" s="1">
        <f>IFERROR(__xludf.DUMMYFUNCTION("""COMPUTED_VALUE"""),12050.0)</f>
        <v>12050</v>
      </c>
      <c r="C1627" s="1">
        <f>IFERROR(__xludf.DUMMYFUNCTION("""COMPUTED_VALUE"""),12850.0)</f>
        <v>12850</v>
      </c>
      <c r="D1627" s="1">
        <f>IFERROR(__xludf.DUMMYFUNCTION("""COMPUTED_VALUE"""),11950.0)</f>
        <v>11950</v>
      </c>
      <c r="E1627" s="1">
        <f>IFERROR(__xludf.DUMMYFUNCTION("""COMPUTED_VALUE"""),12250.0)</f>
        <v>12250</v>
      </c>
      <c r="F1627" s="1">
        <f>IFERROR(__xludf.DUMMYFUNCTION("""COMPUTED_VALUE"""),1755421.0)</f>
        <v>1755421</v>
      </c>
    </row>
    <row r="1628">
      <c r="A1628" s="2">
        <f>IFERROR(__xludf.DUMMYFUNCTION("""COMPUTED_VALUE"""),43332.64583333333)</f>
        <v>43332.64583</v>
      </c>
      <c r="B1628" s="1">
        <f>IFERROR(__xludf.DUMMYFUNCTION("""COMPUTED_VALUE"""),12200.0)</f>
        <v>12200</v>
      </c>
      <c r="C1628" s="1">
        <f>IFERROR(__xludf.DUMMYFUNCTION("""COMPUTED_VALUE"""),12550.0)</f>
        <v>12550</v>
      </c>
      <c r="D1628" s="1">
        <f>IFERROR(__xludf.DUMMYFUNCTION("""COMPUTED_VALUE"""),12050.0)</f>
        <v>12050</v>
      </c>
      <c r="E1628" s="1">
        <f>IFERROR(__xludf.DUMMYFUNCTION("""COMPUTED_VALUE"""),12300.0)</f>
        <v>12300</v>
      </c>
      <c r="F1628" s="1">
        <f>IFERROR(__xludf.DUMMYFUNCTION("""COMPUTED_VALUE"""),549568.0)</f>
        <v>549568</v>
      </c>
    </row>
    <row r="1629">
      <c r="A1629" s="2">
        <f>IFERROR(__xludf.DUMMYFUNCTION("""COMPUTED_VALUE"""),43333.64583333333)</f>
        <v>43333.64583</v>
      </c>
      <c r="B1629" s="1">
        <f>IFERROR(__xludf.DUMMYFUNCTION("""COMPUTED_VALUE"""),12450.0)</f>
        <v>12450</v>
      </c>
      <c r="C1629" s="1">
        <f>IFERROR(__xludf.DUMMYFUNCTION("""COMPUTED_VALUE"""),12500.0)</f>
        <v>12500</v>
      </c>
      <c r="D1629" s="1">
        <f>IFERROR(__xludf.DUMMYFUNCTION("""COMPUTED_VALUE"""),12000.0)</f>
        <v>12000</v>
      </c>
      <c r="E1629" s="1">
        <f>IFERROR(__xludf.DUMMYFUNCTION("""COMPUTED_VALUE"""),12350.0)</f>
        <v>12350</v>
      </c>
      <c r="F1629" s="1">
        <f>IFERROR(__xludf.DUMMYFUNCTION("""COMPUTED_VALUE"""),598154.0)</f>
        <v>598154</v>
      </c>
    </row>
    <row r="1630">
      <c r="A1630" s="2">
        <f>IFERROR(__xludf.DUMMYFUNCTION("""COMPUTED_VALUE"""),43334.64583333333)</f>
        <v>43334.64583</v>
      </c>
      <c r="B1630" s="1">
        <f>IFERROR(__xludf.DUMMYFUNCTION("""COMPUTED_VALUE"""),12300.0)</f>
        <v>12300</v>
      </c>
      <c r="C1630" s="1">
        <f>IFERROR(__xludf.DUMMYFUNCTION("""COMPUTED_VALUE"""),12700.0)</f>
        <v>12700</v>
      </c>
      <c r="D1630" s="1">
        <f>IFERROR(__xludf.DUMMYFUNCTION("""COMPUTED_VALUE"""),12000.0)</f>
        <v>12000</v>
      </c>
      <c r="E1630" s="1">
        <f>IFERROR(__xludf.DUMMYFUNCTION("""COMPUTED_VALUE"""),12150.0)</f>
        <v>12150</v>
      </c>
      <c r="F1630" s="1">
        <f>IFERROR(__xludf.DUMMYFUNCTION("""COMPUTED_VALUE"""),847951.0)</f>
        <v>847951</v>
      </c>
    </row>
    <row r="1631">
      <c r="A1631" s="2">
        <f>IFERROR(__xludf.DUMMYFUNCTION("""COMPUTED_VALUE"""),43335.64583333333)</f>
        <v>43335.64583</v>
      </c>
      <c r="B1631" s="1">
        <f>IFERROR(__xludf.DUMMYFUNCTION("""COMPUTED_VALUE"""),12300.0)</f>
        <v>12300</v>
      </c>
      <c r="C1631" s="1">
        <f>IFERROR(__xludf.DUMMYFUNCTION("""COMPUTED_VALUE"""),12550.0)</f>
        <v>12550</v>
      </c>
      <c r="D1631" s="1">
        <f>IFERROR(__xludf.DUMMYFUNCTION("""COMPUTED_VALUE"""),12000.0)</f>
        <v>12000</v>
      </c>
      <c r="E1631" s="1">
        <f>IFERROR(__xludf.DUMMYFUNCTION("""COMPUTED_VALUE"""),12100.0)</f>
        <v>12100</v>
      </c>
      <c r="F1631" s="1">
        <f>IFERROR(__xludf.DUMMYFUNCTION("""COMPUTED_VALUE"""),585043.0)</f>
        <v>585043</v>
      </c>
    </row>
    <row r="1632">
      <c r="A1632" s="2">
        <f>IFERROR(__xludf.DUMMYFUNCTION("""COMPUTED_VALUE"""),43336.64583333333)</f>
        <v>43336.64583</v>
      </c>
      <c r="B1632" s="1">
        <f>IFERROR(__xludf.DUMMYFUNCTION("""COMPUTED_VALUE"""),12250.0)</f>
        <v>12250</v>
      </c>
      <c r="C1632" s="1">
        <f>IFERROR(__xludf.DUMMYFUNCTION("""COMPUTED_VALUE"""),12250.0)</f>
        <v>12250</v>
      </c>
      <c r="D1632" s="1">
        <f>IFERROR(__xludf.DUMMYFUNCTION("""COMPUTED_VALUE"""),11850.0)</f>
        <v>11850</v>
      </c>
      <c r="E1632" s="1">
        <f>IFERROR(__xludf.DUMMYFUNCTION("""COMPUTED_VALUE"""),11950.0)</f>
        <v>11950</v>
      </c>
      <c r="F1632" s="1">
        <f>IFERROR(__xludf.DUMMYFUNCTION("""COMPUTED_VALUE"""),441682.0)</f>
        <v>441682</v>
      </c>
    </row>
    <row r="1633">
      <c r="A1633" s="2">
        <f>IFERROR(__xludf.DUMMYFUNCTION("""COMPUTED_VALUE"""),43339.64583333333)</f>
        <v>43339.64583</v>
      </c>
      <c r="B1633" s="1">
        <f>IFERROR(__xludf.DUMMYFUNCTION("""COMPUTED_VALUE"""),10750.0)</f>
        <v>10750</v>
      </c>
      <c r="C1633" s="1">
        <f>IFERROR(__xludf.DUMMYFUNCTION("""COMPUTED_VALUE"""),11200.0)</f>
        <v>11200</v>
      </c>
      <c r="D1633" s="1">
        <f>IFERROR(__xludf.DUMMYFUNCTION("""COMPUTED_VALUE"""),10700.0)</f>
        <v>10700</v>
      </c>
      <c r="E1633" s="1">
        <f>IFERROR(__xludf.DUMMYFUNCTION("""COMPUTED_VALUE"""),10900.0)</f>
        <v>10900</v>
      </c>
      <c r="F1633" s="1">
        <f>IFERROR(__xludf.DUMMYFUNCTION("""COMPUTED_VALUE"""),729102.0)</f>
        <v>729102</v>
      </c>
    </row>
    <row r="1634">
      <c r="A1634" s="2">
        <f>IFERROR(__xludf.DUMMYFUNCTION("""COMPUTED_VALUE"""),43340.64583333333)</f>
        <v>43340.64583</v>
      </c>
      <c r="B1634" s="1">
        <f>IFERROR(__xludf.DUMMYFUNCTION("""COMPUTED_VALUE"""),11000.0)</f>
        <v>11000</v>
      </c>
      <c r="C1634" s="1">
        <f>IFERROR(__xludf.DUMMYFUNCTION("""COMPUTED_VALUE"""),11000.0)</f>
        <v>11000</v>
      </c>
      <c r="D1634" s="1">
        <f>IFERROR(__xludf.DUMMYFUNCTION("""COMPUTED_VALUE"""),10400.0)</f>
        <v>10400</v>
      </c>
      <c r="E1634" s="1">
        <f>IFERROR(__xludf.DUMMYFUNCTION("""COMPUTED_VALUE"""),10450.0)</f>
        <v>10450</v>
      </c>
      <c r="F1634" s="1">
        <f>IFERROR(__xludf.DUMMYFUNCTION("""COMPUTED_VALUE"""),476003.0)</f>
        <v>476003</v>
      </c>
    </row>
    <row r="1635">
      <c r="A1635" s="2">
        <f>IFERROR(__xludf.DUMMYFUNCTION("""COMPUTED_VALUE"""),43341.64583333333)</f>
        <v>43341.64583</v>
      </c>
      <c r="B1635" s="1">
        <f>IFERROR(__xludf.DUMMYFUNCTION("""COMPUTED_VALUE"""),10300.0)</f>
        <v>10300</v>
      </c>
      <c r="C1635" s="1">
        <f>IFERROR(__xludf.DUMMYFUNCTION("""COMPUTED_VALUE"""),10750.0)</f>
        <v>10750</v>
      </c>
      <c r="D1635" s="1">
        <f>IFERROR(__xludf.DUMMYFUNCTION("""COMPUTED_VALUE"""),10250.0)</f>
        <v>10250</v>
      </c>
      <c r="E1635" s="1">
        <f>IFERROR(__xludf.DUMMYFUNCTION("""COMPUTED_VALUE"""),10500.0)</f>
        <v>10500</v>
      </c>
      <c r="F1635" s="1">
        <f>IFERROR(__xludf.DUMMYFUNCTION("""COMPUTED_VALUE"""),342048.0)</f>
        <v>342048</v>
      </c>
    </row>
    <row r="1636">
      <c r="A1636" s="2">
        <f>IFERROR(__xludf.DUMMYFUNCTION("""COMPUTED_VALUE"""),43342.64583333333)</f>
        <v>43342.64583</v>
      </c>
      <c r="B1636" s="1">
        <f>IFERROR(__xludf.DUMMYFUNCTION("""COMPUTED_VALUE"""),10550.0)</f>
        <v>10550</v>
      </c>
      <c r="C1636" s="1">
        <f>IFERROR(__xludf.DUMMYFUNCTION("""COMPUTED_VALUE"""),11350.0)</f>
        <v>11350</v>
      </c>
      <c r="D1636" s="1">
        <f>IFERROR(__xludf.DUMMYFUNCTION("""COMPUTED_VALUE"""),10550.0)</f>
        <v>10550</v>
      </c>
      <c r="E1636" s="1">
        <f>IFERROR(__xludf.DUMMYFUNCTION("""COMPUTED_VALUE"""),10800.0)</f>
        <v>10800</v>
      </c>
      <c r="F1636" s="1">
        <f>IFERROR(__xludf.DUMMYFUNCTION("""COMPUTED_VALUE"""),671016.0)</f>
        <v>671016</v>
      </c>
    </row>
    <row r="1637">
      <c r="A1637" s="2">
        <f>IFERROR(__xludf.DUMMYFUNCTION("""COMPUTED_VALUE"""),43343.64583333333)</f>
        <v>43343.64583</v>
      </c>
      <c r="B1637" s="1">
        <f>IFERROR(__xludf.DUMMYFUNCTION("""COMPUTED_VALUE"""),10600.0)</f>
        <v>10600</v>
      </c>
      <c r="C1637" s="1">
        <f>IFERROR(__xludf.DUMMYFUNCTION("""COMPUTED_VALUE"""),10750.0)</f>
        <v>10750</v>
      </c>
      <c r="D1637" s="1">
        <f>IFERROR(__xludf.DUMMYFUNCTION("""COMPUTED_VALUE"""),10400.0)</f>
        <v>10400</v>
      </c>
      <c r="E1637" s="1">
        <f>IFERROR(__xludf.DUMMYFUNCTION("""COMPUTED_VALUE"""),10700.0)</f>
        <v>10700</v>
      </c>
      <c r="F1637" s="1">
        <f>IFERROR(__xludf.DUMMYFUNCTION("""COMPUTED_VALUE"""),271488.0)</f>
        <v>271488</v>
      </c>
    </row>
    <row r="1638">
      <c r="A1638" s="2">
        <f>IFERROR(__xludf.DUMMYFUNCTION("""COMPUTED_VALUE"""),43346.64583333333)</f>
        <v>43346.64583</v>
      </c>
      <c r="B1638" s="1">
        <f>IFERROR(__xludf.DUMMYFUNCTION("""COMPUTED_VALUE"""),11200.0)</f>
        <v>11200</v>
      </c>
      <c r="C1638" s="1">
        <f>IFERROR(__xludf.DUMMYFUNCTION("""COMPUTED_VALUE"""),11300.0)</f>
        <v>11300</v>
      </c>
      <c r="D1638" s="1">
        <f>IFERROR(__xludf.DUMMYFUNCTION("""COMPUTED_VALUE"""),10850.0)</f>
        <v>10850</v>
      </c>
      <c r="E1638" s="1">
        <f>IFERROR(__xludf.DUMMYFUNCTION("""COMPUTED_VALUE"""),10950.0)</f>
        <v>10950</v>
      </c>
      <c r="F1638" s="1">
        <f>IFERROR(__xludf.DUMMYFUNCTION("""COMPUTED_VALUE"""),405638.0)</f>
        <v>405638</v>
      </c>
    </row>
    <row r="1639">
      <c r="A1639" s="2">
        <f>IFERROR(__xludf.DUMMYFUNCTION("""COMPUTED_VALUE"""),43347.64583333333)</f>
        <v>43347.64583</v>
      </c>
      <c r="B1639" s="1">
        <f>IFERROR(__xludf.DUMMYFUNCTION("""COMPUTED_VALUE"""),11000.0)</f>
        <v>11000</v>
      </c>
      <c r="C1639" s="1">
        <f>IFERROR(__xludf.DUMMYFUNCTION("""COMPUTED_VALUE"""),12150.0)</f>
        <v>12150</v>
      </c>
      <c r="D1639" s="1">
        <f>IFERROR(__xludf.DUMMYFUNCTION("""COMPUTED_VALUE"""),10900.0)</f>
        <v>10900</v>
      </c>
      <c r="E1639" s="1">
        <f>IFERROR(__xludf.DUMMYFUNCTION("""COMPUTED_VALUE"""),11550.0)</f>
        <v>11550</v>
      </c>
      <c r="F1639" s="1">
        <f>IFERROR(__xludf.DUMMYFUNCTION("""COMPUTED_VALUE"""),3454864.0)</f>
        <v>3454864</v>
      </c>
    </row>
    <row r="1640">
      <c r="A1640" s="2">
        <f>IFERROR(__xludf.DUMMYFUNCTION("""COMPUTED_VALUE"""),43348.64583333333)</f>
        <v>43348.64583</v>
      </c>
      <c r="B1640" s="1">
        <f>IFERROR(__xludf.DUMMYFUNCTION("""COMPUTED_VALUE"""),11950.0)</f>
        <v>11950</v>
      </c>
      <c r="C1640" s="1">
        <f>IFERROR(__xludf.DUMMYFUNCTION("""COMPUTED_VALUE"""),12250.0)</f>
        <v>12250</v>
      </c>
      <c r="D1640" s="1">
        <f>IFERROR(__xludf.DUMMYFUNCTION("""COMPUTED_VALUE"""),11400.0)</f>
        <v>11400</v>
      </c>
      <c r="E1640" s="1">
        <f>IFERROR(__xludf.DUMMYFUNCTION("""COMPUTED_VALUE"""),11500.0)</f>
        <v>11500</v>
      </c>
      <c r="F1640" s="1">
        <f>IFERROR(__xludf.DUMMYFUNCTION("""COMPUTED_VALUE"""),980077.0)</f>
        <v>980077</v>
      </c>
    </row>
    <row r="1641">
      <c r="A1641" s="2">
        <f>IFERROR(__xludf.DUMMYFUNCTION("""COMPUTED_VALUE"""),43349.64583333333)</f>
        <v>43349.64583</v>
      </c>
      <c r="B1641" s="1">
        <f>IFERROR(__xludf.DUMMYFUNCTION("""COMPUTED_VALUE"""),12000.0)</f>
        <v>12000</v>
      </c>
      <c r="C1641" s="1">
        <f>IFERROR(__xludf.DUMMYFUNCTION("""COMPUTED_VALUE"""),12100.0)</f>
        <v>12100</v>
      </c>
      <c r="D1641" s="1">
        <f>IFERROR(__xludf.DUMMYFUNCTION("""COMPUTED_VALUE"""),10850.0)</f>
        <v>10850</v>
      </c>
      <c r="E1641" s="1">
        <f>IFERROR(__xludf.DUMMYFUNCTION("""COMPUTED_VALUE"""),11250.0)</f>
        <v>11250</v>
      </c>
      <c r="F1641" s="1">
        <f>IFERROR(__xludf.DUMMYFUNCTION("""COMPUTED_VALUE"""),1132819.0)</f>
        <v>1132819</v>
      </c>
    </row>
    <row r="1642">
      <c r="A1642" s="2">
        <f>IFERROR(__xludf.DUMMYFUNCTION("""COMPUTED_VALUE"""),43350.64583333333)</f>
        <v>43350.64583</v>
      </c>
      <c r="B1642" s="1">
        <f>IFERROR(__xludf.DUMMYFUNCTION("""COMPUTED_VALUE"""),11350.0)</f>
        <v>11350</v>
      </c>
      <c r="C1642" s="1">
        <f>IFERROR(__xludf.DUMMYFUNCTION("""COMPUTED_VALUE"""),11600.0)</f>
        <v>11600</v>
      </c>
      <c r="D1642" s="1">
        <f>IFERROR(__xludf.DUMMYFUNCTION("""COMPUTED_VALUE"""),11200.0)</f>
        <v>11200</v>
      </c>
      <c r="E1642" s="1">
        <f>IFERROR(__xludf.DUMMYFUNCTION("""COMPUTED_VALUE"""),11500.0)</f>
        <v>11500</v>
      </c>
      <c r="F1642" s="1">
        <f>IFERROR(__xludf.DUMMYFUNCTION("""COMPUTED_VALUE"""),520307.0)</f>
        <v>520307</v>
      </c>
    </row>
    <row r="1643">
      <c r="A1643" s="2">
        <f>IFERROR(__xludf.DUMMYFUNCTION("""COMPUTED_VALUE"""),43353.64583333333)</f>
        <v>43353.64583</v>
      </c>
      <c r="B1643" s="1">
        <f>IFERROR(__xludf.DUMMYFUNCTION("""COMPUTED_VALUE"""),11700.0)</f>
        <v>11700</v>
      </c>
      <c r="C1643" s="1">
        <f>IFERROR(__xludf.DUMMYFUNCTION("""COMPUTED_VALUE"""),12650.0)</f>
        <v>12650</v>
      </c>
      <c r="D1643" s="1">
        <f>IFERROR(__xludf.DUMMYFUNCTION("""COMPUTED_VALUE"""),11400.0)</f>
        <v>11400</v>
      </c>
      <c r="E1643" s="1">
        <f>IFERROR(__xludf.DUMMYFUNCTION("""COMPUTED_VALUE"""),12250.0)</f>
        <v>12250</v>
      </c>
      <c r="F1643" s="1">
        <f>IFERROR(__xludf.DUMMYFUNCTION("""COMPUTED_VALUE"""),1918363.0)</f>
        <v>1918363</v>
      </c>
    </row>
    <row r="1644">
      <c r="A1644" s="2">
        <f>IFERROR(__xludf.DUMMYFUNCTION("""COMPUTED_VALUE"""),43354.64583333333)</f>
        <v>43354.64583</v>
      </c>
      <c r="B1644" s="1">
        <f>IFERROR(__xludf.DUMMYFUNCTION("""COMPUTED_VALUE"""),12600.0)</f>
        <v>12600</v>
      </c>
      <c r="C1644" s="1">
        <f>IFERROR(__xludf.DUMMYFUNCTION("""COMPUTED_VALUE"""),12650.0)</f>
        <v>12650</v>
      </c>
      <c r="D1644" s="1">
        <f>IFERROR(__xludf.DUMMYFUNCTION("""COMPUTED_VALUE"""),11950.0)</f>
        <v>11950</v>
      </c>
      <c r="E1644" s="1">
        <f>IFERROR(__xludf.DUMMYFUNCTION("""COMPUTED_VALUE"""),12000.0)</f>
        <v>12000</v>
      </c>
      <c r="F1644" s="1">
        <f>IFERROR(__xludf.DUMMYFUNCTION("""COMPUTED_VALUE"""),816696.0)</f>
        <v>816696</v>
      </c>
    </row>
    <row r="1645">
      <c r="A1645" s="2">
        <f>IFERROR(__xludf.DUMMYFUNCTION("""COMPUTED_VALUE"""),43355.64583333333)</f>
        <v>43355.64583</v>
      </c>
      <c r="B1645" s="1">
        <f>IFERROR(__xludf.DUMMYFUNCTION("""COMPUTED_VALUE"""),12150.0)</f>
        <v>12150</v>
      </c>
      <c r="C1645" s="1">
        <f>IFERROR(__xludf.DUMMYFUNCTION("""COMPUTED_VALUE"""),12450.0)</f>
        <v>12450</v>
      </c>
      <c r="D1645" s="1">
        <f>IFERROR(__xludf.DUMMYFUNCTION("""COMPUTED_VALUE"""),11750.0)</f>
        <v>11750</v>
      </c>
      <c r="E1645" s="1">
        <f>IFERROR(__xludf.DUMMYFUNCTION("""COMPUTED_VALUE"""),12200.0)</f>
        <v>12200</v>
      </c>
      <c r="F1645" s="1">
        <f>IFERROR(__xludf.DUMMYFUNCTION("""COMPUTED_VALUE"""),763763.0)</f>
        <v>763763</v>
      </c>
    </row>
    <row r="1646">
      <c r="A1646" s="2">
        <f>IFERROR(__xludf.DUMMYFUNCTION("""COMPUTED_VALUE"""),43356.64583333333)</f>
        <v>43356.64583</v>
      </c>
      <c r="B1646" s="1">
        <f>IFERROR(__xludf.DUMMYFUNCTION("""COMPUTED_VALUE"""),12150.0)</f>
        <v>12150</v>
      </c>
      <c r="C1646" s="1">
        <f>IFERROR(__xludf.DUMMYFUNCTION("""COMPUTED_VALUE"""),12200.0)</f>
        <v>12200</v>
      </c>
      <c r="D1646" s="1">
        <f>IFERROR(__xludf.DUMMYFUNCTION("""COMPUTED_VALUE"""),11850.0)</f>
        <v>11850</v>
      </c>
      <c r="E1646" s="1">
        <f>IFERROR(__xludf.DUMMYFUNCTION("""COMPUTED_VALUE"""),11850.0)</f>
        <v>11850</v>
      </c>
      <c r="F1646" s="1">
        <f>IFERROR(__xludf.DUMMYFUNCTION("""COMPUTED_VALUE"""),309941.0)</f>
        <v>309941</v>
      </c>
    </row>
    <row r="1647">
      <c r="A1647" s="2">
        <f>IFERROR(__xludf.DUMMYFUNCTION("""COMPUTED_VALUE"""),43357.64583333333)</f>
        <v>43357.64583</v>
      </c>
      <c r="B1647" s="1">
        <f>IFERROR(__xludf.DUMMYFUNCTION("""COMPUTED_VALUE"""),11950.0)</f>
        <v>11950</v>
      </c>
      <c r="C1647" s="1">
        <f>IFERROR(__xludf.DUMMYFUNCTION("""COMPUTED_VALUE"""),11950.0)</f>
        <v>11950</v>
      </c>
      <c r="D1647" s="1">
        <f>IFERROR(__xludf.DUMMYFUNCTION("""COMPUTED_VALUE"""),11450.0)</f>
        <v>11450</v>
      </c>
      <c r="E1647" s="1">
        <f>IFERROR(__xludf.DUMMYFUNCTION("""COMPUTED_VALUE"""),11750.0)</f>
        <v>11750</v>
      </c>
      <c r="F1647" s="1">
        <f>IFERROR(__xludf.DUMMYFUNCTION("""COMPUTED_VALUE"""),315253.0)</f>
        <v>315253</v>
      </c>
    </row>
    <row r="1648">
      <c r="A1648" s="2">
        <f>IFERROR(__xludf.DUMMYFUNCTION("""COMPUTED_VALUE"""),43360.64583333333)</f>
        <v>43360.64583</v>
      </c>
      <c r="B1648" s="1">
        <f>IFERROR(__xludf.DUMMYFUNCTION("""COMPUTED_VALUE"""),11900.0)</f>
        <v>11900</v>
      </c>
      <c r="C1648" s="1">
        <f>IFERROR(__xludf.DUMMYFUNCTION("""COMPUTED_VALUE"""),12150.0)</f>
        <v>12150</v>
      </c>
      <c r="D1648" s="1">
        <f>IFERROR(__xludf.DUMMYFUNCTION("""COMPUTED_VALUE"""),11600.0)</f>
        <v>11600</v>
      </c>
      <c r="E1648" s="1">
        <f>IFERROR(__xludf.DUMMYFUNCTION("""COMPUTED_VALUE"""),11750.0)</f>
        <v>11750</v>
      </c>
      <c r="F1648" s="1">
        <f>IFERROR(__xludf.DUMMYFUNCTION("""COMPUTED_VALUE"""),337767.0)</f>
        <v>337767</v>
      </c>
    </row>
    <row r="1649">
      <c r="A1649" s="2">
        <f>IFERROR(__xludf.DUMMYFUNCTION("""COMPUTED_VALUE"""),43361.64583333333)</f>
        <v>43361.64583</v>
      </c>
      <c r="B1649" s="1">
        <f>IFERROR(__xludf.DUMMYFUNCTION("""COMPUTED_VALUE"""),11700.0)</f>
        <v>11700</v>
      </c>
      <c r="C1649" s="1">
        <f>IFERROR(__xludf.DUMMYFUNCTION("""COMPUTED_VALUE"""),11850.0)</f>
        <v>11850</v>
      </c>
      <c r="D1649" s="1">
        <f>IFERROR(__xludf.DUMMYFUNCTION("""COMPUTED_VALUE"""),11050.0)</f>
        <v>11050</v>
      </c>
      <c r="E1649" s="1">
        <f>IFERROR(__xludf.DUMMYFUNCTION("""COMPUTED_VALUE"""),11150.0)</f>
        <v>11150</v>
      </c>
      <c r="F1649" s="1">
        <f>IFERROR(__xludf.DUMMYFUNCTION("""COMPUTED_VALUE"""),379506.0)</f>
        <v>379506</v>
      </c>
    </row>
    <row r="1650">
      <c r="A1650" s="2">
        <f>IFERROR(__xludf.DUMMYFUNCTION("""COMPUTED_VALUE"""),43362.64583333333)</f>
        <v>43362.64583</v>
      </c>
      <c r="B1650" s="1">
        <f>IFERROR(__xludf.DUMMYFUNCTION("""COMPUTED_VALUE"""),11150.0)</f>
        <v>11150</v>
      </c>
      <c r="C1650" s="1">
        <f>IFERROR(__xludf.DUMMYFUNCTION("""COMPUTED_VALUE"""),11700.0)</f>
        <v>11700</v>
      </c>
      <c r="D1650" s="1">
        <f>IFERROR(__xludf.DUMMYFUNCTION("""COMPUTED_VALUE"""),10750.0)</f>
        <v>10750</v>
      </c>
      <c r="E1650" s="1">
        <f>IFERROR(__xludf.DUMMYFUNCTION("""COMPUTED_VALUE"""),10800.0)</f>
        <v>10800</v>
      </c>
      <c r="F1650" s="1">
        <f>IFERROR(__xludf.DUMMYFUNCTION("""COMPUTED_VALUE"""),646616.0)</f>
        <v>646616</v>
      </c>
    </row>
    <row r="1651">
      <c r="A1651" s="2">
        <f>IFERROR(__xludf.DUMMYFUNCTION("""COMPUTED_VALUE"""),43363.64583333333)</f>
        <v>43363.64583</v>
      </c>
      <c r="B1651" s="1">
        <f>IFERROR(__xludf.DUMMYFUNCTION("""COMPUTED_VALUE"""),11100.0)</f>
        <v>11100</v>
      </c>
      <c r="C1651" s="1">
        <f>IFERROR(__xludf.DUMMYFUNCTION("""COMPUTED_VALUE"""),11200.0)</f>
        <v>11200</v>
      </c>
      <c r="D1651" s="1">
        <f>IFERROR(__xludf.DUMMYFUNCTION("""COMPUTED_VALUE"""),10400.0)</f>
        <v>10400</v>
      </c>
      <c r="E1651" s="1">
        <f>IFERROR(__xludf.DUMMYFUNCTION("""COMPUTED_VALUE"""),10800.0)</f>
        <v>10800</v>
      </c>
      <c r="F1651" s="1">
        <f>IFERROR(__xludf.DUMMYFUNCTION("""COMPUTED_VALUE"""),474553.0)</f>
        <v>474553</v>
      </c>
    </row>
    <row r="1652">
      <c r="A1652" s="2">
        <f>IFERROR(__xludf.DUMMYFUNCTION("""COMPUTED_VALUE"""),43364.64583333333)</f>
        <v>43364.64583</v>
      </c>
      <c r="B1652" s="1">
        <f>IFERROR(__xludf.DUMMYFUNCTION("""COMPUTED_VALUE"""),10800.0)</f>
        <v>10800</v>
      </c>
      <c r="C1652" s="1">
        <f>IFERROR(__xludf.DUMMYFUNCTION("""COMPUTED_VALUE"""),11200.0)</f>
        <v>11200</v>
      </c>
      <c r="D1652" s="1">
        <f>IFERROR(__xludf.DUMMYFUNCTION("""COMPUTED_VALUE"""),10750.0)</f>
        <v>10750</v>
      </c>
      <c r="E1652" s="1">
        <f>IFERROR(__xludf.DUMMYFUNCTION("""COMPUTED_VALUE"""),11100.0)</f>
        <v>11100</v>
      </c>
      <c r="F1652" s="1">
        <f>IFERROR(__xludf.DUMMYFUNCTION("""COMPUTED_VALUE"""),321132.0)</f>
        <v>321132</v>
      </c>
    </row>
    <row r="1653">
      <c r="A1653" s="2">
        <f>IFERROR(__xludf.DUMMYFUNCTION("""COMPUTED_VALUE"""),43370.64583333333)</f>
        <v>43370.64583</v>
      </c>
      <c r="B1653" s="1">
        <f>IFERROR(__xludf.DUMMYFUNCTION("""COMPUTED_VALUE"""),11300.0)</f>
        <v>11300</v>
      </c>
      <c r="C1653" s="1">
        <f>IFERROR(__xludf.DUMMYFUNCTION("""COMPUTED_VALUE"""),11300.0)</f>
        <v>11300</v>
      </c>
      <c r="D1653" s="1">
        <f>IFERROR(__xludf.DUMMYFUNCTION("""COMPUTED_VALUE"""),10750.0)</f>
        <v>10750</v>
      </c>
      <c r="E1653" s="1">
        <f>IFERROR(__xludf.DUMMYFUNCTION("""COMPUTED_VALUE"""),10800.0)</f>
        <v>10800</v>
      </c>
      <c r="F1653" s="1">
        <f>IFERROR(__xludf.DUMMYFUNCTION("""COMPUTED_VALUE"""),175621.0)</f>
        <v>175621</v>
      </c>
    </row>
    <row r="1654">
      <c r="A1654" s="2">
        <f>IFERROR(__xludf.DUMMYFUNCTION("""COMPUTED_VALUE"""),43371.64583333333)</f>
        <v>43371.64583</v>
      </c>
      <c r="B1654" s="1">
        <f>IFERROR(__xludf.DUMMYFUNCTION("""COMPUTED_VALUE"""),10700.0)</f>
        <v>10700</v>
      </c>
      <c r="C1654" s="1">
        <f>IFERROR(__xludf.DUMMYFUNCTION("""COMPUTED_VALUE"""),10800.0)</f>
        <v>10800</v>
      </c>
      <c r="D1654" s="1">
        <f>IFERROR(__xludf.DUMMYFUNCTION("""COMPUTED_VALUE"""),10350.0)</f>
        <v>10350</v>
      </c>
      <c r="E1654" s="1">
        <f>IFERROR(__xludf.DUMMYFUNCTION("""COMPUTED_VALUE"""),10550.0)</f>
        <v>10550</v>
      </c>
      <c r="F1654" s="1">
        <f>IFERROR(__xludf.DUMMYFUNCTION("""COMPUTED_VALUE"""),161197.0)</f>
        <v>161197</v>
      </c>
    </row>
    <row r="1655">
      <c r="A1655" s="2">
        <f>IFERROR(__xludf.DUMMYFUNCTION("""COMPUTED_VALUE"""),43374.64583333333)</f>
        <v>43374.64583</v>
      </c>
      <c r="B1655" s="1">
        <f>IFERROR(__xludf.DUMMYFUNCTION("""COMPUTED_VALUE"""),10650.0)</f>
        <v>10650</v>
      </c>
      <c r="C1655" s="1">
        <f>IFERROR(__xludf.DUMMYFUNCTION("""COMPUTED_VALUE"""),10850.0)</f>
        <v>10850</v>
      </c>
      <c r="D1655" s="1">
        <f>IFERROR(__xludf.DUMMYFUNCTION("""COMPUTED_VALUE"""),10400.0)</f>
        <v>10400</v>
      </c>
      <c r="E1655" s="1">
        <f>IFERROR(__xludf.DUMMYFUNCTION("""COMPUTED_VALUE"""),10400.0)</f>
        <v>10400</v>
      </c>
      <c r="F1655" s="1">
        <f>IFERROR(__xludf.DUMMYFUNCTION("""COMPUTED_VALUE"""),165940.0)</f>
        <v>165940</v>
      </c>
    </row>
    <row r="1656">
      <c r="A1656" s="2">
        <f>IFERROR(__xludf.DUMMYFUNCTION("""COMPUTED_VALUE"""),43375.64583333333)</f>
        <v>43375.64583</v>
      </c>
      <c r="B1656" s="1">
        <f>IFERROR(__xludf.DUMMYFUNCTION("""COMPUTED_VALUE"""),10300.0)</f>
        <v>10300</v>
      </c>
      <c r="C1656" s="1">
        <f>IFERROR(__xludf.DUMMYFUNCTION("""COMPUTED_VALUE"""),11200.0)</f>
        <v>11200</v>
      </c>
      <c r="D1656" s="1">
        <f>IFERROR(__xludf.DUMMYFUNCTION("""COMPUTED_VALUE"""),10300.0)</f>
        <v>10300</v>
      </c>
      <c r="E1656" s="1">
        <f>IFERROR(__xludf.DUMMYFUNCTION("""COMPUTED_VALUE"""),10550.0)</f>
        <v>10550</v>
      </c>
      <c r="F1656" s="1">
        <f>IFERROR(__xludf.DUMMYFUNCTION("""COMPUTED_VALUE"""),755767.0)</f>
        <v>755767</v>
      </c>
    </row>
    <row r="1657">
      <c r="A1657" s="2">
        <f>IFERROR(__xludf.DUMMYFUNCTION("""COMPUTED_VALUE"""),43377.64583333333)</f>
        <v>43377.64583</v>
      </c>
      <c r="B1657" s="1">
        <f>IFERROR(__xludf.DUMMYFUNCTION("""COMPUTED_VALUE"""),11150.0)</f>
        <v>11150</v>
      </c>
      <c r="C1657" s="1">
        <f>IFERROR(__xludf.DUMMYFUNCTION("""COMPUTED_VALUE"""),11200.0)</f>
        <v>11200</v>
      </c>
      <c r="D1657" s="1">
        <f>IFERROR(__xludf.DUMMYFUNCTION("""COMPUTED_VALUE"""),10700.0)</f>
        <v>10700</v>
      </c>
      <c r="E1657" s="1">
        <f>IFERROR(__xludf.DUMMYFUNCTION("""COMPUTED_VALUE"""),10800.0)</f>
        <v>10800</v>
      </c>
      <c r="F1657" s="1">
        <f>IFERROR(__xludf.DUMMYFUNCTION("""COMPUTED_VALUE"""),401677.0)</f>
        <v>401677</v>
      </c>
    </row>
    <row r="1658">
      <c r="A1658" s="2">
        <f>IFERROR(__xludf.DUMMYFUNCTION("""COMPUTED_VALUE"""),43378.64583333333)</f>
        <v>43378.64583</v>
      </c>
      <c r="B1658" s="1">
        <f>IFERROR(__xludf.DUMMYFUNCTION("""COMPUTED_VALUE"""),10650.0)</f>
        <v>10650</v>
      </c>
      <c r="C1658" s="1">
        <f>IFERROR(__xludf.DUMMYFUNCTION("""COMPUTED_VALUE"""),10900.0)</f>
        <v>10900</v>
      </c>
      <c r="D1658" s="1">
        <f>IFERROR(__xludf.DUMMYFUNCTION("""COMPUTED_VALUE"""),10300.0)</f>
        <v>10300</v>
      </c>
      <c r="E1658" s="1">
        <f>IFERROR(__xludf.DUMMYFUNCTION("""COMPUTED_VALUE"""),10500.0)</f>
        <v>10500</v>
      </c>
      <c r="F1658" s="1">
        <f>IFERROR(__xludf.DUMMYFUNCTION("""COMPUTED_VALUE"""),211461.0)</f>
        <v>211461</v>
      </c>
    </row>
    <row r="1659">
      <c r="A1659" s="2">
        <f>IFERROR(__xludf.DUMMYFUNCTION("""COMPUTED_VALUE"""),43381.64583333333)</f>
        <v>43381.64583</v>
      </c>
      <c r="B1659" s="1">
        <f>IFERROR(__xludf.DUMMYFUNCTION("""COMPUTED_VALUE"""),10350.0)</f>
        <v>10350</v>
      </c>
      <c r="C1659" s="1">
        <f>IFERROR(__xludf.DUMMYFUNCTION("""COMPUTED_VALUE"""),10650.0)</f>
        <v>10650</v>
      </c>
      <c r="D1659" s="1">
        <f>IFERROR(__xludf.DUMMYFUNCTION("""COMPUTED_VALUE"""),10150.0)</f>
        <v>10150</v>
      </c>
      <c r="E1659" s="1">
        <f>IFERROR(__xludf.DUMMYFUNCTION("""COMPUTED_VALUE"""),10150.0)</f>
        <v>10150</v>
      </c>
      <c r="F1659" s="1">
        <f>IFERROR(__xludf.DUMMYFUNCTION("""COMPUTED_VALUE"""),150920.0)</f>
        <v>150920</v>
      </c>
    </row>
    <row r="1660">
      <c r="A1660" s="2">
        <f>IFERROR(__xludf.DUMMYFUNCTION("""COMPUTED_VALUE"""),43383.64583333333)</f>
        <v>43383.64583</v>
      </c>
      <c r="B1660" s="1">
        <f>IFERROR(__xludf.DUMMYFUNCTION("""COMPUTED_VALUE"""),10050.0)</f>
        <v>10050</v>
      </c>
      <c r="C1660" s="1">
        <f>IFERROR(__xludf.DUMMYFUNCTION("""COMPUTED_VALUE"""),10150.0)</f>
        <v>10150</v>
      </c>
      <c r="D1660" s="1">
        <f>IFERROR(__xludf.DUMMYFUNCTION("""COMPUTED_VALUE"""),8700.0)</f>
        <v>8700</v>
      </c>
      <c r="E1660" s="1">
        <f>IFERROR(__xludf.DUMMYFUNCTION("""COMPUTED_VALUE"""),8770.0)</f>
        <v>8770</v>
      </c>
      <c r="F1660" s="1">
        <f>IFERROR(__xludf.DUMMYFUNCTION("""COMPUTED_VALUE"""),529902.0)</f>
        <v>529902</v>
      </c>
    </row>
    <row r="1661">
      <c r="A1661" s="2">
        <f>IFERROR(__xludf.DUMMYFUNCTION("""COMPUTED_VALUE"""),43384.64583333333)</f>
        <v>43384.64583</v>
      </c>
      <c r="B1661" s="1">
        <f>IFERROR(__xludf.DUMMYFUNCTION("""COMPUTED_VALUE"""),8010.0)</f>
        <v>8010</v>
      </c>
      <c r="C1661" s="1">
        <f>IFERROR(__xludf.DUMMYFUNCTION("""COMPUTED_VALUE"""),10100.0)</f>
        <v>10100</v>
      </c>
      <c r="D1661" s="1">
        <f>IFERROR(__xludf.DUMMYFUNCTION("""COMPUTED_VALUE"""),8010.0)</f>
        <v>8010</v>
      </c>
      <c r="E1661" s="1">
        <f>IFERROR(__xludf.DUMMYFUNCTION("""COMPUTED_VALUE"""),8790.0)</f>
        <v>8790</v>
      </c>
      <c r="F1661" s="1">
        <f>IFERROR(__xludf.DUMMYFUNCTION("""COMPUTED_VALUE"""),1757308.0)</f>
        <v>1757308</v>
      </c>
    </row>
    <row r="1662">
      <c r="A1662" s="2">
        <f>IFERROR(__xludf.DUMMYFUNCTION("""COMPUTED_VALUE"""),43385.64583333333)</f>
        <v>43385.64583</v>
      </c>
      <c r="B1662" s="1">
        <f>IFERROR(__xludf.DUMMYFUNCTION("""COMPUTED_VALUE"""),8680.0)</f>
        <v>8680</v>
      </c>
      <c r="C1662" s="1">
        <f>IFERROR(__xludf.DUMMYFUNCTION("""COMPUTED_VALUE"""),9350.0)</f>
        <v>9350</v>
      </c>
      <c r="D1662" s="1">
        <f>IFERROR(__xludf.DUMMYFUNCTION("""COMPUTED_VALUE"""),8600.0)</f>
        <v>8600</v>
      </c>
      <c r="E1662" s="1">
        <f>IFERROR(__xludf.DUMMYFUNCTION("""COMPUTED_VALUE"""),8940.0)</f>
        <v>8940</v>
      </c>
      <c r="F1662" s="1">
        <f>IFERROR(__xludf.DUMMYFUNCTION("""COMPUTED_VALUE"""),583882.0)</f>
        <v>583882</v>
      </c>
    </row>
    <row r="1663">
      <c r="A1663" s="2">
        <f>IFERROR(__xludf.DUMMYFUNCTION("""COMPUTED_VALUE"""),43388.64583333333)</f>
        <v>43388.64583</v>
      </c>
      <c r="B1663" s="1">
        <f>IFERROR(__xludf.DUMMYFUNCTION("""COMPUTED_VALUE"""),8900.0)</f>
        <v>8900</v>
      </c>
      <c r="C1663" s="1">
        <f>IFERROR(__xludf.DUMMYFUNCTION("""COMPUTED_VALUE"""),9230.0)</f>
        <v>9230</v>
      </c>
      <c r="D1663" s="1">
        <f>IFERROR(__xludf.DUMMYFUNCTION("""COMPUTED_VALUE"""),8540.0)</f>
        <v>8540</v>
      </c>
      <c r="E1663" s="1">
        <f>IFERROR(__xludf.DUMMYFUNCTION("""COMPUTED_VALUE"""),8570.0)</f>
        <v>8570</v>
      </c>
      <c r="F1663" s="1">
        <f>IFERROR(__xludf.DUMMYFUNCTION("""COMPUTED_VALUE"""),388649.0)</f>
        <v>388649</v>
      </c>
    </row>
    <row r="1664">
      <c r="A1664" s="2">
        <f>IFERROR(__xludf.DUMMYFUNCTION("""COMPUTED_VALUE"""),43389.64583333333)</f>
        <v>43389.64583</v>
      </c>
      <c r="B1664" s="1">
        <f>IFERROR(__xludf.DUMMYFUNCTION("""COMPUTED_VALUE"""),8600.0)</f>
        <v>8600</v>
      </c>
      <c r="C1664" s="1">
        <f>IFERROR(__xludf.DUMMYFUNCTION("""COMPUTED_VALUE"""),9030.0)</f>
        <v>9030</v>
      </c>
      <c r="D1664" s="1">
        <f>IFERROR(__xludf.DUMMYFUNCTION("""COMPUTED_VALUE"""),8600.0)</f>
        <v>8600</v>
      </c>
      <c r="E1664" s="1">
        <f>IFERROR(__xludf.DUMMYFUNCTION("""COMPUTED_VALUE"""),8750.0)</f>
        <v>8750</v>
      </c>
      <c r="F1664" s="1">
        <f>IFERROR(__xludf.DUMMYFUNCTION("""COMPUTED_VALUE"""),187474.0)</f>
        <v>187474</v>
      </c>
    </row>
    <row r="1665">
      <c r="A1665" s="2">
        <f>IFERROR(__xludf.DUMMYFUNCTION("""COMPUTED_VALUE"""),43390.64583333333)</f>
        <v>43390.64583</v>
      </c>
      <c r="B1665" s="1">
        <f>IFERROR(__xludf.DUMMYFUNCTION("""COMPUTED_VALUE"""),8900.0)</f>
        <v>8900</v>
      </c>
      <c r="C1665" s="1">
        <f>IFERROR(__xludf.DUMMYFUNCTION("""COMPUTED_VALUE"""),10300.0)</f>
        <v>10300</v>
      </c>
      <c r="D1665" s="1">
        <f>IFERROR(__xludf.DUMMYFUNCTION("""COMPUTED_VALUE"""),8850.0)</f>
        <v>8850</v>
      </c>
      <c r="E1665" s="1">
        <f>IFERROR(__xludf.DUMMYFUNCTION("""COMPUTED_VALUE"""),9490.0)</f>
        <v>9490</v>
      </c>
      <c r="F1665" s="1">
        <f>IFERROR(__xludf.DUMMYFUNCTION("""COMPUTED_VALUE"""),3130698.0)</f>
        <v>3130698</v>
      </c>
    </row>
    <row r="1666">
      <c r="A1666" s="2">
        <f>IFERROR(__xludf.DUMMYFUNCTION("""COMPUTED_VALUE"""),43391.64583333333)</f>
        <v>43391.64583</v>
      </c>
      <c r="B1666" s="1">
        <f>IFERROR(__xludf.DUMMYFUNCTION("""COMPUTED_VALUE"""),9550.0)</f>
        <v>9550</v>
      </c>
      <c r="C1666" s="1">
        <f>IFERROR(__xludf.DUMMYFUNCTION("""COMPUTED_VALUE"""),9590.0)</f>
        <v>9590</v>
      </c>
      <c r="D1666" s="1">
        <f>IFERROR(__xludf.DUMMYFUNCTION("""COMPUTED_VALUE"""),9170.0)</f>
        <v>9170</v>
      </c>
      <c r="E1666" s="1">
        <f>IFERROR(__xludf.DUMMYFUNCTION("""COMPUTED_VALUE"""),9220.0)</f>
        <v>9220</v>
      </c>
      <c r="F1666" s="1">
        <f>IFERROR(__xludf.DUMMYFUNCTION("""COMPUTED_VALUE"""),403814.0)</f>
        <v>403814</v>
      </c>
    </row>
    <row r="1667">
      <c r="A1667" s="2">
        <f>IFERROR(__xludf.DUMMYFUNCTION("""COMPUTED_VALUE"""),43392.64583333333)</f>
        <v>43392.64583</v>
      </c>
      <c r="B1667" s="1">
        <f>IFERROR(__xludf.DUMMYFUNCTION("""COMPUTED_VALUE"""),9200.0)</f>
        <v>9200</v>
      </c>
      <c r="C1667" s="1">
        <f>IFERROR(__xludf.DUMMYFUNCTION("""COMPUTED_VALUE"""),9520.0)</f>
        <v>9520</v>
      </c>
      <c r="D1667" s="1">
        <f>IFERROR(__xludf.DUMMYFUNCTION("""COMPUTED_VALUE"""),9040.0)</f>
        <v>9040</v>
      </c>
      <c r="E1667" s="1">
        <f>IFERROR(__xludf.DUMMYFUNCTION("""COMPUTED_VALUE"""),9250.0)</f>
        <v>9250</v>
      </c>
      <c r="F1667" s="1">
        <f>IFERROR(__xludf.DUMMYFUNCTION("""COMPUTED_VALUE"""),321539.0)</f>
        <v>321539</v>
      </c>
    </row>
    <row r="1668">
      <c r="A1668" s="2">
        <f>IFERROR(__xludf.DUMMYFUNCTION("""COMPUTED_VALUE"""),43395.64583333333)</f>
        <v>43395.64583</v>
      </c>
      <c r="B1668" s="1">
        <f>IFERROR(__xludf.DUMMYFUNCTION("""COMPUTED_VALUE"""),9060.0)</f>
        <v>9060</v>
      </c>
      <c r="C1668" s="1">
        <f>IFERROR(__xludf.DUMMYFUNCTION("""COMPUTED_VALUE"""),9100.0)</f>
        <v>9100</v>
      </c>
      <c r="D1668" s="1">
        <f>IFERROR(__xludf.DUMMYFUNCTION("""COMPUTED_VALUE"""),8650.0)</f>
        <v>8650</v>
      </c>
      <c r="E1668" s="1">
        <f>IFERROR(__xludf.DUMMYFUNCTION("""COMPUTED_VALUE"""),8650.0)</f>
        <v>8650</v>
      </c>
      <c r="F1668" s="1">
        <f>IFERROR(__xludf.DUMMYFUNCTION("""COMPUTED_VALUE"""),276511.0)</f>
        <v>276511</v>
      </c>
    </row>
    <row r="1669">
      <c r="A1669" s="2">
        <f>IFERROR(__xludf.DUMMYFUNCTION("""COMPUTED_VALUE"""),43396.64583333333)</f>
        <v>43396.64583</v>
      </c>
      <c r="B1669" s="1">
        <f>IFERROR(__xludf.DUMMYFUNCTION("""COMPUTED_VALUE"""),9350.0)</f>
        <v>9350</v>
      </c>
      <c r="C1669" s="1">
        <f>IFERROR(__xludf.DUMMYFUNCTION("""COMPUTED_VALUE"""),11200.0)</f>
        <v>11200</v>
      </c>
      <c r="D1669" s="1">
        <f>IFERROR(__xludf.DUMMYFUNCTION("""COMPUTED_VALUE"""),9300.0)</f>
        <v>9300</v>
      </c>
      <c r="E1669" s="1">
        <f>IFERROR(__xludf.DUMMYFUNCTION("""COMPUTED_VALUE"""),11200.0)</f>
        <v>11200</v>
      </c>
      <c r="F1669" s="1">
        <f>IFERROR(__xludf.DUMMYFUNCTION("""COMPUTED_VALUE"""),8184618.0)</f>
        <v>8184618</v>
      </c>
    </row>
    <row r="1670">
      <c r="A1670" s="2">
        <f>IFERROR(__xludf.DUMMYFUNCTION("""COMPUTED_VALUE"""),43397.64583333333)</f>
        <v>43397.64583</v>
      </c>
      <c r="B1670" s="1">
        <f>IFERROR(__xludf.DUMMYFUNCTION("""COMPUTED_VALUE"""),11100.0)</f>
        <v>11100</v>
      </c>
      <c r="C1670" s="1">
        <f>IFERROR(__xludf.DUMMYFUNCTION("""COMPUTED_VALUE"""),11800.0)</f>
        <v>11800</v>
      </c>
      <c r="D1670" s="1">
        <f>IFERROR(__xludf.DUMMYFUNCTION("""COMPUTED_VALUE"""),10800.0)</f>
        <v>10800</v>
      </c>
      <c r="E1670" s="1">
        <f>IFERROR(__xludf.DUMMYFUNCTION("""COMPUTED_VALUE"""),11150.0)</f>
        <v>11150</v>
      </c>
      <c r="F1670" s="1">
        <f>IFERROR(__xludf.DUMMYFUNCTION("""COMPUTED_VALUE"""),4518229.0)</f>
        <v>4518229</v>
      </c>
    </row>
    <row r="1671">
      <c r="A1671" s="2">
        <f>IFERROR(__xludf.DUMMYFUNCTION("""COMPUTED_VALUE"""),43398.64583333333)</f>
        <v>43398.64583</v>
      </c>
      <c r="B1671" s="1">
        <f>IFERROR(__xludf.DUMMYFUNCTION("""COMPUTED_VALUE"""),11000.0)</f>
        <v>11000</v>
      </c>
      <c r="C1671" s="1">
        <f>IFERROR(__xludf.DUMMYFUNCTION("""COMPUTED_VALUE"""),12250.0)</f>
        <v>12250</v>
      </c>
      <c r="D1671" s="1">
        <f>IFERROR(__xludf.DUMMYFUNCTION("""COMPUTED_VALUE"""),11000.0)</f>
        <v>11000</v>
      </c>
      <c r="E1671" s="1">
        <f>IFERROR(__xludf.DUMMYFUNCTION("""COMPUTED_VALUE"""),11600.0)</f>
        <v>11600</v>
      </c>
      <c r="F1671" s="1">
        <f>IFERROR(__xludf.DUMMYFUNCTION("""COMPUTED_VALUE"""),3885850.0)</f>
        <v>3885850</v>
      </c>
    </row>
    <row r="1672">
      <c r="A1672" s="2">
        <f>IFERROR(__xludf.DUMMYFUNCTION("""COMPUTED_VALUE"""),43399.64583333333)</f>
        <v>43399.64583</v>
      </c>
      <c r="B1672" s="1">
        <f>IFERROR(__xludf.DUMMYFUNCTION("""COMPUTED_VALUE"""),11700.0)</f>
        <v>11700</v>
      </c>
      <c r="C1672" s="1">
        <f>IFERROR(__xludf.DUMMYFUNCTION("""COMPUTED_VALUE"""),12050.0)</f>
        <v>12050</v>
      </c>
      <c r="D1672" s="1">
        <f>IFERROR(__xludf.DUMMYFUNCTION("""COMPUTED_VALUE"""),10400.0)</f>
        <v>10400</v>
      </c>
      <c r="E1672" s="1">
        <f>IFERROR(__xludf.DUMMYFUNCTION("""COMPUTED_VALUE"""),10400.0)</f>
        <v>10400</v>
      </c>
      <c r="F1672" s="1">
        <f>IFERROR(__xludf.DUMMYFUNCTION("""COMPUTED_VALUE"""),1623624.0)</f>
        <v>1623624</v>
      </c>
    </row>
    <row r="1673">
      <c r="A1673" s="2">
        <f>IFERROR(__xludf.DUMMYFUNCTION("""COMPUTED_VALUE"""),43402.64583333333)</f>
        <v>43402.64583</v>
      </c>
      <c r="B1673" s="1">
        <f>IFERROR(__xludf.DUMMYFUNCTION("""COMPUTED_VALUE"""),10300.0)</f>
        <v>10300</v>
      </c>
      <c r="C1673" s="1">
        <f>IFERROR(__xludf.DUMMYFUNCTION("""COMPUTED_VALUE"""),10550.0)</f>
        <v>10550</v>
      </c>
      <c r="D1673" s="1">
        <f>IFERROR(__xludf.DUMMYFUNCTION("""COMPUTED_VALUE"""),8400.0)</f>
        <v>8400</v>
      </c>
      <c r="E1673" s="1">
        <f>IFERROR(__xludf.DUMMYFUNCTION("""COMPUTED_VALUE"""),8490.0)</f>
        <v>8490</v>
      </c>
      <c r="F1673" s="1">
        <f>IFERROR(__xludf.DUMMYFUNCTION("""COMPUTED_VALUE"""),2064226.0)</f>
        <v>2064226</v>
      </c>
    </row>
    <row r="1674">
      <c r="A1674" s="2">
        <f>IFERROR(__xludf.DUMMYFUNCTION("""COMPUTED_VALUE"""),43403.64583333333)</f>
        <v>43403.64583</v>
      </c>
      <c r="B1674" s="1">
        <f>IFERROR(__xludf.DUMMYFUNCTION("""COMPUTED_VALUE"""),8280.0)</f>
        <v>8280</v>
      </c>
      <c r="C1674" s="1">
        <f>IFERROR(__xludf.DUMMYFUNCTION("""COMPUTED_VALUE"""),9030.0)</f>
        <v>9030</v>
      </c>
      <c r="D1674" s="1">
        <f>IFERROR(__xludf.DUMMYFUNCTION("""COMPUTED_VALUE"""),7820.0)</f>
        <v>7820</v>
      </c>
      <c r="E1674" s="1">
        <f>IFERROR(__xludf.DUMMYFUNCTION("""COMPUTED_VALUE"""),8810.0)</f>
        <v>8810</v>
      </c>
      <c r="F1674" s="1">
        <f>IFERROR(__xludf.DUMMYFUNCTION("""COMPUTED_VALUE"""),2827571.0)</f>
        <v>2827571</v>
      </c>
    </row>
    <row r="1675">
      <c r="A1675" s="2">
        <f>IFERROR(__xludf.DUMMYFUNCTION("""COMPUTED_VALUE"""),43404.64583333333)</f>
        <v>43404.64583</v>
      </c>
      <c r="B1675" s="1">
        <f>IFERROR(__xludf.DUMMYFUNCTION("""COMPUTED_VALUE"""),8930.0)</f>
        <v>8930</v>
      </c>
      <c r="C1675" s="1">
        <f>IFERROR(__xludf.DUMMYFUNCTION("""COMPUTED_VALUE"""),9800.0)</f>
        <v>9800</v>
      </c>
      <c r="D1675" s="1">
        <f>IFERROR(__xludf.DUMMYFUNCTION("""COMPUTED_VALUE"""),8860.0)</f>
        <v>8860</v>
      </c>
      <c r="E1675" s="1">
        <f>IFERROR(__xludf.DUMMYFUNCTION("""COMPUTED_VALUE"""),9080.0)</f>
        <v>9080</v>
      </c>
      <c r="F1675" s="1">
        <f>IFERROR(__xludf.DUMMYFUNCTION("""COMPUTED_VALUE"""),2657832.0)</f>
        <v>2657832</v>
      </c>
    </row>
    <row r="1676">
      <c r="A1676" s="2">
        <f>IFERROR(__xludf.DUMMYFUNCTION("""COMPUTED_VALUE"""),43405.64583333333)</f>
        <v>43405.64583</v>
      </c>
      <c r="B1676" s="1">
        <f>IFERROR(__xludf.DUMMYFUNCTION("""COMPUTED_VALUE"""),9450.0)</f>
        <v>9450</v>
      </c>
      <c r="C1676" s="1">
        <f>IFERROR(__xludf.DUMMYFUNCTION("""COMPUTED_VALUE"""),9720.0)</f>
        <v>9720</v>
      </c>
      <c r="D1676" s="1">
        <f>IFERROR(__xludf.DUMMYFUNCTION("""COMPUTED_VALUE"""),9000.0)</f>
        <v>9000</v>
      </c>
      <c r="E1676" s="1">
        <f>IFERROR(__xludf.DUMMYFUNCTION("""COMPUTED_VALUE"""),9210.0)</f>
        <v>9210</v>
      </c>
      <c r="F1676" s="1">
        <f>IFERROR(__xludf.DUMMYFUNCTION("""COMPUTED_VALUE"""),1246687.0)</f>
        <v>1246687</v>
      </c>
    </row>
    <row r="1677">
      <c r="A1677" s="2">
        <f>IFERROR(__xludf.DUMMYFUNCTION("""COMPUTED_VALUE"""),43406.64583333333)</f>
        <v>43406.64583</v>
      </c>
      <c r="B1677" s="1">
        <f>IFERROR(__xludf.DUMMYFUNCTION("""COMPUTED_VALUE"""),9430.0)</f>
        <v>9430</v>
      </c>
      <c r="C1677" s="1">
        <f>IFERROR(__xludf.DUMMYFUNCTION("""COMPUTED_VALUE"""),9640.0)</f>
        <v>9640</v>
      </c>
      <c r="D1677" s="1">
        <f>IFERROR(__xludf.DUMMYFUNCTION("""COMPUTED_VALUE"""),9310.0)</f>
        <v>9310</v>
      </c>
      <c r="E1677" s="1">
        <f>IFERROR(__xludf.DUMMYFUNCTION("""COMPUTED_VALUE"""),9570.0)</f>
        <v>9570</v>
      </c>
      <c r="F1677" s="1">
        <f>IFERROR(__xludf.DUMMYFUNCTION("""COMPUTED_VALUE"""),1111964.0)</f>
        <v>1111964</v>
      </c>
    </row>
    <row r="1678">
      <c r="A1678" s="2">
        <f>IFERROR(__xludf.DUMMYFUNCTION("""COMPUTED_VALUE"""),43409.64583333333)</f>
        <v>43409.64583</v>
      </c>
      <c r="B1678" s="1">
        <f>IFERROR(__xludf.DUMMYFUNCTION("""COMPUTED_VALUE"""),9560.0)</f>
        <v>9560</v>
      </c>
      <c r="C1678" s="1">
        <f>IFERROR(__xludf.DUMMYFUNCTION("""COMPUTED_VALUE"""),9800.0)</f>
        <v>9800</v>
      </c>
      <c r="D1678" s="1">
        <f>IFERROR(__xludf.DUMMYFUNCTION("""COMPUTED_VALUE"""),9260.0)</f>
        <v>9260</v>
      </c>
      <c r="E1678" s="1">
        <f>IFERROR(__xludf.DUMMYFUNCTION("""COMPUTED_VALUE"""),9560.0)</f>
        <v>9560</v>
      </c>
      <c r="F1678" s="1">
        <f>IFERROR(__xludf.DUMMYFUNCTION("""COMPUTED_VALUE"""),760915.0)</f>
        <v>760915</v>
      </c>
    </row>
    <row r="1679">
      <c r="A1679" s="2">
        <f>IFERROR(__xludf.DUMMYFUNCTION("""COMPUTED_VALUE"""),43410.64583333333)</f>
        <v>43410.64583</v>
      </c>
      <c r="B1679" s="1">
        <f>IFERROR(__xludf.DUMMYFUNCTION("""COMPUTED_VALUE"""),9620.0)</f>
        <v>9620</v>
      </c>
      <c r="C1679" s="1">
        <f>IFERROR(__xludf.DUMMYFUNCTION("""COMPUTED_VALUE"""),9740.0)</f>
        <v>9740</v>
      </c>
      <c r="D1679" s="1">
        <f>IFERROR(__xludf.DUMMYFUNCTION("""COMPUTED_VALUE"""),9320.0)</f>
        <v>9320</v>
      </c>
      <c r="E1679" s="1">
        <f>IFERROR(__xludf.DUMMYFUNCTION("""COMPUTED_VALUE"""),9490.0)</f>
        <v>9490</v>
      </c>
      <c r="F1679" s="1">
        <f>IFERROR(__xludf.DUMMYFUNCTION("""COMPUTED_VALUE"""),548633.0)</f>
        <v>548633</v>
      </c>
    </row>
    <row r="1680">
      <c r="A1680" s="2">
        <f>IFERROR(__xludf.DUMMYFUNCTION("""COMPUTED_VALUE"""),43411.64583333333)</f>
        <v>43411.64583</v>
      </c>
      <c r="B1680" s="1">
        <f>IFERROR(__xludf.DUMMYFUNCTION("""COMPUTED_VALUE"""),9760.0)</f>
        <v>9760</v>
      </c>
      <c r="C1680" s="1">
        <f>IFERROR(__xludf.DUMMYFUNCTION("""COMPUTED_VALUE"""),10700.0)</f>
        <v>10700</v>
      </c>
      <c r="D1680" s="1">
        <f>IFERROR(__xludf.DUMMYFUNCTION("""COMPUTED_VALUE"""),8790.0)</f>
        <v>8790</v>
      </c>
      <c r="E1680" s="1">
        <f>IFERROR(__xludf.DUMMYFUNCTION("""COMPUTED_VALUE"""),9090.0)</f>
        <v>9090</v>
      </c>
      <c r="F1680" s="1">
        <f>IFERROR(__xludf.DUMMYFUNCTION("""COMPUTED_VALUE"""),3613451.0)</f>
        <v>3613451</v>
      </c>
    </row>
    <row r="1681">
      <c r="A1681" s="2">
        <f>IFERROR(__xludf.DUMMYFUNCTION("""COMPUTED_VALUE"""),43412.64583333333)</f>
        <v>43412.64583</v>
      </c>
      <c r="B1681" s="1">
        <f>IFERROR(__xludf.DUMMYFUNCTION("""COMPUTED_VALUE"""),9400.0)</f>
        <v>9400</v>
      </c>
      <c r="C1681" s="1">
        <f>IFERROR(__xludf.DUMMYFUNCTION("""COMPUTED_VALUE"""),9730.0)</f>
        <v>9730</v>
      </c>
      <c r="D1681" s="1">
        <f>IFERROR(__xludf.DUMMYFUNCTION("""COMPUTED_VALUE"""),9260.0)</f>
        <v>9260</v>
      </c>
      <c r="E1681" s="1">
        <f>IFERROR(__xludf.DUMMYFUNCTION("""COMPUTED_VALUE"""),9330.0)</f>
        <v>9330</v>
      </c>
      <c r="F1681" s="1">
        <f>IFERROR(__xludf.DUMMYFUNCTION("""COMPUTED_VALUE"""),806008.0)</f>
        <v>806008</v>
      </c>
    </row>
    <row r="1682">
      <c r="A1682" s="2">
        <f>IFERROR(__xludf.DUMMYFUNCTION("""COMPUTED_VALUE"""),43413.64583333333)</f>
        <v>43413.64583</v>
      </c>
      <c r="B1682" s="1">
        <f>IFERROR(__xludf.DUMMYFUNCTION("""COMPUTED_VALUE"""),9330.0)</f>
        <v>9330</v>
      </c>
      <c r="C1682" s="1">
        <f>IFERROR(__xludf.DUMMYFUNCTION("""COMPUTED_VALUE"""),9330.0)</f>
        <v>9330</v>
      </c>
      <c r="D1682" s="1">
        <f>IFERROR(__xludf.DUMMYFUNCTION("""COMPUTED_VALUE"""),8920.0)</f>
        <v>8920</v>
      </c>
      <c r="E1682" s="1">
        <f>IFERROR(__xludf.DUMMYFUNCTION("""COMPUTED_VALUE"""),9200.0)</f>
        <v>9200</v>
      </c>
      <c r="F1682" s="1">
        <f>IFERROR(__xludf.DUMMYFUNCTION("""COMPUTED_VALUE"""),476956.0)</f>
        <v>476956</v>
      </c>
    </row>
    <row r="1683">
      <c r="A1683" s="2">
        <f>IFERROR(__xludf.DUMMYFUNCTION("""COMPUTED_VALUE"""),43416.64583333333)</f>
        <v>43416.64583</v>
      </c>
      <c r="B1683" s="1">
        <f>IFERROR(__xludf.DUMMYFUNCTION("""COMPUTED_VALUE"""),8960.0)</f>
        <v>8960</v>
      </c>
      <c r="C1683" s="1">
        <f>IFERROR(__xludf.DUMMYFUNCTION("""COMPUTED_VALUE"""),9350.0)</f>
        <v>9350</v>
      </c>
      <c r="D1683" s="1">
        <f>IFERROR(__xludf.DUMMYFUNCTION("""COMPUTED_VALUE"""),8910.0)</f>
        <v>8910</v>
      </c>
      <c r="E1683" s="1">
        <f>IFERROR(__xludf.DUMMYFUNCTION("""COMPUTED_VALUE"""),9030.0)</f>
        <v>9030</v>
      </c>
      <c r="F1683" s="1">
        <f>IFERROR(__xludf.DUMMYFUNCTION("""COMPUTED_VALUE"""),257107.0)</f>
        <v>257107</v>
      </c>
    </row>
    <row r="1684">
      <c r="A1684" s="2">
        <f>IFERROR(__xludf.DUMMYFUNCTION("""COMPUTED_VALUE"""),43417.64583333333)</f>
        <v>43417.64583</v>
      </c>
      <c r="B1684" s="1">
        <f>IFERROR(__xludf.DUMMYFUNCTION("""COMPUTED_VALUE"""),8850.0)</f>
        <v>8850</v>
      </c>
      <c r="C1684" s="1">
        <f>IFERROR(__xludf.DUMMYFUNCTION("""COMPUTED_VALUE"""),9010.0)</f>
        <v>9010</v>
      </c>
      <c r="D1684" s="1">
        <f>IFERROR(__xludf.DUMMYFUNCTION("""COMPUTED_VALUE"""),8650.0)</f>
        <v>8650</v>
      </c>
      <c r="E1684" s="1">
        <f>IFERROR(__xludf.DUMMYFUNCTION("""COMPUTED_VALUE"""),8870.0)</f>
        <v>8870</v>
      </c>
      <c r="F1684" s="1">
        <f>IFERROR(__xludf.DUMMYFUNCTION("""COMPUTED_VALUE"""),251610.0)</f>
        <v>251610</v>
      </c>
    </row>
    <row r="1685">
      <c r="A1685" s="2">
        <f>IFERROR(__xludf.DUMMYFUNCTION("""COMPUTED_VALUE"""),43418.64583333333)</f>
        <v>43418.64583</v>
      </c>
      <c r="B1685" s="1">
        <f>IFERROR(__xludf.DUMMYFUNCTION("""COMPUTED_VALUE"""),9170.0)</f>
        <v>9170</v>
      </c>
      <c r="C1685" s="1">
        <f>IFERROR(__xludf.DUMMYFUNCTION("""COMPUTED_VALUE"""),9250.0)</f>
        <v>9250</v>
      </c>
      <c r="D1685" s="1">
        <f>IFERROR(__xludf.DUMMYFUNCTION("""COMPUTED_VALUE"""),8900.0)</f>
        <v>8900</v>
      </c>
      <c r="E1685" s="1">
        <f>IFERROR(__xludf.DUMMYFUNCTION("""COMPUTED_VALUE"""),8970.0)</f>
        <v>8970</v>
      </c>
      <c r="F1685" s="1">
        <f>IFERROR(__xludf.DUMMYFUNCTION("""COMPUTED_VALUE"""),245389.0)</f>
        <v>245389</v>
      </c>
    </row>
    <row r="1686">
      <c r="A1686" s="2">
        <f>IFERROR(__xludf.DUMMYFUNCTION("""COMPUTED_VALUE"""),43419.6875)</f>
        <v>43419.6875</v>
      </c>
      <c r="B1686" s="1">
        <f>IFERROR(__xludf.DUMMYFUNCTION("""COMPUTED_VALUE"""),8960.0)</f>
        <v>8960</v>
      </c>
      <c r="C1686" s="1">
        <f>IFERROR(__xludf.DUMMYFUNCTION("""COMPUTED_VALUE"""),9180.0)</f>
        <v>9180</v>
      </c>
      <c r="D1686" s="1">
        <f>IFERROR(__xludf.DUMMYFUNCTION("""COMPUTED_VALUE"""),8860.0)</f>
        <v>8860</v>
      </c>
      <c r="E1686" s="1">
        <f>IFERROR(__xludf.DUMMYFUNCTION("""COMPUTED_VALUE"""),9140.0)</f>
        <v>9140</v>
      </c>
      <c r="F1686" s="1">
        <f>IFERROR(__xludf.DUMMYFUNCTION("""COMPUTED_VALUE"""),245723.0)</f>
        <v>245723</v>
      </c>
    </row>
    <row r="1687">
      <c r="A1687" s="2">
        <f>IFERROR(__xludf.DUMMYFUNCTION("""COMPUTED_VALUE"""),43420.64583333333)</f>
        <v>43420.64583</v>
      </c>
      <c r="B1687" s="1">
        <f>IFERROR(__xludf.DUMMYFUNCTION("""COMPUTED_VALUE"""),9200.0)</f>
        <v>9200</v>
      </c>
      <c r="C1687" s="1">
        <f>IFERROR(__xludf.DUMMYFUNCTION("""COMPUTED_VALUE"""),9260.0)</f>
        <v>9260</v>
      </c>
      <c r="D1687" s="1">
        <f>IFERROR(__xludf.DUMMYFUNCTION("""COMPUTED_VALUE"""),9070.0)</f>
        <v>9070</v>
      </c>
      <c r="E1687" s="1">
        <f>IFERROR(__xludf.DUMMYFUNCTION("""COMPUTED_VALUE"""),9120.0)</f>
        <v>9120</v>
      </c>
      <c r="F1687" s="1">
        <f>IFERROR(__xludf.DUMMYFUNCTION("""COMPUTED_VALUE"""),225253.0)</f>
        <v>225253</v>
      </c>
    </row>
    <row r="1688">
      <c r="A1688" s="2">
        <f>IFERROR(__xludf.DUMMYFUNCTION("""COMPUTED_VALUE"""),43423.64583333333)</f>
        <v>43423.64583</v>
      </c>
      <c r="B1688" s="1">
        <f>IFERROR(__xludf.DUMMYFUNCTION("""COMPUTED_VALUE"""),9300.0)</f>
        <v>9300</v>
      </c>
      <c r="C1688" s="1">
        <f>IFERROR(__xludf.DUMMYFUNCTION("""COMPUTED_VALUE"""),9440.0)</f>
        <v>9440</v>
      </c>
      <c r="D1688" s="1">
        <f>IFERROR(__xludf.DUMMYFUNCTION("""COMPUTED_VALUE"""),9200.0)</f>
        <v>9200</v>
      </c>
      <c r="E1688" s="1">
        <f>IFERROR(__xludf.DUMMYFUNCTION("""COMPUTED_VALUE"""),9300.0)</f>
        <v>9300</v>
      </c>
      <c r="F1688" s="1">
        <f>IFERROR(__xludf.DUMMYFUNCTION("""COMPUTED_VALUE"""),393420.0)</f>
        <v>393420</v>
      </c>
    </row>
    <row r="1689">
      <c r="A1689" s="2">
        <f>IFERROR(__xludf.DUMMYFUNCTION("""COMPUTED_VALUE"""),43424.64583333333)</f>
        <v>43424.64583</v>
      </c>
      <c r="B1689" s="1">
        <f>IFERROR(__xludf.DUMMYFUNCTION("""COMPUTED_VALUE"""),9120.0)</f>
        <v>9120</v>
      </c>
      <c r="C1689" s="1">
        <f>IFERROR(__xludf.DUMMYFUNCTION("""COMPUTED_VALUE"""),9340.0)</f>
        <v>9340</v>
      </c>
      <c r="D1689" s="1">
        <f>IFERROR(__xludf.DUMMYFUNCTION("""COMPUTED_VALUE"""),9120.0)</f>
        <v>9120</v>
      </c>
      <c r="E1689" s="1">
        <f>IFERROR(__xludf.DUMMYFUNCTION("""COMPUTED_VALUE"""),9300.0)</f>
        <v>9300</v>
      </c>
      <c r="F1689" s="1">
        <f>IFERROR(__xludf.DUMMYFUNCTION("""COMPUTED_VALUE"""),177181.0)</f>
        <v>177181</v>
      </c>
    </row>
    <row r="1690">
      <c r="A1690" s="2">
        <f>IFERROR(__xludf.DUMMYFUNCTION("""COMPUTED_VALUE"""),43425.64583333333)</f>
        <v>43425.64583</v>
      </c>
      <c r="B1690" s="1">
        <f>IFERROR(__xludf.DUMMYFUNCTION("""COMPUTED_VALUE"""),9190.0)</f>
        <v>9190</v>
      </c>
      <c r="C1690" s="1">
        <f>IFERROR(__xludf.DUMMYFUNCTION("""COMPUTED_VALUE"""),9610.0)</f>
        <v>9610</v>
      </c>
      <c r="D1690" s="1">
        <f>IFERROR(__xludf.DUMMYFUNCTION("""COMPUTED_VALUE"""),9150.0)</f>
        <v>9150</v>
      </c>
      <c r="E1690" s="1">
        <f>IFERROR(__xludf.DUMMYFUNCTION("""COMPUTED_VALUE"""),9490.0)</f>
        <v>9490</v>
      </c>
      <c r="F1690" s="1">
        <f>IFERROR(__xludf.DUMMYFUNCTION("""COMPUTED_VALUE"""),459518.0)</f>
        <v>459518</v>
      </c>
    </row>
    <row r="1691">
      <c r="A1691" s="2">
        <f>IFERROR(__xludf.DUMMYFUNCTION("""COMPUTED_VALUE"""),43426.64583333333)</f>
        <v>43426.64583</v>
      </c>
      <c r="B1691" s="1">
        <f>IFERROR(__xludf.DUMMYFUNCTION("""COMPUTED_VALUE"""),9670.0)</f>
        <v>9670</v>
      </c>
      <c r="C1691" s="1">
        <f>IFERROR(__xludf.DUMMYFUNCTION("""COMPUTED_VALUE"""),9680.0)</f>
        <v>9680</v>
      </c>
      <c r="D1691" s="1">
        <f>IFERROR(__xludf.DUMMYFUNCTION("""COMPUTED_VALUE"""),9300.0)</f>
        <v>9300</v>
      </c>
      <c r="E1691" s="1">
        <f>IFERROR(__xludf.DUMMYFUNCTION("""COMPUTED_VALUE"""),9340.0)</f>
        <v>9340</v>
      </c>
      <c r="F1691" s="1">
        <f>IFERROR(__xludf.DUMMYFUNCTION("""COMPUTED_VALUE"""),234710.0)</f>
        <v>234710</v>
      </c>
    </row>
    <row r="1692">
      <c r="A1692" s="2">
        <f>IFERROR(__xludf.DUMMYFUNCTION("""COMPUTED_VALUE"""),43427.64583333333)</f>
        <v>43427.64583</v>
      </c>
      <c r="B1692" s="1">
        <f>IFERROR(__xludf.DUMMYFUNCTION("""COMPUTED_VALUE"""),9460.0)</f>
        <v>9460</v>
      </c>
      <c r="C1692" s="1">
        <f>IFERROR(__xludf.DUMMYFUNCTION("""COMPUTED_VALUE"""),9670.0)</f>
        <v>9670</v>
      </c>
      <c r="D1692" s="1">
        <f>IFERROR(__xludf.DUMMYFUNCTION("""COMPUTED_VALUE"""),9250.0)</f>
        <v>9250</v>
      </c>
      <c r="E1692" s="1">
        <f>IFERROR(__xludf.DUMMYFUNCTION("""COMPUTED_VALUE"""),9340.0)</f>
        <v>9340</v>
      </c>
      <c r="F1692" s="1">
        <f>IFERROR(__xludf.DUMMYFUNCTION("""COMPUTED_VALUE"""),374988.0)</f>
        <v>374988</v>
      </c>
    </row>
    <row r="1693">
      <c r="A1693" s="2">
        <f>IFERROR(__xludf.DUMMYFUNCTION("""COMPUTED_VALUE"""),43430.64583333333)</f>
        <v>43430.64583</v>
      </c>
      <c r="B1693" s="1">
        <f>IFERROR(__xludf.DUMMYFUNCTION("""COMPUTED_VALUE"""),9590.0)</f>
        <v>9590</v>
      </c>
      <c r="C1693" s="1">
        <f>IFERROR(__xludf.DUMMYFUNCTION("""COMPUTED_VALUE"""),9600.0)</f>
        <v>9600</v>
      </c>
      <c r="D1693" s="1">
        <f>IFERROR(__xludf.DUMMYFUNCTION("""COMPUTED_VALUE"""),9240.0)</f>
        <v>9240</v>
      </c>
      <c r="E1693" s="1">
        <f>IFERROR(__xludf.DUMMYFUNCTION("""COMPUTED_VALUE"""),9250.0)</f>
        <v>9250</v>
      </c>
      <c r="F1693" s="1">
        <f>IFERROR(__xludf.DUMMYFUNCTION("""COMPUTED_VALUE"""),231492.0)</f>
        <v>231492</v>
      </c>
    </row>
    <row r="1694">
      <c r="A1694" s="2">
        <f>IFERROR(__xludf.DUMMYFUNCTION("""COMPUTED_VALUE"""),43431.64583333333)</f>
        <v>43431.64583</v>
      </c>
      <c r="B1694" s="1">
        <f>IFERROR(__xludf.DUMMYFUNCTION("""COMPUTED_VALUE"""),9250.0)</f>
        <v>9250</v>
      </c>
      <c r="C1694" s="1">
        <f>IFERROR(__xludf.DUMMYFUNCTION("""COMPUTED_VALUE"""),9510.0)</f>
        <v>9510</v>
      </c>
      <c r="D1694" s="1">
        <f>IFERROR(__xludf.DUMMYFUNCTION("""COMPUTED_VALUE"""),9120.0)</f>
        <v>9120</v>
      </c>
      <c r="E1694" s="1">
        <f>IFERROR(__xludf.DUMMYFUNCTION("""COMPUTED_VALUE"""),9480.0)</f>
        <v>9480</v>
      </c>
      <c r="F1694" s="1">
        <f>IFERROR(__xludf.DUMMYFUNCTION("""COMPUTED_VALUE"""),297742.0)</f>
        <v>297742</v>
      </c>
    </row>
    <row r="1695">
      <c r="A1695" s="2">
        <f>IFERROR(__xludf.DUMMYFUNCTION("""COMPUTED_VALUE"""),43432.64583333333)</f>
        <v>43432.64583</v>
      </c>
      <c r="B1695" s="1">
        <f>IFERROR(__xludf.DUMMYFUNCTION("""COMPUTED_VALUE"""),9380.0)</f>
        <v>9380</v>
      </c>
      <c r="C1695" s="1">
        <f>IFERROR(__xludf.DUMMYFUNCTION("""COMPUTED_VALUE"""),10200.0)</f>
        <v>10200</v>
      </c>
      <c r="D1695" s="1">
        <f>IFERROR(__xludf.DUMMYFUNCTION("""COMPUTED_VALUE"""),9220.0)</f>
        <v>9220</v>
      </c>
      <c r="E1695" s="1">
        <f>IFERROR(__xludf.DUMMYFUNCTION("""COMPUTED_VALUE"""),10100.0)</f>
        <v>10100</v>
      </c>
      <c r="F1695" s="1">
        <f>IFERROR(__xludf.DUMMYFUNCTION("""COMPUTED_VALUE"""),1396419.0)</f>
        <v>1396419</v>
      </c>
    </row>
    <row r="1696">
      <c r="A1696" s="2">
        <f>IFERROR(__xludf.DUMMYFUNCTION("""COMPUTED_VALUE"""),43433.64583333333)</f>
        <v>43433.64583</v>
      </c>
      <c r="B1696" s="1">
        <f>IFERROR(__xludf.DUMMYFUNCTION("""COMPUTED_VALUE"""),9930.0)</f>
        <v>9930</v>
      </c>
      <c r="C1696" s="1">
        <f>IFERROR(__xludf.DUMMYFUNCTION("""COMPUTED_VALUE"""),10150.0)</f>
        <v>10150</v>
      </c>
      <c r="D1696" s="1">
        <f>IFERROR(__xludf.DUMMYFUNCTION("""COMPUTED_VALUE"""),9640.0)</f>
        <v>9640</v>
      </c>
      <c r="E1696" s="1">
        <f>IFERROR(__xludf.DUMMYFUNCTION("""COMPUTED_VALUE"""),9640.0)</f>
        <v>9640</v>
      </c>
      <c r="F1696" s="1">
        <f>IFERROR(__xludf.DUMMYFUNCTION("""COMPUTED_VALUE"""),847925.0)</f>
        <v>847925</v>
      </c>
    </row>
    <row r="1697">
      <c r="A1697" s="2">
        <f>IFERROR(__xludf.DUMMYFUNCTION("""COMPUTED_VALUE"""),43434.64583333333)</f>
        <v>43434.64583</v>
      </c>
      <c r="B1697" s="1">
        <f>IFERROR(__xludf.DUMMYFUNCTION("""COMPUTED_VALUE"""),9710.0)</f>
        <v>9710</v>
      </c>
      <c r="C1697" s="1">
        <f>IFERROR(__xludf.DUMMYFUNCTION("""COMPUTED_VALUE"""),9860.0)</f>
        <v>9860</v>
      </c>
      <c r="D1697" s="1">
        <f>IFERROR(__xludf.DUMMYFUNCTION("""COMPUTED_VALUE"""),9380.0)</f>
        <v>9380</v>
      </c>
      <c r="E1697" s="1">
        <f>IFERROR(__xludf.DUMMYFUNCTION("""COMPUTED_VALUE"""),9500.0)</f>
        <v>9500</v>
      </c>
      <c r="F1697" s="1">
        <f>IFERROR(__xludf.DUMMYFUNCTION("""COMPUTED_VALUE"""),382606.0)</f>
        <v>382606</v>
      </c>
    </row>
    <row r="1698">
      <c r="A1698" s="2">
        <f>IFERROR(__xludf.DUMMYFUNCTION("""COMPUTED_VALUE"""),43437.64583333333)</f>
        <v>43437.64583</v>
      </c>
      <c r="B1698" s="1">
        <f>IFERROR(__xludf.DUMMYFUNCTION("""COMPUTED_VALUE"""),9670.0)</f>
        <v>9670</v>
      </c>
      <c r="C1698" s="1">
        <f>IFERROR(__xludf.DUMMYFUNCTION("""COMPUTED_VALUE"""),10100.0)</f>
        <v>10100</v>
      </c>
      <c r="D1698" s="1">
        <f>IFERROR(__xludf.DUMMYFUNCTION("""COMPUTED_VALUE"""),9560.0)</f>
        <v>9560</v>
      </c>
      <c r="E1698" s="1">
        <f>IFERROR(__xludf.DUMMYFUNCTION("""COMPUTED_VALUE"""),10050.0)</f>
        <v>10050</v>
      </c>
      <c r="F1698" s="1">
        <f>IFERROR(__xludf.DUMMYFUNCTION("""COMPUTED_VALUE"""),635843.0)</f>
        <v>635843</v>
      </c>
    </row>
    <row r="1699">
      <c r="A1699" s="2">
        <f>IFERROR(__xludf.DUMMYFUNCTION("""COMPUTED_VALUE"""),43438.64583333333)</f>
        <v>43438.64583</v>
      </c>
      <c r="B1699" s="1">
        <f>IFERROR(__xludf.DUMMYFUNCTION("""COMPUTED_VALUE"""),10350.0)</f>
        <v>10350</v>
      </c>
      <c r="C1699" s="1">
        <f>IFERROR(__xludf.DUMMYFUNCTION("""COMPUTED_VALUE"""),11550.0)</f>
        <v>11550</v>
      </c>
      <c r="D1699" s="1">
        <f>IFERROR(__xludf.DUMMYFUNCTION("""COMPUTED_VALUE"""),10150.0)</f>
        <v>10150</v>
      </c>
      <c r="E1699" s="1">
        <f>IFERROR(__xludf.DUMMYFUNCTION("""COMPUTED_VALUE"""),10900.0)</f>
        <v>10900</v>
      </c>
      <c r="F1699" s="1">
        <f>IFERROR(__xludf.DUMMYFUNCTION("""COMPUTED_VALUE"""),3574244.0)</f>
        <v>3574244</v>
      </c>
    </row>
    <row r="1700">
      <c r="A1700" s="2">
        <f>IFERROR(__xludf.DUMMYFUNCTION("""COMPUTED_VALUE"""),43439.64583333333)</f>
        <v>43439.64583</v>
      </c>
      <c r="B1700" s="1">
        <f>IFERROR(__xludf.DUMMYFUNCTION("""COMPUTED_VALUE"""),10750.0)</f>
        <v>10750</v>
      </c>
      <c r="C1700" s="1">
        <f>IFERROR(__xludf.DUMMYFUNCTION("""COMPUTED_VALUE"""),11100.0)</f>
        <v>11100</v>
      </c>
      <c r="D1700" s="1">
        <f>IFERROR(__xludf.DUMMYFUNCTION("""COMPUTED_VALUE"""),10700.0)</f>
        <v>10700</v>
      </c>
      <c r="E1700" s="1">
        <f>IFERROR(__xludf.DUMMYFUNCTION("""COMPUTED_VALUE"""),10850.0)</f>
        <v>10850</v>
      </c>
      <c r="F1700" s="1">
        <f>IFERROR(__xludf.DUMMYFUNCTION("""COMPUTED_VALUE"""),692253.0)</f>
        <v>692253</v>
      </c>
    </row>
    <row r="1701">
      <c r="A1701" s="2">
        <f>IFERROR(__xludf.DUMMYFUNCTION("""COMPUTED_VALUE"""),43440.64583333333)</f>
        <v>43440.64583</v>
      </c>
      <c r="B1701" s="1">
        <f>IFERROR(__xludf.DUMMYFUNCTION("""COMPUTED_VALUE"""),10700.0)</f>
        <v>10700</v>
      </c>
      <c r="C1701" s="1">
        <f>IFERROR(__xludf.DUMMYFUNCTION("""COMPUTED_VALUE"""),10850.0)</f>
        <v>10850</v>
      </c>
      <c r="D1701" s="1">
        <f>IFERROR(__xludf.DUMMYFUNCTION("""COMPUTED_VALUE"""),10350.0)</f>
        <v>10350</v>
      </c>
      <c r="E1701" s="1">
        <f>IFERROR(__xludf.DUMMYFUNCTION("""COMPUTED_VALUE"""),10650.0)</f>
        <v>10650</v>
      </c>
      <c r="F1701" s="1">
        <f>IFERROR(__xludf.DUMMYFUNCTION("""COMPUTED_VALUE"""),464896.0)</f>
        <v>464896</v>
      </c>
    </row>
    <row r="1702">
      <c r="A1702" s="2">
        <f>IFERROR(__xludf.DUMMYFUNCTION("""COMPUTED_VALUE"""),43441.64583333333)</f>
        <v>43441.64583</v>
      </c>
      <c r="B1702" s="1">
        <f>IFERROR(__xludf.DUMMYFUNCTION("""COMPUTED_VALUE"""),10950.0)</f>
        <v>10950</v>
      </c>
      <c r="C1702" s="1">
        <f>IFERROR(__xludf.DUMMYFUNCTION("""COMPUTED_VALUE"""),11400.0)</f>
        <v>11400</v>
      </c>
      <c r="D1702" s="1">
        <f>IFERROR(__xludf.DUMMYFUNCTION("""COMPUTED_VALUE"""),10800.0)</f>
        <v>10800</v>
      </c>
      <c r="E1702" s="1">
        <f>IFERROR(__xludf.DUMMYFUNCTION("""COMPUTED_VALUE"""),11050.0)</f>
        <v>11050</v>
      </c>
      <c r="F1702" s="1">
        <f>IFERROR(__xludf.DUMMYFUNCTION("""COMPUTED_VALUE"""),1170177.0)</f>
        <v>1170177</v>
      </c>
    </row>
    <row r="1703">
      <c r="A1703" s="2">
        <f>IFERROR(__xludf.DUMMYFUNCTION("""COMPUTED_VALUE"""),43444.64583333333)</f>
        <v>43444.64583</v>
      </c>
      <c r="B1703" s="1">
        <f>IFERROR(__xludf.DUMMYFUNCTION("""COMPUTED_VALUE"""),10650.0)</f>
        <v>10650</v>
      </c>
      <c r="C1703" s="1">
        <f>IFERROR(__xludf.DUMMYFUNCTION("""COMPUTED_VALUE"""),11350.0)</f>
        <v>11350</v>
      </c>
      <c r="D1703" s="1">
        <f>IFERROR(__xludf.DUMMYFUNCTION("""COMPUTED_VALUE"""),10650.0)</f>
        <v>10650</v>
      </c>
      <c r="E1703" s="1">
        <f>IFERROR(__xludf.DUMMYFUNCTION("""COMPUTED_VALUE"""),11150.0)</f>
        <v>11150</v>
      </c>
      <c r="F1703" s="1">
        <f>IFERROR(__xludf.DUMMYFUNCTION("""COMPUTED_VALUE"""),768855.0)</f>
        <v>768855</v>
      </c>
    </row>
    <row r="1704">
      <c r="A1704" s="2">
        <f>IFERROR(__xludf.DUMMYFUNCTION("""COMPUTED_VALUE"""),43445.64583333333)</f>
        <v>43445.64583</v>
      </c>
      <c r="B1704" s="1">
        <f>IFERROR(__xludf.DUMMYFUNCTION("""COMPUTED_VALUE"""),11450.0)</f>
        <v>11450</v>
      </c>
      <c r="C1704" s="1">
        <f>IFERROR(__xludf.DUMMYFUNCTION("""COMPUTED_VALUE"""),11450.0)</f>
        <v>11450</v>
      </c>
      <c r="D1704" s="1">
        <f>IFERROR(__xludf.DUMMYFUNCTION("""COMPUTED_VALUE"""),10200.0)</f>
        <v>10200</v>
      </c>
      <c r="E1704" s="1">
        <f>IFERROR(__xludf.DUMMYFUNCTION("""COMPUTED_VALUE"""),10200.0)</f>
        <v>10200</v>
      </c>
      <c r="F1704" s="1">
        <f>IFERROR(__xludf.DUMMYFUNCTION("""COMPUTED_VALUE"""),862889.0)</f>
        <v>862889</v>
      </c>
    </row>
    <row r="1705">
      <c r="A1705" s="2">
        <f>IFERROR(__xludf.DUMMYFUNCTION("""COMPUTED_VALUE"""),43446.64583333333)</f>
        <v>43446.64583</v>
      </c>
      <c r="B1705" s="1">
        <f>IFERROR(__xludf.DUMMYFUNCTION("""COMPUTED_VALUE"""),10150.0)</f>
        <v>10150</v>
      </c>
      <c r="C1705" s="1">
        <f>IFERROR(__xludf.DUMMYFUNCTION("""COMPUTED_VALUE"""),10400.0)</f>
        <v>10400</v>
      </c>
      <c r="D1705" s="1">
        <f>IFERROR(__xludf.DUMMYFUNCTION("""COMPUTED_VALUE"""),9660.0)</f>
        <v>9660</v>
      </c>
      <c r="E1705" s="1">
        <f>IFERROR(__xludf.DUMMYFUNCTION("""COMPUTED_VALUE"""),9780.0)</f>
        <v>9780</v>
      </c>
      <c r="F1705" s="1">
        <f>IFERROR(__xludf.DUMMYFUNCTION("""COMPUTED_VALUE"""),584767.0)</f>
        <v>584767</v>
      </c>
    </row>
    <row r="1706">
      <c r="A1706" s="2">
        <f>IFERROR(__xludf.DUMMYFUNCTION("""COMPUTED_VALUE"""),43447.64583333333)</f>
        <v>43447.64583</v>
      </c>
      <c r="B1706" s="1">
        <f>IFERROR(__xludf.DUMMYFUNCTION("""COMPUTED_VALUE"""),9780.0)</f>
        <v>9780</v>
      </c>
      <c r="C1706" s="1">
        <f>IFERROR(__xludf.DUMMYFUNCTION("""COMPUTED_VALUE"""),10250.0)</f>
        <v>10250</v>
      </c>
      <c r="D1706" s="1">
        <f>IFERROR(__xludf.DUMMYFUNCTION("""COMPUTED_VALUE"""),9760.0)</f>
        <v>9760</v>
      </c>
      <c r="E1706" s="1">
        <f>IFERROR(__xludf.DUMMYFUNCTION("""COMPUTED_VALUE"""),10100.0)</f>
        <v>10100</v>
      </c>
      <c r="F1706" s="1">
        <f>IFERROR(__xludf.DUMMYFUNCTION("""COMPUTED_VALUE"""),618755.0)</f>
        <v>618755</v>
      </c>
    </row>
    <row r="1707">
      <c r="A1707" s="2">
        <f>IFERROR(__xludf.DUMMYFUNCTION("""COMPUTED_VALUE"""),43448.64583333333)</f>
        <v>43448.64583</v>
      </c>
      <c r="B1707" s="1">
        <f>IFERROR(__xludf.DUMMYFUNCTION("""COMPUTED_VALUE"""),10150.0)</f>
        <v>10150</v>
      </c>
      <c r="C1707" s="1">
        <f>IFERROR(__xludf.DUMMYFUNCTION("""COMPUTED_VALUE"""),10200.0)</f>
        <v>10200</v>
      </c>
      <c r="D1707" s="1">
        <f>IFERROR(__xludf.DUMMYFUNCTION("""COMPUTED_VALUE"""),9830.0)</f>
        <v>9830</v>
      </c>
      <c r="E1707" s="1">
        <f>IFERROR(__xludf.DUMMYFUNCTION("""COMPUTED_VALUE"""),9930.0)</f>
        <v>9930</v>
      </c>
      <c r="F1707" s="1">
        <f>IFERROR(__xludf.DUMMYFUNCTION("""COMPUTED_VALUE"""),294683.0)</f>
        <v>294683</v>
      </c>
    </row>
    <row r="1708">
      <c r="A1708" s="2">
        <f>IFERROR(__xludf.DUMMYFUNCTION("""COMPUTED_VALUE"""),43451.64583333333)</f>
        <v>43451.64583</v>
      </c>
      <c r="B1708" s="1">
        <f>IFERROR(__xludf.DUMMYFUNCTION("""COMPUTED_VALUE"""),9760.0)</f>
        <v>9760</v>
      </c>
      <c r="C1708" s="1">
        <f>IFERROR(__xludf.DUMMYFUNCTION("""COMPUTED_VALUE"""),9800.0)</f>
        <v>9800</v>
      </c>
      <c r="D1708" s="1">
        <f>IFERROR(__xludf.DUMMYFUNCTION("""COMPUTED_VALUE"""),9390.0)</f>
        <v>9390</v>
      </c>
      <c r="E1708" s="1">
        <f>IFERROR(__xludf.DUMMYFUNCTION("""COMPUTED_VALUE"""),9400.0)</f>
        <v>9400</v>
      </c>
      <c r="F1708" s="1">
        <f>IFERROR(__xludf.DUMMYFUNCTION("""COMPUTED_VALUE"""),324411.0)</f>
        <v>324411</v>
      </c>
    </row>
    <row r="1709">
      <c r="A1709" s="2">
        <f>IFERROR(__xludf.DUMMYFUNCTION("""COMPUTED_VALUE"""),43452.64583333333)</f>
        <v>43452.64583</v>
      </c>
      <c r="B1709" s="1">
        <f>IFERROR(__xludf.DUMMYFUNCTION("""COMPUTED_VALUE"""),9170.0)</f>
        <v>9170</v>
      </c>
      <c r="C1709" s="1">
        <f>IFERROR(__xludf.DUMMYFUNCTION("""COMPUTED_VALUE"""),9680.0)</f>
        <v>9680</v>
      </c>
      <c r="D1709" s="1">
        <f>IFERROR(__xludf.DUMMYFUNCTION("""COMPUTED_VALUE"""),9170.0)</f>
        <v>9170</v>
      </c>
      <c r="E1709" s="1">
        <f>IFERROR(__xludf.DUMMYFUNCTION("""COMPUTED_VALUE"""),9400.0)</f>
        <v>9400</v>
      </c>
      <c r="F1709" s="1">
        <f>IFERROR(__xludf.DUMMYFUNCTION("""COMPUTED_VALUE"""),197341.0)</f>
        <v>197341</v>
      </c>
    </row>
    <row r="1710">
      <c r="A1710" s="2">
        <f>IFERROR(__xludf.DUMMYFUNCTION("""COMPUTED_VALUE"""),43453.64583333333)</f>
        <v>43453.64583</v>
      </c>
      <c r="B1710" s="1">
        <f>IFERROR(__xludf.DUMMYFUNCTION("""COMPUTED_VALUE"""),9500.0)</f>
        <v>9500</v>
      </c>
      <c r="C1710" s="1">
        <f>IFERROR(__xludf.DUMMYFUNCTION("""COMPUTED_VALUE"""),9600.0)</f>
        <v>9600</v>
      </c>
      <c r="D1710" s="1">
        <f>IFERROR(__xludf.DUMMYFUNCTION("""COMPUTED_VALUE"""),9370.0)</f>
        <v>9370</v>
      </c>
      <c r="E1710" s="1">
        <f>IFERROR(__xludf.DUMMYFUNCTION("""COMPUTED_VALUE"""),9450.0)</f>
        <v>9450</v>
      </c>
      <c r="F1710" s="1">
        <f>IFERROR(__xludf.DUMMYFUNCTION("""COMPUTED_VALUE"""),127080.0)</f>
        <v>127080</v>
      </c>
    </row>
    <row r="1711">
      <c r="A1711" s="2">
        <f>IFERROR(__xludf.DUMMYFUNCTION("""COMPUTED_VALUE"""),43454.64583333333)</f>
        <v>43454.64583</v>
      </c>
      <c r="B1711" s="1">
        <f>IFERROR(__xludf.DUMMYFUNCTION("""COMPUTED_VALUE"""),10250.0)</f>
        <v>10250</v>
      </c>
      <c r="C1711" s="1">
        <f>IFERROR(__xludf.DUMMYFUNCTION("""COMPUTED_VALUE"""),11250.0)</f>
        <v>11250</v>
      </c>
      <c r="D1711" s="1">
        <f>IFERROR(__xludf.DUMMYFUNCTION("""COMPUTED_VALUE"""),9900.0)</f>
        <v>9900</v>
      </c>
      <c r="E1711" s="1">
        <f>IFERROR(__xludf.DUMMYFUNCTION("""COMPUTED_VALUE"""),10050.0)</f>
        <v>10050</v>
      </c>
      <c r="F1711" s="1">
        <f>IFERROR(__xludf.DUMMYFUNCTION("""COMPUTED_VALUE"""),3060810.0)</f>
        <v>3060810</v>
      </c>
    </row>
    <row r="1712">
      <c r="A1712" s="2">
        <f>IFERROR(__xludf.DUMMYFUNCTION("""COMPUTED_VALUE"""),43455.64583333333)</f>
        <v>43455.64583</v>
      </c>
      <c r="B1712" s="1">
        <f>IFERROR(__xludf.DUMMYFUNCTION("""COMPUTED_VALUE"""),10400.0)</f>
        <v>10400</v>
      </c>
      <c r="C1712" s="1">
        <f>IFERROR(__xludf.DUMMYFUNCTION("""COMPUTED_VALUE"""),10650.0)</f>
        <v>10650</v>
      </c>
      <c r="D1712" s="1">
        <f>IFERROR(__xludf.DUMMYFUNCTION("""COMPUTED_VALUE"""),10150.0)</f>
        <v>10150</v>
      </c>
      <c r="E1712" s="1">
        <f>IFERROR(__xludf.DUMMYFUNCTION("""COMPUTED_VALUE"""),10400.0)</f>
        <v>10400</v>
      </c>
      <c r="F1712" s="1">
        <f>IFERROR(__xludf.DUMMYFUNCTION("""COMPUTED_VALUE"""),891897.0)</f>
        <v>891897</v>
      </c>
    </row>
    <row r="1713">
      <c r="A1713" s="2">
        <f>IFERROR(__xludf.DUMMYFUNCTION("""COMPUTED_VALUE"""),43458.64583333333)</f>
        <v>43458.64583</v>
      </c>
      <c r="B1713" s="1">
        <f>IFERROR(__xludf.DUMMYFUNCTION("""COMPUTED_VALUE"""),10700.0)</f>
        <v>10700</v>
      </c>
      <c r="C1713" s="1">
        <f>IFERROR(__xludf.DUMMYFUNCTION("""COMPUTED_VALUE"""),10900.0)</f>
        <v>10900</v>
      </c>
      <c r="D1713" s="1">
        <f>IFERROR(__xludf.DUMMYFUNCTION("""COMPUTED_VALUE"""),10400.0)</f>
        <v>10400</v>
      </c>
      <c r="E1713" s="1">
        <f>IFERROR(__xludf.DUMMYFUNCTION("""COMPUTED_VALUE"""),10500.0)</f>
        <v>10500</v>
      </c>
      <c r="F1713" s="1">
        <f>IFERROR(__xludf.DUMMYFUNCTION("""COMPUTED_VALUE"""),717452.0)</f>
        <v>717452</v>
      </c>
    </row>
    <row r="1714">
      <c r="A1714" s="2">
        <f>IFERROR(__xludf.DUMMYFUNCTION("""COMPUTED_VALUE"""),43460.64583333333)</f>
        <v>43460.64583</v>
      </c>
      <c r="B1714" s="1">
        <f>IFERROR(__xludf.DUMMYFUNCTION("""COMPUTED_VALUE"""),10300.0)</f>
        <v>10300</v>
      </c>
      <c r="C1714" s="1">
        <f>IFERROR(__xludf.DUMMYFUNCTION("""COMPUTED_VALUE"""),10500.0)</f>
        <v>10500</v>
      </c>
      <c r="D1714" s="1">
        <f>IFERROR(__xludf.DUMMYFUNCTION("""COMPUTED_VALUE"""),10150.0)</f>
        <v>10150</v>
      </c>
      <c r="E1714" s="1">
        <f>IFERROR(__xludf.DUMMYFUNCTION("""COMPUTED_VALUE"""),10300.0)</f>
        <v>10300</v>
      </c>
      <c r="F1714" s="1">
        <f>IFERROR(__xludf.DUMMYFUNCTION("""COMPUTED_VALUE"""),362367.0)</f>
        <v>362367</v>
      </c>
    </row>
    <row r="1715">
      <c r="A1715" s="2">
        <f>IFERROR(__xludf.DUMMYFUNCTION("""COMPUTED_VALUE"""),43461.64583333333)</f>
        <v>43461.64583</v>
      </c>
      <c r="B1715" s="1">
        <f>IFERROR(__xludf.DUMMYFUNCTION("""COMPUTED_VALUE"""),10400.0)</f>
        <v>10400</v>
      </c>
      <c r="C1715" s="1">
        <f>IFERROR(__xludf.DUMMYFUNCTION("""COMPUTED_VALUE"""),10750.0)</f>
        <v>10750</v>
      </c>
      <c r="D1715" s="1">
        <f>IFERROR(__xludf.DUMMYFUNCTION("""COMPUTED_VALUE"""),10250.0)</f>
        <v>10250</v>
      </c>
      <c r="E1715" s="1">
        <f>IFERROR(__xludf.DUMMYFUNCTION("""COMPUTED_VALUE"""),10550.0)</f>
        <v>10550</v>
      </c>
      <c r="F1715" s="1">
        <f>IFERROR(__xludf.DUMMYFUNCTION("""COMPUTED_VALUE"""),425031.0)</f>
        <v>425031</v>
      </c>
    </row>
    <row r="1716">
      <c r="A1716" s="2">
        <f>IFERROR(__xludf.DUMMYFUNCTION("""COMPUTED_VALUE"""),43462.64583333333)</f>
        <v>43462.64583</v>
      </c>
      <c r="B1716" s="1">
        <f>IFERROR(__xludf.DUMMYFUNCTION("""COMPUTED_VALUE"""),10600.0)</f>
        <v>10600</v>
      </c>
      <c r="C1716" s="1">
        <f>IFERROR(__xludf.DUMMYFUNCTION("""COMPUTED_VALUE"""),10800.0)</f>
        <v>10800</v>
      </c>
      <c r="D1716" s="1">
        <f>IFERROR(__xludf.DUMMYFUNCTION("""COMPUTED_VALUE"""),10500.0)</f>
        <v>10500</v>
      </c>
      <c r="E1716" s="1">
        <f>IFERROR(__xludf.DUMMYFUNCTION("""COMPUTED_VALUE"""),10800.0)</f>
        <v>10800</v>
      </c>
      <c r="F1716" s="1">
        <f>IFERROR(__xludf.DUMMYFUNCTION("""COMPUTED_VALUE"""),317767.0)</f>
        <v>317767</v>
      </c>
    </row>
    <row r="1717">
      <c r="A1717" s="2">
        <f>IFERROR(__xludf.DUMMYFUNCTION("""COMPUTED_VALUE"""),43467.64583333333)</f>
        <v>43467.64583</v>
      </c>
      <c r="B1717" s="1">
        <f>IFERROR(__xludf.DUMMYFUNCTION("""COMPUTED_VALUE"""),11050.0)</f>
        <v>11050</v>
      </c>
      <c r="C1717" s="1">
        <f>IFERROR(__xludf.DUMMYFUNCTION("""COMPUTED_VALUE"""),11100.0)</f>
        <v>11100</v>
      </c>
      <c r="D1717" s="1">
        <f>IFERROR(__xludf.DUMMYFUNCTION("""COMPUTED_VALUE"""),10250.0)</f>
        <v>10250</v>
      </c>
      <c r="E1717" s="1">
        <f>IFERROR(__xludf.DUMMYFUNCTION("""COMPUTED_VALUE"""),10350.0)</f>
        <v>10350</v>
      </c>
      <c r="F1717" s="1">
        <f>IFERROR(__xludf.DUMMYFUNCTION("""COMPUTED_VALUE"""),451286.0)</f>
        <v>451286</v>
      </c>
    </row>
    <row r="1718">
      <c r="A1718" s="2">
        <f>IFERROR(__xludf.DUMMYFUNCTION("""COMPUTED_VALUE"""),43468.64583333333)</f>
        <v>43468.64583</v>
      </c>
      <c r="B1718" s="1">
        <f>IFERROR(__xludf.DUMMYFUNCTION("""COMPUTED_VALUE"""),10500.0)</f>
        <v>10500</v>
      </c>
      <c r="C1718" s="1">
        <f>IFERROR(__xludf.DUMMYFUNCTION("""COMPUTED_VALUE"""),11300.0)</f>
        <v>11300</v>
      </c>
      <c r="D1718" s="1">
        <f>IFERROR(__xludf.DUMMYFUNCTION("""COMPUTED_VALUE"""),10000.0)</f>
        <v>10000</v>
      </c>
      <c r="E1718" s="1">
        <f>IFERROR(__xludf.DUMMYFUNCTION("""COMPUTED_VALUE"""),10850.0)</f>
        <v>10850</v>
      </c>
      <c r="F1718" s="1">
        <f>IFERROR(__xludf.DUMMYFUNCTION("""COMPUTED_VALUE"""),1246149.0)</f>
        <v>1246149</v>
      </c>
    </row>
    <row r="1719">
      <c r="A1719" s="2">
        <f>IFERROR(__xludf.DUMMYFUNCTION("""COMPUTED_VALUE"""),43469.64583333333)</f>
        <v>43469.64583</v>
      </c>
      <c r="B1719" s="1">
        <f>IFERROR(__xludf.DUMMYFUNCTION("""COMPUTED_VALUE"""),10750.0)</f>
        <v>10750</v>
      </c>
      <c r="C1719" s="1">
        <f>IFERROR(__xludf.DUMMYFUNCTION("""COMPUTED_VALUE"""),10800.0)</f>
        <v>10800</v>
      </c>
      <c r="D1719" s="1">
        <f>IFERROR(__xludf.DUMMYFUNCTION("""COMPUTED_VALUE"""),10450.0)</f>
        <v>10450</v>
      </c>
      <c r="E1719" s="1">
        <f>IFERROR(__xludf.DUMMYFUNCTION("""COMPUTED_VALUE"""),10700.0)</f>
        <v>10700</v>
      </c>
      <c r="F1719" s="1">
        <f>IFERROR(__xludf.DUMMYFUNCTION("""COMPUTED_VALUE"""),396482.0)</f>
        <v>396482</v>
      </c>
    </row>
    <row r="1720">
      <c r="A1720" s="2">
        <f>IFERROR(__xludf.DUMMYFUNCTION("""COMPUTED_VALUE"""),43472.64583333333)</f>
        <v>43472.64583</v>
      </c>
      <c r="B1720" s="1">
        <f>IFERROR(__xludf.DUMMYFUNCTION("""COMPUTED_VALUE"""),10950.0)</f>
        <v>10950</v>
      </c>
      <c r="C1720" s="1">
        <f>IFERROR(__xludf.DUMMYFUNCTION("""COMPUTED_VALUE"""),11200.0)</f>
        <v>11200</v>
      </c>
      <c r="D1720" s="1">
        <f>IFERROR(__xludf.DUMMYFUNCTION("""COMPUTED_VALUE"""),10750.0)</f>
        <v>10750</v>
      </c>
      <c r="E1720" s="1">
        <f>IFERROR(__xludf.DUMMYFUNCTION("""COMPUTED_VALUE"""),11200.0)</f>
        <v>11200</v>
      </c>
      <c r="F1720" s="1">
        <f>IFERROR(__xludf.DUMMYFUNCTION("""COMPUTED_VALUE"""),544301.0)</f>
        <v>544301</v>
      </c>
    </row>
    <row r="1721">
      <c r="A1721" s="2">
        <f>IFERROR(__xludf.DUMMYFUNCTION("""COMPUTED_VALUE"""),43473.64583333333)</f>
        <v>43473.64583</v>
      </c>
      <c r="B1721" s="1">
        <f>IFERROR(__xludf.DUMMYFUNCTION("""COMPUTED_VALUE"""),11450.0)</f>
        <v>11450</v>
      </c>
      <c r="C1721" s="1">
        <f>IFERROR(__xludf.DUMMYFUNCTION("""COMPUTED_VALUE"""),11700.0)</f>
        <v>11700</v>
      </c>
      <c r="D1721" s="1">
        <f>IFERROR(__xludf.DUMMYFUNCTION("""COMPUTED_VALUE"""),10850.0)</f>
        <v>10850</v>
      </c>
      <c r="E1721" s="1">
        <f>IFERROR(__xludf.DUMMYFUNCTION("""COMPUTED_VALUE"""),11200.0)</f>
        <v>11200</v>
      </c>
      <c r="F1721" s="1">
        <f>IFERROR(__xludf.DUMMYFUNCTION("""COMPUTED_VALUE"""),1087227.0)</f>
        <v>1087227</v>
      </c>
    </row>
    <row r="1722">
      <c r="A1722" s="2">
        <f>IFERROR(__xludf.DUMMYFUNCTION("""COMPUTED_VALUE"""),43474.64583333333)</f>
        <v>43474.64583</v>
      </c>
      <c r="B1722" s="1">
        <f>IFERROR(__xludf.DUMMYFUNCTION("""COMPUTED_VALUE"""),11300.0)</f>
        <v>11300</v>
      </c>
      <c r="C1722" s="1">
        <f>IFERROR(__xludf.DUMMYFUNCTION("""COMPUTED_VALUE"""),11800.0)</f>
        <v>11800</v>
      </c>
      <c r="D1722" s="1">
        <f>IFERROR(__xludf.DUMMYFUNCTION("""COMPUTED_VALUE"""),11100.0)</f>
        <v>11100</v>
      </c>
      <c r="E1722" s="1">
        <f>IFERROR(__xludf.DUMMYFUNCTION("""COMPUTED_VALUE"""),11750.0)</f>
        <v>11750</v>
      </c>
      <c r="F1722" s="1">
        <f>IFERROR(__xludf.DUMMYFUNCTION("""COMPUTED_VALUE"""),897036.0)</f>
        <v>897036</v>
      </c>
    </row>
    <row r="1723">
      <c r="A1723" s="2">
        <f>IFERROR(__xludf.DUMMYFUNCTION("""COMPUTED_VALUE"""),43475.64583333333)</f>
        <v>43475.64583</v>
      </c>
      <c r="B1723" s="1">
        <f>IFERROR(__xludf.DUMMYFUNCTION("""COMPUTED_VALUE"""),11650.0)</f>
        <v>11650</v>
      </c>
      <c r="C1723" s="1">
        <f>IFERROR(__xludf.DUMMYFUNCTION("""COMPUTED_VALUE"""),11800.0)</f>
        <v>11800</v>
      </c>
      <c r="D1723" s="1">
        <f>IFERROR(__xludf.DUMMYFUNCTION("""COMPUTED_VALUE"""),11300.0)</f>
        <v>11300</v>
      </c>
      <c r="E1723" s="1">
        <f>IFERROR(__xludf.DUMMYFUNCTION("""COMPUTED_VALUE"""),11400.0)</f>
        <v>11400</v>
      </c>
      <c r="F1723" s="1">
        <f>IFERROR(__xludf.DUMMYFUNCTION("""COMPUTED_VALUE"""),401904.0)</f>
        <v>401904</v>
      </c>
    </row>
    <row r="1724">
      <c r="A1724" s="2">
        <f>IFERROR(__xludf.DUMMYFUNCTION("""COMPUTED_VALUE"""),43476.64583333333)</f>
        <v>43476.64583</v>
      </c>
      <c r="B1724" s="1">
        <f>IFERROR(__xludf.DUMMYFUNCTION("""COMPUTED_VALUE"""),11350.0)</f>
        <v>11350</v>
      </c>
      <c r="C1724" s="1">
        <f>IFERROR(__xludf.DUMMYFUNCTION("""COMPUTED_VALUE"""),12450.0)</f>
        <v>12450</v>
      </c>
      <c r="D1724" s="1">
        <f>IFERROR(__xludf.DUMMYFUNCTION("""COMPUTED_VALUE"""),11300.0)</f>
        <v>11300</v>
      </c>
      <c r="E1724" s="1">
        <f>IFERROR(__xludf.DUMMYFUNCTION("""COMPUTED_VALUE"""),12200.0)</f>
        <v>12200</v>
      </c>
      <c r="F1724" s="1">
        <f>IFERROR(__xludf.DUMMYFUNCTION("""COMPUTED_VALUE"""),1551466.0)</f>
        <v>1551466</v>
      </c>
    </row>
    <row r="1725">
      <c r="A1725" s="2">
        <f>IFERROR(__xludf.DUMMYFUNCTION("""COMPUTED_VALUE"""),43479.64583333333)</f>
        <v>43479.64583</v>
      </c>
      <c r="B1725" s="1">
        <f>IFERROR(__xludf.DUMMYFUNCTION("""COMPUTED_VALUE"""),12600.0)</f>
        <v>12600</v>
      </c>
      <c r="C1725" s="1">
        <f>IFERROR(__xludf.DUMMYFUNCTION("""COMPUTED_VALUE"""),15850.0)</f>
        <v>15850</v>
      </c>
      <c r="D1725" s="1">
        <f>IFERROR(__xludf.DUMMYFUNCTION("""COMPUTED_VALUE"""),12350.0)</f>
        <v>12350</v>
      </c>
      <c r="E1725" s="1">
        <f>IFERROR(__xludf.DUMMYFUNCTION("""COMPUTED_VALUE"""),15850.0)</f>
        <v>15850</v>
      </c>
      <c r="F1725" s="1">
        <f>IFERROR(__xludf.DUMMYFUNCTION("""COMPUTED_VALUE"""),7934004.0)</f>
        <v>7934004</v>
      </c>
    </row>
    <row r="1726">
      <c r="A1726" s="2">
        <f>IFERROR(__xludf.DUMMYFUNCTION("""COMPUTED_VALUE"""),43480.64583333333)</f>
        <v>43480.64583</v>
      </c>
      <c r="B1726" s="1">
        <f>IFERROR(__xludf.DUMMYFUNCTION("""COMPUTED_VALUE"""),16050.0)</f>
        <v>16050</v>
      </c>
      <c r="C1726" s="1">
        <f>IFERROR(__xludf.DUMMYFUNCTION("""COMPUTED_VALUE"""),17700.0)</f>
        <v>17700</v>
      </c>
      <c r="D1726" s="1">
        <f>IFERROR(__xludf.DUMMYFUNCTION("""COMPUTED_VALUE"""),15600.0)</f>
        <v>15600</v>
      </c>
      <c r="E1726" s="1">
        <f>IFERROR(__xludf.DUMMYFUNCTION("""COMPUTED_VALUE"""),16450.0)</f>
        <v>16450</v>
      </c>
      <c r="F1726" s="1">
        <f>IFERROR(__xludf.DUMMYFUNCTION("""COMPUTED_VALUE"""),8136289.0)</f>
        <v>8136289</v>
      </c>
    </row>
    <row r="1727">
      <c r="A1727" s="2">
        <f>IFERROR(__xludf.DUMMYFUNCTION("""COMPUTED_VALUE"""),43481.64583333333)</f>
        <v>43481.64583</v>
      </c>
      <c r="B1727" s="1">
        <f>IFERROR(__xludf.DUMMYFUNCTION("""COMPUTED_VALUE"""),16650.0)</f>
        <v>16650</v>
      </c>
      <c r="C1727" s="1">
        <f>IFERROR(__xludf.DUMMYFUNCTION("""COMPUTED_VALUE"""),17300.0)</f>
        <v>17300</v>
      </c>
      <c r="D1727" s="1">
        <f>IFERROR(__xludf.DUMMYFUNCTION("""COMPUTED_VALUE"""),16050.0)</f>
        <v>16050</v>
      </c>
      <c r="E1727" s="1">
        <f>IFERROR(__xludf.DUMMYFUNCTION("""COMPUTED_VALUE"""),16500.0)</f>
        <v>16500</v>
      </c>
      <c r="F1727" s="1">
        <f>IFERROR(__xludf.DUMMYFUNCTION("""COMPUTED_VALUE"""),3791465.0)</f>
        <v>3791465</v>
      </c>
    </row>
    <row r="1728">
      <c r="A1728" s="2">
        <f>IFERROR(__xludf.DUMMYFUNCTION("""COMPUTED_VALUE"""),43482.64583333333)</f>
        <v>43482.64583</v>
      </c>
      <c r="B1728" s="1">
        <f>IFERROR(__xludf.DUMMYFUNCTION("""COMPUTED_VALUE"""),17300.0)</f>
        <v>17300</v>
      </c>
      <c r="C1728" s="1">
        <f>IFERROR(__xludf.DUMMYFUNCTION("""COMPUTED_VALUE"""),17750.0)</f>
        <v>17750</v>
      </c>
      <c r="D1728" s="1">
        <f>IFERROR(__xludf.DUMMYFUNCTION("""COMPUTED_VALUE"""),16050.0)</f>
        <v>16050</v>
      </c>
      <c r="E1728" s="1">
        <f>IFERROR(__xludf.DUMMYFUNCTION("""COMPUTED_VALUE"""),17100.0)</f>
        <v>17100</v>
      </c>
      <c r="F1728" s="1">
        <f>IFERROR(__xludf.DUMMYFUNCTION("""COMPUTED_VALUE"""),3319265.0)</f>
        <v>3319265</v>
      </c>
    </row>
    <row r="1729">
      <c r="A1729" s="2">
        <f>IFERROR(__xludf.DUMMYFUNCTION("""COMPUTED_VALUE"""),43483.64583333333)</f>
        <v>43483.64583</v>
      </c>
      <c r="B1729" s="1">
        <f>IFERROR(__xludf.DUMMYFUNCTION("""COMPUTED_VALUE"""),17250.0)</f>
        <v>17250</v>
      </c>
      <c r="C1729" s="1">
        <f>IFERROR(__xludf.DUMMYFUNCTION("""COMPUTED_VALUE"""),20350.0)</f>
        <v>20350</v>
      </c>
      <c r="D1729" s="1">
        <f>IFERROR(__xludf.DUMMYFUNCTION("""COMPUTED_VALUE"""),16800.0)</f>
        <v>16800</v>
      </c>
      <c r="E1729" s="1">
        <f>IFERROR(__xludf.DUMMYFUNCTION("""COMPUTED_VALUE"""),18350.0)</f>
        <v>18350</v>
      </c>
      <c r="F1729" s="1">
        <f>IFERROR(__xludf.DUMMYFUNCTION("""COMPUTED_VALUE"""),7203420.0)</f>
        <v>7203420</v>
      </c>
    </row>
    <row r="1730">
      <c r="A1730" s="2">
        <f>IFERROR(__xludf.DUMMYFUNCTION("""COMPUTED_VALUE"""),43486.64583333333)</f>
        <v>43486.64583</v>
      </c>
      <c r="B1730" s="1">
        <f>IFERROR(__xludf.DUMMYFUNCTION("""COMPUTED_VALUE"""),18350.0)</f>
        <v>18350</v>
      </c>
      <c r="C1730" s="1">
        <f>IFERROR(__xludf.DUMMYFUNCTION("""COMPUTED_VALUE"""),19150.0)</f>
        <v>19150</v>
      </c>
      <c r="D1730" s="1">
        <f>IFERROR(__xludf.DUMMYFUNCTION("""COMPUTED_VALUE"""),17750.0)</f>
        <v>17750</v>
      </c>
      <c r="E1730" s="1">
        <f>IFERROR(__xludf.DUMMYFUNCTION("""COMPUTED_VALUE"""),18500.0)</f>
        <v>18500</v>
      </c>
      <c r="F1730" s="1">
        <f>IFERROR(__xludf.DUMMYFUNCTION("""COMPUTED_VALUE"""),1755216.0)</f>
        <v>1755216</v>
      </c>
    </row>
    <row r="1731">
      <c r="A1731" s="2">
        <f>IFERROR(__xludf.DUMMYFUNCTION("""COMPUTED_VALUE"""),43487.64583333333)</f>
        <v>43487.64583</v>
      </c>
      <c r="B1731" s="1">
        <f>IFERROR(__xludf.DUMMYFUNCTION("""COMPUTED_VALUE"""),18600.0)</f>
        <v>18600</v>
      </c>
      <c r="C1731" s="1">
        <f>IFERROR(__xludf.DUMMYFUNCTION("""COMPUTED_VALUE"""),21050.0)</f>
        <v>21050</v>
      </c>
      <c r="D1731" s="1">
        <f>IFERROR(__xludf.DUMMYFUNCTION("""COMPUTED_VALUE"""),18350.0)</f>
        <v>18350</v>
      </c>
      <c r="E1731" s="1">
        <f>IFERROR(__xludf.DUMMYFUNCTION("""COMPUTED_VALUE"""),19100.0)</f>
        <v>19100</v>
      </c>
      <c r="F1731" s="1">
        <f>IFERROR(__xludf.DUMMYFUNCTION("""COMPUTED_VALUE"""),4440470.0)</f>
        <v>4440470</v>
      </c>
    </row>
    <row r="1732">
      <c r="A1732" s="2">
        <f>IFERROR(__xludf.DUMMYFUNCTION("""COMPUTED_VALUE"""),43488.64583333333)</f>
        <v>43488.64583</v>
      </c>
      <c r="B1732" s="1">
        <f>IFERROR(__xludf.DUMMYFUNCTION("""COMPUTED_VALUE"""),18500.0)</f>
        <v>18500</v>
      </c>
      <c r="C1732" s="1">
        <f>IFERROR(__xludf.DUMMYFUNCTION("""COMPUTED_VALUE"""),20350.0)</f>
        <v>20350</v>
      </c>
      <c r="D1732" s="1">
        <f>IFERROR(__xludf.DUMMYFUNCTION("""COMPUTED_VALUE"""),18400.0)</f>
        <v>18400</v>
      </c>
      <c r="E1732" s="1">
        <f>IFERROR(__xludf.DUMMYFUNCTION("""COMPUTED_VALUE"""),19850.0)</f>
        <v>19850</v>
      </c>
      <c r="F1732" s="1">
        <f>IFERROR(__xludf.DUMMYFUNCTION("""COMPUTED_VALUE"""),2525345.0)</f>
        <v>2525345</v>
      </c>
    </row>
    <row r="1733">
      <c r="A1733" s="2">
        <f>IFERROR(__xludf.DUMMYFUNCTION("""COMPUTED_VALUE"""),43489.64583333333)</f>
        <v>43489.64583</v>
      </c>
      <c r="B1733" s="1">
        <f>IFERROR(__xludf.DUMMYFUNCTION("""COMPUTED_VALUE"""),21050.0)</f>
        <v>21050</v>
      </c>
      <c r="C1733" s="1">
        <f>IFERROR(__xludf.DUMMYFUNCTION("""COMPUTED_VALUE"""),24350.0)</f>
        <v>24350</v>
      </c>
      <c r="D1733" s="1">
        <f>IFERROR(__xludf.DUMMYFUNCTION("""COMPUTED_VALUE"""),20250.0)</f>
        <v>20250</v>
      </c>
      <c r="E1733" s="1">
        <f>IFERROR(__xludf.DUMMYFUNCTION("""COMPUTED_VALUE"""),21650.0)</f>
        <v>21650</v>
      </c>
      <c r="F1733" s="1">
        <f>IFERROR(__xludf.DUMMYFUNCTION("""COMPUTED_VALUE"""),1.0018235E7)</f>
        <v>10018235</v>
      </c>
    </row>
    <row r="1734">
      <c r="A1734" s="2">
        <f>IFERROR(__xludf.DUMMYFUNCTION("""COMPUTED_VALUE"""),43490.64583333333)</f>
        <v>43490.64583</v>
      </c>
      <c r="B1734" s="1">
        <f>IFERROR(__xludf.DUMMYFUNCTION("""COMPUTED_VALUE"""),21350.0)</f>
        <v>21350</v>
      </c>
      <c r="C1734" s="1">
        <f>IFERROR(__xludf.DUMMYFUNCTION("""COMPUTED_VALUE"""),22750.0)</f>
        <v>22750</v>
      </c>
      <c r="D1734" s="1">
        <f>IFERROR(__xludf.DUMMYFUNCTION("""COMPUTED_VALUE"""),21100.0)</f>
        <v>21100</v>
      </c>
      <c r="E1734" s="1">
        <f>IFERROR(__xludf.DUMMYFUNCTION("""COMPUTED_VALUE"""),21900.0)</f>
        <v>21900</v>
      </c>
      <c r="F1734" s="1">
        <f>IFERROR(__xludf.DUMMYFUNCTION("""COMPUTED_VALUE"""),2790377.0)</f>
        <v>2790377</v>
      </c>
    </row>
    <row r="1735">
      <c r="A1735" s="2">
        <f>IFERROR(__xludf.DUMMYFUNCTION("""COMPUTED_VALUE"""),43493.64583333333)</f>
        <v>43493.64583</v>
      </c>
      <c r="B1735" s="1">
        <f>IFERROR(__xludf.DUMMYFUNCTION("""COMPUTED_VALUE"""),21550.0)</f>
        <v>21550</v>
      </c>
      <c r="C1735" s="1">
        <f>IFERROR(__xludf.DUMMYFUNCTION("""COMPUTED_VALUE"""),21700.0)</f>
        <v>21700</v>
      </c>
      <c r="D1735" s="1">
        <f>IFERROR(__xludf.DUMMYFUNCTION("""COMPUTED_VALUE"""),20000.0)</f>
        <v>20000</v>
      </c>
      <c r="E1735" s="1">
        <f>IFERROR(__xludf.DUMMYFUNCTION("""COMPUTED_VALUE"""),20150.0)</f>
        <v>20150</v>
      </c>
      <c r="F1735" s="1">
        <f>IFERROR(__xludf.DUMMYFUNCTION("""COMPUTED_VALUE"""),1338709.0)</f>
        <v>1338709</v>
      </c>
    </row>
    <row r="1736">
      <c r="A1736" s="2">
        <f>IFERROR(__xludf.DUMMYFUNCTION("""COMPUTED_VALUE"""),43494.64583333333)</f>
        <v>43494.64583</v>
      </c>
      <c r="B1736" s="1">
        <f>IFERROR(__xludf.DUMMYFUNCTION("""COMPUTED_VALUE"""),20450.0)</f>
        <v>20450</v>
      </c>
      <c r="C1736" s="1">
        <f>IFERROR(__xludf.DUMMYFUNCTION("""COMPUTED_VALUE"""),20900.0)</f>
        <v>20900</v>
      </c>
      <c r="D1736" s="1">
        <f>IFERROR(__xludf.DUMMYFUNCTION("""COMPUTED_VALUE"""),19650.0)</f>
        <v>19650</v>
      </c>
      <c r="E1736" s="1">
        <f>IFERROR(__xludf.DUMMYFUNCTION("""COMPUTED_VALUE"""),20550.0)</f>
        <v>20550</v>
      </c>
      <c r="F1736" s="1">
        <f>IFERROR(__xludf.DUMMYFUNCTION("""COMPUTED_VALUE"""),1399103.0)</f>
        <v>1399103</v>
      </c>
    </row>
    <row r="1737">
      <c r="A1737" s="2">
        <f>IFERROR(__xludf.DUMMYFUNCTION("""COMPUTED_VALUE"""),43495.64583333333)</f>
        <v>43495.64583</v>
      </c>
      <c r="B1737" s="1">
        <f>IFERROR(__xludf.DUMMYFUNCTION("""COMPUTED_VALUE"""),20750.0)</f>
        <v>20750</v>
      </c>
      <c r="C1737" s="1">
        <f>IFERROR(__xludf.DUMMYFUNCTION("""COMPUTED_VALUE"""),21150.0)</f>
        <v>21150</v>
      </c>
      <c r="D1737" s="1">
        <f>IFERROR(__xludf.DUMMYFUNCTION("""COMPUTED_VALUE"""),19800.0)</f>
        <v>19800</v>
      </c>
      <c r="E1737" s="1">
        <f>IFERROR(__xludf.DUMMYFUNCTION("""COMPUTED_VALUE"""),19800.0)</f>
        <v>19800</v>
      </c>
      <c r="F1737" s="1">
        <f>IFERROR(__xludf.DUMMYFUNCTION("""COMPUTED_VALUE"""),968026.0)</f>
        <v>968026</v>
      </c>
    </row>
    <row r="1738">
      <c r="A1738" s="2">
        <f>IFERROR(__xludf.DUMMYFUNCTION("""COMPUTED_VALUE"""),43496.64583333333)</f>
        <v>43496.64583</v>
      </c>
      <c r="B1738" s="1">
        <f>IFERROR(__xludf.DUMMYFUNCTION("""COMPUTED_VALUE"""),20100.0)</f>
        <v>20100</v>
      </c>
      <c r="C1738" s="1">
        <f>IFERROR(__xludf.DUMMYFUNCTION("""COMPUTED_VALUE"""),22000.0)</f>
        <v>22000</v>
      </c>
      <c r="D1738" s="1">
        <f>IFERROR(__xludf.DUMMYFUNCTION("""COMPUTED_VALUE"""),19550.0)</f>
        <v>19550</v>
      </c>
      <c r="E1738" s="1">
        <f>IFERROR(__xludf.DUMMYFUNCTION("""COMPUTED_VALUE"""),21400.0)</f>
        <v>21400</v>
      </c>
      <c r="F1738" s="1">
        <f>IFERROR(__xludf.DUMMYFUNCTION("""COMPUTED_VALUE"""),1554427.0)</f>
        <v>1554427</v>
      </c>
    </row>
    <row r="1739">
      <c r="A1739" s="2">
        <f>IFERROR(__xludf.DUMMYFUNCTION("""COMPUTED_VALUE"""),43497.64583333333)</f>
        <v>43497.64583</v>
      </c>
      <c r="B1739" s="1">
        <f>IFERROR(__xludf.DUMMYFUNCTION("""COMPUTED_VALUE"""),21700.0)</f>
        <v>21700</v>
      </c>
      <c r="C1739" s="1">
        <f>IFERROR(__xludf.DUMMYFUNCTION("""COMPUTED_VALUE"""),21850.0)</f>
        <v>21850</v>
      </c>
      <c r="D1739" s="1">
        <f>IFERROR(__xludf.DUMMYFUNCTION("""COMPUTED_VALUE"""),21000.0)</f>
        <v>21000</v>
      </c>
      <c r="E1739" s="1">
        <f>IFERROR(__xludf.DUMMYFUNCTION("""COMPUTED_VALUE"""),21300.0)</f>
        <v>21300</v>
      </c>
      <c r="F1739" s="1">
        <f>IFERROR(__xludf.DUMMYFUNCTION("""COMPUTED_VALUE"""),1130624.0)</f>
        <v>1130624</v>
      </c>
    </row>
    <row r="1740">
      <c r="A1740" s="2">
        <f>IFERROR(__xludf.DUMMYFUNCTION("""COMPUTED_VALUE"""),43503.64583333333)</f>
        <v>43503.64583</v>
      </c>
      <c r="B1740" s="1">
        <f>IFERROR(__xludf.DUMMYFUNCTION("""COMPUTED_VALUE"""),22350.0)</f>
        <v>22350</v>
      </c>
      <c r="C1740" s="1">
        <f>IFERROR(__xludf.DUMMYFUNCTION("""COMPUTED_VALUE"""),22450.0)</f>
        <v>22450</v>
      </c>
      <c r="D1740" s="1">
        <f>IFERROR(__xludf.DUMMYFUNCTION("""COMPUTED_VALUE"""),20750.0)</f>
        <v>20750</v>
      </c>
      <c r="E1740" s="1">
        <f>IFERROR(__xludf.DUMMYFUNCTION("""COMPUTED_VALUE"""),21450.0)</f>
        <v>21450</v>
      </c>
      <c r="F1740" s="1">
        <f>IFERROR(__xludf.DUMMYFUNCTION("""COMPUTED_VALUE"""),924673.0)</f>
        <v>924673</v>
      </c>
    </row>
    <row r="1741">
      <c r="A1741" s="2">
        <f>IFERROR(__xludf.DUMMYFUNCTION("""COMPUTED_VALUE"""),43504.64583333333)</f>
        <v>43504.64583</v>
      </c>
      <c r="B1741" s="1">
        <f>IFERROR(__xludf.DUMMYFUNCTION("""COMPUTED_VALUE"""),21100.0)</f>
        <v>21100</v>
      </c>
      <c r="C1741" s="1">
        <f>IFERROR(__xludf.DUMMYFUNCTION("""COMPUTED_VALUE"""),22700.0)</f>
        <v>22700</v>
      </c>
      <c r="D1741" s="1">
        <f>IFERROR(__xludf.DUMMYFUNCTION("""COMPUTED_VALUE"""),20950.0)</f>
        <v>20950</v>
      </c>
      <c r="E1741" s="1">
        <f>IFERROR(__xludf.DUMMYFUNCTION("""COMPUTED_VALUE"""),21550.0)</f>
        <v>21550</v>
      </c>
      <c r="F1741" s="1">
        <f>IFERROR(__xludf.DUMMYFUNCTION("""COMPUTED_VALUE"""),1646352.0)</f>
        <v>1646352</v>
      </c>
    </row>
    <row r="1742">
      <c r="A1742" s="2">
        <f>IFERROR(__xludf.DUMMYFUNCTION("""COMPUTED_VALUE"""),43507.64583333333)</f>
        <v>43507.64583</v>
      </c>
      <c r="B1742" s="1">
        <f>IFERROR(__xludf.DUMMYFUNCTION("""COMPUTED_VALUE"""),21550.0)</f>
        <v>21550</v>
      </c>
      <c r="C1742" s="1">
        <f>IFERROR(__xludf.DUMMYFUNCTION("""COMPUTED_VALUE"""),21750.0)</f>
        <v>21750</v>
      </c>
      <c r="D1742" s="1">
        <f>IFERROR(__xludf.DUMMYFUNCTION("""COMPUTED_VALUE"""),20450.0)</f>
        <v>20450</v>
      </c>
      <c r="E1742" s="1">
        <f>IFERROR(__xludf.DUMMYFUNCTION("""COMPUTED_VALUE"""),20450.0)</f>
        <v>20450</v>
      </c>
      <c r="F1742" s="1">
        <f>IFERROR(__xludf.DUMMYFUNCTION("""COMPUTED_VALUE"""),630768.0)</f>
        <v>630768</v>
      </c>
    </row>
    <row r="1743">
      <c r="A1743" s="2">
        <f>IFERROR(__xludf.DUMMYFUNCTION("""COMPUTED_VALUE"""),43508.64583333333)</f>
        <v>43508.64583</v>
      </c>
      <c r="B1743" s="1">
        <f>IFERROR(__xludf.DUMMYFUNCTION("""COMPUTED_VALUE"""),20750.0)</f>
        <v>20750</v>
      </c>
      <c r="C1743" s="1">
        <f>IFERROR(__xludf.DUMMYFUNCTION("""COMPUTED_VALUE"""),21050.0)</f>
        <v>21050</v>
      </c>
      <c r="D1743" s="1">
        <f>IFERROR(__xludf.DUMMYFUNCTION("""COMPUTED_VALUE"""),20000.0)</f>
        <v>20000</v>
      </c>
      <c r="E1743" s="1">
        <f>IFERROR(__xludf.DUMMYFUNCTION("""COMPUTED_VALUE"""),20350.0)</f>
        <v>20350</v>
      </c>
      <c r="F1743" s="1">
        <f>IFERROR(__xludf.DUMMYFUNCTION("""COMPUTED_VALUE"""),444220.0)</f>
        <v>444220</v>
      </c>
    </row>
    <row r="1744">
      <c r="A1744" s="2">
        <f>IFERROR(__xludf.DUMMYFUNCTION("""COMPUTED_VALUE"""),43509.64583333333)</f>
        <v>43509.64583</v>
      </c>
      <c r="B1744" s="1">
        <f>IFERROR(__xludf.DUMMYFUNCTION("""COMPUTED_VALUE"""),20450.0)</f>
        <v>20450</v>
      </c>
      <c r="C1744" s="1">
        <f>IFERROR(__xludf.DUMMYFUNCTION("""COMPUTED_VALUE"""),21200.0)</f>
        <v>21200</v>
      </c>
      <c r="D1744" s="1">
        <f>IFERROR(__xludf.DUMMYFUNCTION("""COMPUTED_VALUE"""),20150.0)</f>
        <v>20150</v>
      </c>
      <c r="E1744" s="1">
        <f>IFERROR(__xludf.DUMMYFUNCTION("""COMPUTED_VALUE"""),21100.0)</f>
        <v>21100</v>
      </c>
      <c r="F1744" s="1">
        <f>IFERROR(__xludf.DUMMYFUNCTION("""COMPUTED_VALUE"""),520207.0)</f>
        <v>520207</v>
      </c>
    </row>
    <row r="1745">
      <c r="A1745" s="2">
        <f>IFERROR(__xludf.DUMMYFUNCTION("""COMPUTED_VALUE"""),43510.64583333333)</f>
        <v>43510.64583</v>
      </c>
      <c r="B1745" s="1">
        <f>IFERROR(__xludf.DUMMYFUNCTION("""COMPUTED_VALUE"""),21400.0)</f>
        <v>21400</v>
      </c>
      <c r="C1745" s="1">
        <f>IFERROR(__xludf.DUMMYFUNCTION("""COMPUTED_VALUE"""),21400.0)</f>
        <v>21400</v>
      </c>
      <c r="D1745" s="1">
        <f>IFERROR(__xludf.DUMMYFUNCTION("""COMPUTED_VALUE"""),20000.0)</f>
        <v>20000</v>
      </c>
      <c r="E1745" s="1">
        <f>IFERROR(__xludf.DUMMYFUNCTION("""COMPUTED_VALUE"""),20400.0)</f>
        <v>20400</v>
      </c>
      <c r="F1745" s="1">
        <f>IFERROR(__xludf.DUMMYFUNCTION("""COMPUTED_VALUE"""),567284.0)</f>
        <v>567284</v>
      </c>
    </row>
    <row r="1746">
      <c r="A1746" s="2">
        <f>IFERROR(__xludf.DUMMYFUNCTION("""COMPUTED_VALUE"""),43511.64583333333)</f>
        <v>43511.64583</v>
      </c>
      <c r="B1746" s="1">
        <f>IFERROR(__xludf.DUMMYFUNCTION("""COMPUTED_VALUE"""),20050.0)</f>
        <v>20050</v>
      </c>
      <c r="C1746" s="1">
        <f>IFERROR(__xludf.DUMMYFUNCTION("""COMPUTED_VALUE"""),20650.0)</f>
        <v>20650</v>
      </c>
      <c r="D1746" s="1">
        <f>IFERROR(__xludf.DUMMYFUNCTION("""COMPUTED_VALUE"""),19550.0)</f>
        <v>19550</v>
      </c>
      <c r="E1746" s="1">
        <f>IFERROR(__xludf.DUMMYFUNCTION("""COMPUTED_VALUE"""),20000.0)</f>
        <v>20000</v>
      </c>
      <c r="F1746" s="1">
        <f>IFERROR(__xludf.DUMMYFUNCTION("""COMPUTED_VALUE"""),453488.0)</f>
        <v>453488</v>
      </c>
    </row>
    <row r="1747">
      <c r="A1747" s="2">
        <f>IFERROR(__xludf.DUMMYFUNCTION("""COMPUTED_VALUE"""),43514.64583333333)</f>
        <v>43514.64583</v>
      </c>
      <c r="B1747" s="1">
        <f>IFERROR(__xludf.DUMMYFUNCTION("""COMPUTED_VALUE"""),20050.0)</f>
        <v>20050</v>
      </c>
      <c r="C1747" s="1">
        <f>IFERROR(__xludf.DUMMYFUNCTION("""COMPUTED_VALUE"""),20250.0)</f>
        <v>20250</v>
      </c>
      <c r="D1747" s="1">
        <f>IFERROR(__xludf.DUMMYFUNCTION("""COMPUTED_VALUE"""),19500.0)</f>
        <v>19500</v>
      </c>
      <c r="E1747" s="1">
        <f>IFERROR(__xludf.DUMMYFUNCTION("""COMPUTED_VALUE"""),19900.0)</f>
        <v>19900</v>
      </c>
      <c r="F1747" s="1">
        <f>IFERROR(__xludf.DUMMYFUNCTION("""COMPUTED_VALUE"""),366717.0)</f>
        <v>366717</v>
      </c>
    </row>
    <row r="1748">
      <c r="A1748" s="2">
        <f>IFERROR(__xludf.DUMMYFUNCTION("""COMPUTED_VALUE"""),43515.64583333333)</f>
        <v>43515.64583</v>
      </c>
      <c r="B1748" s="1">
        <f>IFERROR(__xludf.DUMMYFUNCTION("""COMPUTED_VALUE"""),19850.0)</f>
        <v>19850</v>
      </c>
      <c r="C1748" s="1">
        <f>IFERROR(__xludf.DUMMYFUNCTION("""COMPUTED_VALUE"""),20750.0)</f>
        <v>20750</v>
      </c>
      <c r="D1748" s="1">
        <f>IFERROR(__xludf.DUMMYFUNCTION("""COMPUTED_VALUE"""),19800.0)</f>
        <v>19800</v>
      </c>
      <c r="E1748" s="1">
        <f>IFERROR(__xludf.DUMMYFUNCTION("""COMPUTED_VALUE"""),19800.0)</f>
        <v>19800</v>
      </c>
      <c r="F1748" s="1">
        <f>IFERROR(__xludf.DUMMYFUNCTION("""COMPUTED_VALUE"""),496350.0)</f>
        <v>496350</v>
      </c>
    </row>
    <row r="1749">
      <c r="A1749" s="2">
        <f>IFERROR(__xludf.DUMMYFUNCTION("""COMPUTED_VALUE"""),43516.64583333333)</f>
        <v>43516.64583</v>
      </c>
      <c r="B1749" s="1">
        <f>IFERROR(__xludf.DUMMYFUNCTION("""COMPUTED_VALUE"""),19900.0)</f>
        <v>19900</v>
      </c>
      <c r="C1749" s="1">
        <f>IFERROR(__xludf.DUMMYFUNCTION("""COMPUTED_VALUE"""),20050.0)</f>
        <v>20050</v>
      </c>
      <c r="D1749" s="1">
        <f>IFERROR(__xludf.DUMMYFUNCTION("""COMPUTED_VALUE"""),18850.0)</f>
        <v>18850</v>
      </c>
      <c r="E1749" s="1">
        <f>IFERROR(__xludf.DUMMYFUNCTION("""COMPUTED_VALUE"""),19000.0)</f>
        <v>19000</v>
      </c>
      <c r="F1749" s="1">
        <f>IFERROR(__xludf.DUMMYFUNCTION("""COMPUTED_VALUE"""),483342.0)</f>
        <v>483342</v>
      </c>
    </row>
    <row r="1750">
      <c r="A1750" s="2">
        <f>IFERROR(__xludf.DUMMYFUNCTION("""COMPUTED_VALUE"""),43517.64583333333)</f>
        <v>43517.64583</v>
      </c>
      <c r="B1750" s="1">
        <f>IFERROR(__xludf.DUMMYFUNCTION("""COMPUTED_VALUE"""),19200.0)</f>
        <v>19200</v>
      </c>
      <c r="C1750" s="1">
        <f>IFERROR(__xludf.DUMMYFUNCTION("""COMPUTED_VALUE"""),19500.0)</f>
        <v>19500</v>
      </c>
      <c r="D1750" s="1">
        <f>IFERROR(__xludf.DUMMYFUNCTION("""COMPUTED_VALUE"""),18100.0)</f>
        <v>18100</v>
      </c>
      <c r="E1750" s="1">
        <f>IFERROR(__xludf.DUMMYFUNCTION("""COMPUTED_VALUE"""),18700.0)</f>
        <v>18700</v>
      </c>
      <c r="F1750" s="1">
        <f>IFERROR(__xludf.DUMMYFUNCTION("""COMPUTED_VALUE"""),535504.0)</f>
        <v>535504</v>
      </c>
    </row>
    <row r="1751">
      <c r="A1751" s="2">
        <f>IFERROR(__xludf.DUMMYFUNCTION("""COMPUTED_VALUE"""),43518.64583333333)</f>
        <v>43518.64583</v>
      </c>
      <c r="B1751" s="1">
        <f>IFERROR(__xludf.DUMMYFUNCTION("""COMPUTED_VALUE"""),18550.0)</f>
        <v>18550</v>
      </c>
      <c r="C1751" s="1">
        <f>IFERROR(__xludf.DUMMYFUNCTION("""COMPUTED_VALUE"""),21500.0)</f>
        <v>21500</v>
      </c>
      <c r="D1751" s="1">
        <f>IFERROR(__xludf.DUMMYFUNCTION("""COMPUTED_VALUE"""),18550.0)</f>
        <v>18550</v>
      </c>
      <c r="E1751" s="1">
        <f>IFERROR(__xludf.DUMMYFUNCTION("""COMPUTED_VALUE"""),20500.0)</f>
        <v>20500</v>
      </c>
      <c r="F1751" s="1">
        <f>IFERROR(__xludf.DUMMYFUNCTION("""COMPUTED_VALUE"""),4323302.0)</f>
        <v>4323302</v>
      </c>
    </row>
    <row r="1752">
      <c r="A1752" s="2">
        <f>IFERROR(__xludf.DUMMYFUNCTION("""COMPUTED_VALUE"""),43521.64583333333)</f>
        <v>43521.64583</v>
      </c>
      <c r="B1752" s="1">
        <f>IFERROR(__xludf.DUMMYFUNCTION("""COMPUTED_VALUE"""),20850.0)</f>
        <v>20850</v>
      </c>
      <c r="C1752" s="1">
        <f>IFERROR(__xludf.DUMMYFUNCTION("""COMPUTED_VALUE"""),21100.0)</f>
        <v>21100</v>
      </c>
      <c r="D1752" s="1">
        <f>IFERROR(__xludf.DUMMYFUNCTION("""COMPUTED_VALUE"""),19600.0)</f>
        <v>19600</v>
      </c>
      <c r="E1752" s="1">
        <f>IFERROR(__xludf.DUMMYFUNCTION("""COMPUTED_VALUE"""),19600.0)</f>
        <v>19600</v>
      </c>
      <c r="F1752" s="1">
        <f>IFERROR(__xludf.DUMMYFUNCTION("""COMPUTED_VALUE"""),877251.0)</f>
        <v>877251</v>
      </c>
    </row>
    <row r="1753">
      <c r="A1753" s="2">
        <f>IFERROR(__xludf.DUMMYFUNCTION("""COMPUTED_VALUE"""),43522.64583333333)</f>
        <v>43522.64583</v>
      </c>
      <c r="B1753" s="1">
        <f>IFERROR(__xludf.DUMMYFUNCTION("""COMPUTED_VALUE"""),19800.0)</f>
        <v>19800</v>
      </c>
      <c r="C1753" s="1">
        <f>IFERROR(__xludf.DUMMYFUNCTION("""COMPUTED_VALUE"""),20300.0)</f>
        <v>20300</v>
      </c>
      <c r="D1753" s="1">
        <f>IFERROR(__xludf.DUMMYFUNCTION("""COMPUTED_VALUE"""),19350.0)</f>
        <v>19350</v>
      </c>
      <c r="E1753" s="1">
        <f>IFERROR(__xludf.DUMMYFUNCTION("""COMPUTED_VALUE"""),19750.0)</f>
        <v>19750</v>
      </c>
      <c r="F1753" s="1">
        <f>IFERROR(__xludf.DUMMYFUNCTION("""COMPUTED_VALUE"""),713133.0)</f>
        <v>713133</v>
      </c>
    </row>
    <row r="1754">
      <c r="A1754" s="2">
        <f>IFERROR(__xludf.DUMMYFUNCTION("""COMPUTED_VALUE"""),43523.64583333333)</f>
        <v>43523.64583</v>
      </c>
      <c r="B1754" s="1">
        <f>IFERROR(__xludf.DUMMYFUNCTION("""COMPUTED_VALUE"""),19750.0)</f>
        <v>19750</v>
      </c>
      <c r="C1754" s="1">
        <f>IFERROR(__xludf.DUMMYFUNCTION("""COMPUTED_VALUE"""),19900.0)</f>
        <v>19900</v>
      </c>
      <c r="D1754" s="1">
        <f>IFERROR(__xludf.DUMMYFUNCTION("""COMPUTED_VALUE"""),19150.0)</f>
        <v>19150</v>
      </c>
      <c r="E1754" s="1">
        <f>IFERROR(__xludf.DUMMYFUNCTION("""COMPUTED_VALUE"""),19300.0)</f>
        <v>19300</v>
      </c>
      <c r="F1754" s="1">
        <f>IFERROR(__xludf.DUMMYFUNCTION("""COMPUTED_VALUE"""),473460.0)</f>
        <v>473460</v>
      </c>
    </row>
    <row r="1755">
      <c r="A1755" s="2">
        <f>IFERROR(__xludf.DUMMYFUNCTION("""COMPUTED_VALUE"""),43524.64583333333)</f>
        <v>43524.64583</v>
      </c>
      <c r="B1755" s="1">
        <f>IFERROR(__xludf.DUMMYFUNCTION("""COMPUTED_VALUE"""),19200.0)</f>
        <v>19200</v>
      </c>
      <c r="C1755" s="1">
        <f>IFERROR(__xludf.DUMMYFUNCTION("""COMPUTED_VALUE"""),19350.0)</f>
        <v>19350</v>
      </c>
      <c r="D1755" s="1">
        <f>IFERROR(__xludf.DUMMYFUNCTION("""COMPUTED_VALUE"""),15100.0)</f>
        <v>15100</v>
      </c>
      <c r="E1755" s="1">
        <f>IFERROR(__xludf.DUMMYFUNCTION("""COMPUTED_VALUE"""),15100.0)</f>
        <v>15100</v>
      </c>
      <c r="F1755" s="1">
        <f>IFERROR(__xludf.DUMMYFUNCTION("""COMPUTED_VALUE"""),1185161.0)</f>
        <v>1185161</v>
      </c>
    </row>
    <row r="1756">
      <c r="A1756" s="2">
        <f>IFERROR(__xludf.DUMMYFUNCTION("""COMPUTED_VALUE"""),43528.64583333333)</f>
        <v>43528.64583</v>
      </c>
      <c r="B1756" s="1">
        <f>IFERROR(__xludf.DUMMYFUNCTION("""COMPUTED_VALUE"""),14200.0)</f>
        <v>14200</v>
      </c>
      <c r="C1756" s="1">
        <f>IFERROR(__xludf.DUMMYFUNCTION("""COMPUTED_VALUE"""),15550.0)</f>
        <v>15550</v>
      </c>
      <c r="D1756" s="1">
        <f>IFERROR(__xludf.DUMMYFUNCTION("""COMPUTED_VALUE"""),13950.0)</f>
        <v>13950</v>
      </c>
      <c r="E1756" s="1">
        <f>IFERROR(__xludf.DUMMYFUNCTION("""COMPUTED_VALUE"""),14900.0)</f>
        <v>14900</v>
      </c>
      <c r="F1756" s="1">
        <f>IFERROR(__xludf.DUMMYFUNCTION("""COMPUTED_VALUE"""),1004853.0)</f>
        <v>1004853</v>
      </c>
    </row>
    <row r="1757">
      <c r="A1757" s="2">
        <f>IFERROR(__xludf.DUMMYFUNCTION("""COMPUTED_VALUE"""),43529.64583333333)</f>
        <v>43529.64583</v>
      </c>
      <c r="B1757" s="1">
        <f>IFERROR(__xludf.DUMMYFUNCTION("""COMPUTED_VALUE"""),14750.0)</f>
        <v>14750</v>
      </c>
      <c r="C1757" s="1">
        <f>IFERROR(__xludf.DUMMYFUNCTION("""COMPUTED_VALUE"""),15550.0)</f>
        <v>15550</v>
      </c>
      <c r="D1757" s="1">
        <f>IFERROR(__xludf.DUMMYFUNCTION("""COMPUTED_VALUE"""),14700.0)</f>
        <v>14700</v>
      </c>
      <c r="E1757" s="1">
        <f>IFERROR(__xludf.DUMMYFUNCTION("""COMPUTED_VALUE"""),15500.0)</f>
        <v>15500</v>
      </c>
      <c r="F1757" s="1">
        <f>IFERROR(__xludf.DUMMYFUNCTION("""COMPUTED_VALUE"""),546248.0)</f>
        <v>546248</v>
      </c>
    </row>
    <row r="1758">
      <c r="A1758" s="2">
        <f>IFERROR(__xludf.DUMMYFUNCTION("""COMPUTED_VALUE"""),43530.64583333333)</f>
        <v>43530.64583</v>
      </c>
      <c r="B1758" s="1">
        <f>IFERROR(__xludf.DUMMYFUNCTION("""COMPUTED_VALUE"""),15350.0)</f>
        <v>15350</v>
      </c>
      <c r="C1758" s="1">
        <f>IFERROR(__xludf.DUMMYFUNCTION("""COMPUTED_VALUE"""),15700.0)</f>
        <v>15700</v>
      </c>
      <c r="D1758" s="1">
        <f>IFERROR(__xludf.DUMMYFUNCTION("""COMPUTED_VALUE"""),14500.0)</f>
        <v>14500</v>
      </c>
      <c r="E1758" s="1">
        <f>IFERROR(__xludf.DUMMYFUNCTION("""COMPUTED_VALUE"""),14700.0)</f>
        <v>14700</v>
      </c>
      <c r="F1758" s="1">
        <f>IFERROR(__xludf.DUMMYFUNCTION("""COMPUTED_VALUE"""),429613.0)</f>
        <v>429613</v>
      </c>
    </row>
    <row r="1759">
      <c r="A1759" s="2">
        <f>IFERROR(__xludf.DUMMYFUNCTION("""COMPUTED_VALUE"""),43531.64583333333)</f>
        <v>43531.64583</v>
      </c>
      <c r="B1759" s="1">
        <f>IFERROR(__xludf.DUMMYFUNCTION("""COMPUTED_VALUE"""),14700.0)</f>
        <v>14700</v>
      </c>
      <c r="C1759" s="1">
        <f>IFERROR(__xludf.DUMMYFUNCTION("""COMPUTED_VALUE"""),15100.0)</f>
        <v>15100</v>
      </c>
      <c r="D1759" s="1">
        <f>IFERROR(__xludf.DUMMYFUNCTION("""COMPUTED_VALUE"""),13900.0)</f>
        <v>13900</v>
      </c>
      <c r="E1759" s="1">
        <f>IFERROR(__xludf.DUMMYFUNCTION("""COMPUTED_VALUE"""),14050.0)</f>
        <v>14050</v>
      </c>
      <c r="F1759" s="1">
        <f>IFERROR(__xludf.DUMMYFUNCTION("""COMPUTED_VALUE"""),432998.0)</f>
        <v>432998</v>
      </c>
    </row>
    <row r="1760">
      <c r="A1760" s="2">
        <f>IFERROR(__xludf.DUMMYFUNCTION("""COMPUTED_VALUE"""),43532.64583333333)</f>
        <v>43532.64583</v>
      </c>
      <c r="B1760" s="1">
        <f>IFERROR(__xludf.DUMMYFUNCTION("""COMPUTED_VALUE"""),13750.0)</f>
        <v>13750</v>
      </c>
      <c r="C1760" s="1">
        <f>IFERROR(__xludf.DUMMYFUNCTION("""COMPUTED_VALUE"""),14200.0)</f>
        <v>14200</v>
      </c>
      <c r="D1760" s="1">
        <f>IFERROR(__xludf.DUMMYFUNCTION("""COMPUTED_VALUE"""),13550.0)</f>
        <v>13550</v>
      </c>
      <c r="E1760" s="1">
        <f>IFERROR(__xludf.DUMMYFUNCTION("""COMPUTED_VALUE"""),13900.0)</f>
        <v>13900</v>
      </c>
      <c r="F1760" s="1">
        <f>IFERROR(__xludf.DUMMYFUNCTION("""COMPUTED_VALUE"""),343927.0)</f>
        <v>343927</v>
      </c>
    </row>
    <row r="1761">
      <c r="A1761" s="2">
        <f>IFERROR(__xludf.DUMMYFUNCTION("""COMPUTED_VALUE"""),43535.64583333333)</f>
        <v>43535.64583</v>
      </c>
      <c r="B1761" s="1">
        <f>IFERROR(__xludf.DUMMYFUNCTION("""COMPUTED_VALUE"""),13900.0)</f>
        <v>13900</v>
      </c>
      <c r="C1761" s="1">
        <f>IFERROR(__xludf.DUMMYFUNCTION("""COMPUTED_VALUE"""),14100.0)</f>
        <v>14100</v>
      </c>
      <c r="D1761" s="1">
        <f>IFERROR(__xludf.DUMMYFUNCTION("""COMPUTED_VALUE"""),13600.0)</f>
        <v>13600</v>
      </c>
      <c r="E1761" s="1">
        <f>IFERROR(__xludf.DUMMYFUNCTION("""COMPUTED_VALUE"""),13900.0)</f>
        <v>13900</v>
      </c>
      <c r="F1761" s="1">
        <f>IFERROR(__xludf.DUMMYFUNCTION("""COMPUTED_VALUE"""),235997.0)</f>
        <v>235997</v>
      </c>
    </row>
    <row r="1762">
      <c r="A1762" s="2">
        <f>IFERROR(__xludf.DUMMYFUNCTION("""COMPUTED_VALUE"""),43536.64583333333)</f>
        <v>43536.64583</v>
      </c>
      <c r="B1762" s="1">
        <f>IFERROR(__xludf.DUMMYFUNCTION("""COMPUTED_VALUE"""),14300.0)</f>
        <v>14300</v>
      </c>
      <c r="C1762" s="1">
        <f>IFERROR(__xludf.DUMMYFUNCTION("""COMPUTED_VALUE"""),15000.0)</f>
        <v>15000</v>
      </c>
      <c r="D1762" s="1">
        <f>IFERROR(__xludf.DUMMYFUNCTION("""COMPUTED_VALUE"""),14000.0)</f>
        <v>14000</v>
      </c>
      <c r="E1762" s="1">
        <f>IFERROR(__xludf.DUMMYFUNCTION("""COMPUTED_VALUE"""),14300.0)</f>
        <v>14300</v>
      </c>
      <c r="F1762" s="1">
        <f>IFERROR(__xludf.DUMMYFUNCTION("""COMPUTED_VALUE"""),439051.0)</f>
        <v>439051</v>
      </c>
    </row>
    <row r="1763">
      <c r="A1763" s="2">
        <f>IFERROR(__xludf.DUMMYFUNCTION("""COMPUTED_VALUE"""),43537.64583333333)</f>
        <v>43537.64583</v>
      </c>
      <c r="B1763" s="1">
        <f>IFERROR(__xludf.DUMMYFUNCTION("""COMPUTED_VALUE"""),14350.0)</f>
        <v>14350</v>
      </c>
      <c r="C1763" s="1">
        <f>IFERROR(__xludf.DUMMYFUNCTION("""COMPUTED_VALUE"""),14400.0)</f>
        <v>14400</v>
      </c>
      <c r="D1763" s="1">
        <f>IFERROR(__xludf.DUMMYFUNCTION("""COMPUTED_VALUE"""),13900.0)</f>
        <v>13900</v>
      </c>
      <c r="E1763" s="1">
        <f>IFERROR(__xludf.DUMMYFUNCTION("""COMPUTED_VALUE"""),14100.0)</f>
        <v>14100</v>
      </c>
      <c r="F1763" s="1">
        <f>IFERROR(__xludf.DUMMYFUNCTION("""COMPUTED_VALUE"""),182353.0)</f>
        <v>182353</v>
      </c>
    </row>
    <row r="1764">
      <c r="A1764" s="2">
        <f>IFERROR(__xludf.DUMMYFUNCTION("""COMPUTED_VALUE"""),43538.64583333333)</f>
        <v>43538.64583</v>
      </c>
      <c r="B1764" s="1">
        <f>IFERROR(__xludf.DUMMYFUNCTION("""COMPUTED_VALUE"""),14100.0)</f>
        <v>14100</v>
      </c>
      <c r="C1764" s="1">
        <f>IFERROR(__xludf.DUMMYFUNCTION("""COMPUTED_VALUE"""),14400.0)</f>
        <v>14400</v>
      </c>
      <c r="D1764" s="1">
        <f>IFERROR(__xludf.DUMMYFUNCTION("""COMPUTED_VALUE"""),14050.0)</f>
        <v>14050</v>
      </c>
      <c r="E1764" s="1">
        <f>IFERROR(__xludf.DUMMYFUNCTION("""COMPUTED_VALUE"""),14350.0)</f>
        <v>14350</v>
      </c>
      <c r="F1764" s="1">
        <f>IFERROR(__xludf.DUMMYFUNCTION("""COMPUTED_VALUE"""),153084.0)</f>
        <v>153084</v>
      </c>
    </row>
    <row r="1765">
      <c r="A1765" s="2">
        <f>IFERROR(__xludf.DUMMYFUNCTION("""COMPUTED_VALUE"""),43539.64583333333)</f>
        <v>43539.64583</v>
      </c>
      <c r="B1765" s="1">
        <f>IFERROR(__xludf.DUMMYFUNCTION("""COMPUTED_VALUE"""),14300.0)</f>
        <v>14300</v>
      </c>
      <c r="C1765" s="1">
        <f>IFERROR(__xludf.DUMMYFUNCTION("""COMPUTED_VALUE"""),14300.0)</f>
        <v>14300</v>
      </c>
      <c r="D1765" s="1">
        <f>IFERROR(__xludf.DUMMYFUNCTION("""COMPUTED_VALUE"""),12850.0)</f>
        <v>12850</v>
      </c>
      <c r="E1765" s="1">
        <f>IFERROR(__xludf.DUMMYFUNCTION("""COMPUTED_VALUE"""),12950.0)</f>
        <v>12950</v>
      </c>
      <c r="F1765" s="1">
        <f>IFERROR(__xludf.DUMMYFUNCTION("""COMPUTED_VALUE"""),653872.0)</f>
        <v>653872</v>
      </c>
    </row>
    <row r="1766">
      <c r="A1766" s="2">
        <f>IFERROR(__xludf.DUMMYFUNCTION("""COMPUTED_VALUE"""),43542.64583333333)</f>
        <v>43542.64583</v>
      </c>
      <c r="B1766" s="1">
        <f>IFERROR(__xludf.DUMMYFUNCTION("""COMPUTED_VALUE"""),13350.0)</f>
        <v>13350</v>
      </c>
      <c r="C1766" s="1">
        <f>IFERROR(__xludf.DUMMYFUNCTION("""COMPUTED_VALUE"""),14050.0)</f>
        <v>14050</v>
      </c>
      <c r="D1766" s="1">
        <f>IFERROR(__xludf.DUMMYFUNCTION("""COMPUTED_VALUE"""),13300.0)</f>
        <v>13300</v>
      </c>
      <c r="E1766" s="1">
        <f>IFERROR(__xludf.DUMMYFUNCTION("""COMPUTED_VALUE"""),13950.0)</f>
        <v>13950</v>
      </c>
      <c r="F1766" s="1">
        <f>IFERROR(__xludf.DUMMYFUNCTION("""COMPUTED_VALUE"""),431722.0)</f>
        <v>431722</v>
      </c>
    </row>
    <row r="1767">
      <c r="A1767" s="2">
        <f>IFERROR(__xludf.DUMMYFUNCTION("""COMPUTED_VALUE"""),43543.64583333333)</f>
        <v>43543.64583</v>
      </c>
      <c r="B1767" s="1">
        <f>IFERROR(__xludf.DUMMYFUNCTION("""COMPUTED_VALUE"""),14150.0)</f>
        <v>14150</v>
      </c>
      <c r="C1767" s="1">
        <f>IFERROR(__xludf.DUMMYFUNCTION("""COMPUTED_VALUE"""),15350.0)</f>
        <v>15350</v>
      </c>
      <c r="D1767" s="1">
        <f>IFERROR(__xludf.DUMMYFUNCTION("""COMPUTED_VALUE"""),14000.0)</f>
        <v>14000</v>
      </c>
      <c r="E1767" s="1">
        <f>IFERROR(__xludf.DUMMYFUNCTION("""COMPUTED_VALUE"""),14400.0)</f>
        <v>14400</v>
      </c>
      <c r="F1767" s="1">
        <f>IFERROR(__xludf.DUMMYFUNCTION("""COMPUTED_VALUE"""),1193612.0)</f>
        <v>1193612</v>
      </c>
    </row>
    <row r="1768">
      <c r="A1768" s="2">
        <f>IFERROR(__xludf.DUMMYFUNCTION("""COMPUTED_VALUE"""),43544.64583333333)</f>
        <v>43544.64583</v>
      </c>
      <c r="B1768" s="1">
        <f>IFERROR(__xludf.DUMMYFUNCTION("""COMPUTED_VALUE"""),14100.0)</f>
        <v>14100</v>
      </c>
      <c r="C1768" s="1">
        <f>IFERROR(__xludf.DUMMYFUNCTION("""COMPUTED_VALUE"""),14200.0)</f>
        <v>14200</v>
      </c>
      <c r="D1768" s="1">
        <f>IFERROR(__xludf.DUMMYFUNCTION("""COMPUTED_VALUE"""),13750.0)</f>
        <v>13750</v>
      </c>
      <c r="E1768" s="1">
        <f>IFERROR(__xludf.DUMMYFUNCTION("""COMPUTED_VALUE"""),14200.0)</f>
        <v>14200</v>
      </c>
      <c r="F1768" s="1">
        <f>IFERROR(__xludf.DUMMYFUNCTION("""COMPUTED_VALUE"""),278821.0)</f>
        <v>278821</v>
      </c>
    </row>
    <row r="1769">
      <c r="A1769" s="2">
        <f>IFERROR(__xludf.DUMMYFUNCTION("""COMPUTED_VALUE"""),43545.64583333333)</f>
        <v>43545.64583</v>
      </c>
      <c r="B1769" s="1">
        <f>IFERROR(__xludf.DUMMYFUNCTION("""COMPUTED_VALUE"""),14000.0)</f>
        <v>14000</v>
      </c>
      <c r="C1769" s="1">
        <f>IFERROR(__xludf.DUMMYFUNCTION("""COMPUTED_VALUE"""),14250.0)</f>
        <v>14250</v>
      </c>
      <c r="D1769" s="1">
        <f>IFERROR(__xludf.DUMMYFUNCTION("""COMPUTED_VALUE"""),13550.0)</f>
        <v>13550</v>
      </c>
      <c r="E1769" s="1">
        <f>IFERROR(__xludf.DUMMYFUNCTION("""COMPUTED_VALUE"""),13700.0)</f>
        <v>13700</v>
      </c>
      <c r="F1769" s="1">
        <f>IFERROR(__xludf.DUMMYFUNCTION("""COMPUTED_VALUE"""),257892.0)</f>
        <v>257892</v>
      </c>
    </row>
    <row r="1770">
      <c r="A1770" s="2">
        <f>IFERROR(__xludf.DUMMYFUNCTION("""COMPUTED_VALUE"""),43546.64583333333)</f>
        <v>43546.64583</v>
      </c>
      <c r="B1770" s="1">
        <f>IFERROR(__xludf.DUMMYFUNCTION("""COMPUTED_VALUE"""),13500.0)</f>
        <v>13500</v>
      </c>
      <c r="C1770" s="1">
        <f>IFERROR(__xludf.DUMMYFUNCTION("""COMPUTED_VALUE"""),13750.0)</f>
        <v>13750</v>
      </c>
      <c r="D1770" s="1">
        <f>IFERROR(__xludf.DUMMYFUNCTION("""COMPUTED_VALUE"""),13300.0)</f>
        <v>13300</v>
      </c>
      <c r="E1770" s="1">
        <f>IFERROR(__xludf.DUMMYFUNCTION("""COMPUTED_VALUE"""),13550.0)</f>
        <v>13550</v>
      </c>
      <c r="F1770" s="1">
        <f>IFERROR(__xludf.DUMMYFUNCTION("""COMPUTED_VALUE"""),229076.0)</f>
        <v>229076</v>
      </c>
    </row>
    <row r="1771">
      <c r="A1771" s="2">
        <f>IFERROR(__xludf.DUMMYFUNCTION("""COMPUTED_VALUE"""),43549.64583333333)</f>
        <v>43549.64583</v>
      </c>
      <c r="B1771" s="1">
        <f>IFERROR(__xludf.DUMMYFUNCTION("""COMPUTED_VALUE"""),13300.0)</f>
        <v>13300</v>
      </c>
      <c r="C1771" s="1">
        <f>IFERROR(__xludf.DUMMYFUNCTION("""COMPUTED_VALUE"""),14200.0)</f>
        <v>14200</v>
      </c>
      <c r="D1771" s="1">
        <f>IFERROR(__xludf.DUMMYFUNCTION("""COMPUTED_VALUE"""),13250.0)</f>
        <v>13250</v>
      </c>
      <c r="E1771" s="1">
        <f>IFERROR(__xludf.DUMMYFUNCTION("""COMPUTED_VALUE"""),14150.0)</f>
        <v>14150</v>
      </c>
      <c r="F1771" s="1">
        <f>IFERROR(__xludf.DUMMYFUNCTION("""COMPUTED_VALUE"""),353646.0)</f>
        <v>353646</v>
      </c>
    </row>
    <row r="1772">
      <c r="A1772" s="2">
        <f>IFERROR(__xludf.DUMMYFUNCTION("""COMPUTED_VALUE"""),43550.64583333333)</f>
        <v>43550.64583</v>
      </c>
      <c r="B1772" s="1">
        <f>IFERROR(__xludf.DUMMYFUNCTION("""COMPUTED_VALUE"""),14150.0)</f>
        <v>14150</v>
      </c>
      <c r="C1772" s="1">
        <f>IFERROR(__xludf.DUMMYFUNCTION("""COMPUTED_VALUE"""),14300.0)</f>
        <v>14300</v>
      </c>
      <c r="D1772" s="1">
        <f>IFERROR(__xludf.DUMMYFUNCTION("""COMPUTED_VALUE"""),13850.0)</f>
        <v>13850</v>
      </c>
      <c r="E1772" s="1">
        <f>IFERROR(__xludf.DUMMYFUNCTION("""COMPUTED_VALUE"""),14100.0)</f>
        <v>14100</v>
      </c>
      <c r="F1772" s="1">
        <f>IFERROR(__xludf.DUMMYFUNCTION("""COMPUTED_VALUE"""),239705.0)</f>
        <v>239705</v>
      </c>
    </row>
    <row r="1773">
      <c r="A1773" s="2">
        <f>IFERROR(__xludf.DUMMYFUNCTION("""COMPUTED_VALUE"""),43551.64583333333)</f>
        <v>43551.64583</v>
      </c>
      <c r="B1773" s="1">
        <f>IFERROR(__xludf.DUMMYFUNCTION("""COMPUTED_VALUE"""),14000.0)</f>
        <v>14000</v>
      </c>
      <c r="C1773" s="1">
        <f>IFERROR(__xludf.DUMMYFUNCTION("""COMPUTED_VALUE"""),14250.0)</f>
        <v>14250</v>
      </c>
      <c r="D1773" s="1">
        <f>IFERROR(__xludf.DUMMYFUNCTION("""COMPUTED_VALUE"""),13600.0)</f>
        <v>13600</v>
      </c>
      <c r="E1773" s="1">
        <f>IFERROR(__xludf.DUMMYFUNCTION("""COMPUTED_VALUE"""),13700.0)</f>
        <v>13700</v>
      </c>
      <c r="F1773" s="1">
        <f>IFERROR(__xludf.DUMMYFUNCTION("""COMPUTED_VALUE"""),231328.0)</f>
        <v>231328</v>
      </c>
    </row>
    <row r="1774">
      <c r="A1774" s="2">
        <f>IFERROR(__xludf.DUMMYFUNCTION("""COMPUTED_VALUE"""),43552.64583333333)</f>
        <v>43552.64583</v>
      </c>
      <c r="B1774" s="1">
        <f>IFERROR(__xludf.DUMMYFUNCTION("""COMPUTED_VALUE"""),13700.0)</f>
        <v>13700</v>
      </c>
      <c r="C1774" s="1">
        <f>IFERROR(__xludf.DUMMYFUNCTION("""COMPUTED_VALUE"""),13950.0)</f>
        <v>13950</v>
      </c>
      <c r="D1774" s="1">
        <f>IFERROR(__xludf.DUMMYFUNCTION("""COMPUTED_VALUE"""),13450.0)</f>
        <v>13450</v>
      </c>
      <c r="E1774" s="1">
        <f>IFERROR(__xludf.DUMMYFUNCTION("""COMPUTED_VALUE"""),13550.0)</f>
        <v>13550</v>
      </c>
      <c r="F1774" s="1">
        <f>IFERROR(__xludf.DUMMYFUNCTION("""COMPUTED_VALUE"""),136952.0)</f>
        <v>136952</v>
      </c>
    </row>
    <row r="1775">
      <c r="A1775" s="2">
        <f>IFERROR(__xludf.DUMMYFUNCTION("""COMPUTED_VALUE"""),43553.64583333333)</f>
        <v>43553.64583</v>
      </c>
      <c r="B1775" s="1">
        <f>IFERROR(__xludf.DUMMYFUNCTION("""COMPUTED_VALUE"""),13600.0)</f>
        <v>13600</v>
      </c>
      <c r="C1775" s="1">
        <f>IFERROR(__xludf.DUMMYFUNCTION("""COMPUTED_VALUE"""),15750.0)</f>
        <v>15750</v>
      </c>
      <c r="D1775" s="1">
        <f>IFERROR(__xludf.DUMMYFUNCTION("""COMPUTED_VALUE"""),13500.0)</f>
        <v>13500</v>
      </c>
      <c r="E1775" s="1">
        <f>IFERROR(__xludf.DUMMYFUNCTION("""COMPUTED_VALUE"""),15600.0)</f>
        <v>15600</v>
      </c>
      <c r="F1775" s="1">
        <f>IFERROR(__xludf.DUMMYFUNCTION("""COMPUTED_VALUE"""),1667060.0)</f>
        <v>1667060</v>
      </c>
    </row>
    <row r="1776">
      <c r="A1776" s="2">
        <f>IFERROR(__xludf.DUMMYFUNCTION("""COMPUTED_VALUE"""),43556.64583333333)</f>
        <v>43556.64583</v>
      </c>
      <c r="B1776" s="1">
        <f>IFERROR(__xludf.DUMMYFUNCTION("""COMPUTED_VALUE"""),15850.0)</f>
        <v>15850</v>
      </c>
      <c r="C1776" s="1">
        <f>IFERROR(__xludf.DUMMYFUNCTION("""COMPUTED_VALUE"""),16250.0)</f>
        <v>16250</v>
      </c>
      <c r="D1776" s="1">
        <f>IFERROR(__xludf.DUMMYFUNCTION("""COMPUTED_VALUE"""),15350.0)</f>
        <v>15350</v>
      </c>
      <c r="E1776" s="1">
        <f>IFERROR(__xludf.DUMMYFUNCTION("""COMPUTED_VALUE"""),15550.0)</f>
        <v>15550</v>
      </c>
      <c r="F1776" s="1">
        <f>IFERROR(__xludf.DUMMYFUNCTION("""COMPUTED_VALUE"""),816466.0)</f>
        <v>816466</v>
      </c>
    </row>
    <row r="1777">
      <c r="A1777" s="2">
        <f>IFERROR(__xludf.DUMMYFUNCTION("""COMPUTED_VALUE"""),43557.64583333333)</f>
        <v>43557.64583</v>
      </c>
      <c r="B1777" s="1">
        <f>IFERROR(__xludf.DUMMYFUNCTION("""COMPUTED_VALUE"""),15700.0)</f>
        <v>15700</v>
      </c>
      <c r="C1777" s="1">
        <f>IFERROR(__xludf.DUMMYFUNCTION("""COMPUTED_VALUE"""),15800.0)</f>
        <v>15800</v>
      </c>
      <c r="D1777" s="1">
        <f>IFERROR(__xludf.DUMMYFUNCTION("""COMPUTED_VALUE"""),15100.0)</f>
        <v>15100</v>
      </c>
      <c r="E1777" s="1">
        <f>IFERROR(__xludf.DUMMYFUNCTION("""COMPUTED_VALUE"""),15400.0)</f>
        <v>15400</v>
      </c>
      <c r="F1777" s="1">
        <f>IFERROR(__xludf.DUMMYFUNCTION("""COMPUTED_VALUE"""),420385.0)</f>
        <v>420385</v>
      </c>
    </row>
    <row r="1778">
      <c r="A1778" s="2">
        <f>IFERROR(__xludf.DUMMYFUNCTION("""COMPUTED_VALUE"""),43558.64583333333)</f>
        <v>43558.64583</v>
      </c>
      <c r="B1778" s="1">
        <f>IFERROR(__xludf.DUMMYFUNCTION("""COMPUTED_VALUE"""),15650.0)</f>
        <v>15650</v>
      </c>
      <c r="C1778" s="1">
        <f>IFERROR(__xludf.DUMMYFUNCTION("""COMPUTED_VALUE"""),15800.0)</f>
        <v>15800</v>
      </c>
      <c r="D1778" s="1">
        <f>IFERROR(__xludf.DUMMYFUNCTION("""COMPUTED_VALUE"""),15350.0)</f>
        <v>15350</v>
      </c>
      <c r="E1778" s="1">
        <f>IFERROR(__xludf.DUMMYFUNCTION("""COMPUTED_VALUE"""),15500.0)</f>
        <v>15500</v>
      </c>
      <c r="F1778" s="1">
        <f>IFERROR(__xludf.DUMMYFUNCTION("""COMPUTED_VALUE"""),465573.0)</f>
        <v>465573</v>
      </c>
    </row>
    <row r="1779">
      <c r="A1779" s="2">
        <f>IFERROR(__xludf.DUMMYFUNCTION("""COMPUTED_VALUE"""),43559.64583333333)</f>
        <v>43559.64583</v>
      </c>
      <c r="B1779" s="1">
        <f>IFERROR(__xludf.DUMMYFUNCTION("""COMPUTED_VALUE"""),15550.0)</f>
        <v>15550</v>
      </c>
      <c r="C1779" s="1">
        <f>IFERROR(__xludf.DUMMYFUNCTION("""COMPUTED_VALUE"""),15600.0)</f>
        <v>15600</v>
      </c>
      <c r="D1779" s="1">
        <f>IFERROR(__xludf.DUMMYFUNCTION("""COMPUTED_VALUE"""),14800.0)</f>
        <v>14800</v>
      </c>
      <c r="E1779" s="1">
        <f>IFERROR(__xludf.DUMMYFUNCTION("""COMPUTED_VALUE"""),15250.0)</f>
        <v>15250</v>
      </c>
      <c r="F1779" s="1">
        <f>IFERROR(__xludf.DUMMYFUNCTION("""COMPUTED_VALUE"""),378860.0)</f>
        <v>378860</v>
      </c>
    </row>
    <row r="1780">
      <c r="A1780" s="2">
        <f>IFERROR(__xludf.DUMMYFUNCTION("""COMPUTED_VALUE"""),43560.64583333333)</f>
        <v>43560.64583</v>
      </c>
      <c r="B1780" s="1">
        <f>IFERROR(__xludf.DUMMYFUNCTION("""COMPUTED_VALUE"""),15300.0)</f>
        <v>15300</v>
      </c>
      <c r="C1780" s="1">
        <f>IFERROR(__xludf.DUMMYFUNCTION("""COMPUTED_VALUE"""),16200.0)</f>
        <v>16200</v>
      </c>
      <c r="D1780" s="1">
        <f>IFERROR(__xludf.DUMMYFUNCTION("""COMPUTED_VALUE"""),15300.0)</f>
        <v>15300</v>
      </c>
      <c r="E1780" s="1">
        <f>IFERROR(__xludf.DUMMYFUNCTION("""COMPUTED_VALUE"""),15700.0)</f>
        <v>15700</v>
      </c>
      <c r="F1780" s="1">
        <f>IFERROR(__xludf.DUMMYFUNCTION("""COMPUTED_VALUE"""),1282713.0)</f>
        <v>1282713</v>
      </c>
    </row>
    <row r="1781">
      <c r="A1781" s="2">
        <f>IFERROR(__xludf.DUMMYFUNCTION("""COMPUTED_VALUE"""),43563.64583333333)</f>
        <v>43563.64583</v>
      </c>
      <c r="B1781" s="1">
        <f>IFERROR(__xludf.DUMMYFUNCTION("""COMPUTED_VALUE"""),15750.0)</f>
        <v>15750</v>
      </c>
      <c r="C1781" s="1">
        <f>IFERROR(__xludf.DUMMYFUNCTION("""COMPUTED_VALUE"""),15950.0)</f>
        <v>15950</v>
      </c>
      <c r="D1781" s="1">
        <f>IFERROR(__xludf.DUMMYFUNCTION("""COMPUTED_VALUE"""),15200.0)</f>
        <v>15200</v>
      </c>
      <c r="E1781" s="1">
        <f>IFERROR(__xludf.DUMMYFUNCTION("""COMPUTED_VALUE"""),15400.0)</f>
        <v>15400</v>
      </c>
      <c r="F1781" s="1">
        <f>IFERROR(__xludf.DUMMYFUNCTION("""COMPUTED_VALUE"""),327824.0)</f>
        <v>327824</v>
      </c>
    </row>
    <row r="1782">
      <c r="A1782" s="2">
        <f>IFERROR(__xludf.DUMMYFUNCTION("""COMPUTED_VALUE"""),43564.64583333333)</f>
        <v>43564.64583</v>
      </c>
      <c r="B1782" s="1">
        <f>IFERROR(__xludf.DUMMYFUNCTION("""COMPUTED_VALUE"""),15300.0)</f>
        <v>15300</v>
      </c>
      <c r="C1782" s="1">
        <f>IFERROR(__xludf.DUMMYFUNCTION("""COMPUTED_VALUE"""),15550.0)</f>
        <v>15550</v>
      </c>
      <c r="D1782" s="1">
        <f>IFERROR(__xludf.DUMMYFUNCTION("""COMPUTED_VALUE"""),15000.0)</f>
        <v>15000</v>
      </c>
      <c r="E1782" s="1">
        <f>IFERROR(__xludf.DUMMYFUNCTION("""COMPUTED_VALUE"""),15500.0)</f>
        <v>15500</v>
      </c>
      <c r="F1782" s="1">
        <f>IFERROR(__xludf.DUMMYFUNCTION("""COMPUTED_VALUE"""),312876.0)</f>
        <v>312876</v>
      </c>
    </row>
    <row r="1783">
      <c r="A1783" s="2">
        <f>IFERROR(__xludf.DUMMYFUNCTION("""COMPUTED_VALUE"""),43565.64583333333)</f>
        <v>43565.64583</v>
      </c>
      <c r="B1783" s="1">
        <f>IFERROR(__xludf.DUMMYFUNCTION("""COMPUTED_VALUE"""),15400.0)</f>
        <v>15400</v>
      </c>
      <c r="C1783" s="1">
        <f>IFERROR(__xludf.DUMMYFUNCTION("""COMPUTED_VALUE"""),15850.0)</f>
        <v>15850</v>
      </c>
      <c r="D1783" s="1">
        <f>IFERROR(__xludf.DUMMYFUNCTION("""COMPUTED_VALUE"""),15400.0)</f>
        <v>15400</v>
      </c>
      <c r="E1783" s="1">
        <f>IFERROR(__xludf.DUMMYFUNCTION("""COMPUTED_VALUE"""),15400.0)</f>
        <v>15400</v>
      </c>
      <c r="F1783" s="1">
        <f>IFERROR(__xludf.DUMMYFUNCTION("""COMPUTED_VALUE"""),413475.0)</f>
        <v>413475</v>
      </c>
    </row>
    <row r="1784">
      <c r="A1784" s="2">
        <f>IFERROR(__xludf.DUMMYFUNCTION("""COMPUTED_VALUE"""),43566.64583333333)</f>
        <v>43566.64583</v>
      </c>
      <c r="B1784" s="1">
        <f>IFERROR(__xludf.DUMMYFUNCTION("""COMPUTED_VALUE"""),15700.0)</f>
        <v>15700</v>
      </c>
      <c r="C1784" s="1">
        <f>IFERROR(__xludf.DUMMYFUNCTION("""COMPUTED_VALUE"""),17650.0)</f>
        <v>17650</v>
      </c>
      <c r="D1784" s="1">
        <f>IFERROR(__xludf.DUMMYFUNCTION("""COMPUTED_VALUE"""),15600.0)</f>
        <v>15600</v>
      </c>
      <c r="E1784" s="1">
        <f>IFERROR(__xludf.DUMMYFUNCTION("""COMPUTED_VALUE"""),16750.0)</f>
        <v>16750</v>
      </c>
      <c r="F1784" s="1">
        <f>IFERROR(__xludf.DUMMYFUNCTION("""COMPUTED_VALUE"""),3014185.0)</f>
        <v>3014185</v>
      </c>
    </row>
    <row r="1785">
      <c r="A1785" s="2">
        <f>IFERROR(__xludf.DUMMYFUNCTION("""COMPUTED_VALUE"""),43567.64583333333)</f>
        <v>43567.64583</v>
      </c>
      <c r="B1785" s="1">
        <f>IFERROR(__xludf.DUMMYFUNCTION("""COMPUTED_VALUE"""),16200.0)</f>
        <v>16200</v>
      </c>
      <c r="C1785" s="1">
        <f>IFERROR(__xludf.DUMMYFUNCTION("""COMPUTED_VALUE"""),16250.0)</f>
        <v>16250</v>
      </c>
      <c r="D1785" s="1">
        <f>IFERROR(__xludf.DUMMYFUNCTION("""COMPUTED_VALUE"""),15700.0)</f>
        <v>15700</v>
      </c>
      <c r="E1785" s="1">
        <f>IFERROR(__xludf.DUMMYFUNCTION("""COMPUTED_VALUE"""),16000.0)</f>
        <v>16000</v>
      </c>
      <c r="F1785" s="1">
        <f>IFERROR(__xludf.DUMMYFUNCTION("""COMPUTED_VALUE"""),992453.0)</f>
        <v>992453</v>
      </c>
    </row>
    <row r="1786">
      <c r="A1786" s="2">
        <f>IFERROR(__xludf.DUMMYFUNCTION("""COMPUTED_VALUE"""),43570.64583333333)</f>
        <v>43570.64583</v>
      </c>
      <c r="B1786" s="1">
        <f>IFERROR(__xludf.DUMMYFUNCTION("""COMPUTED_VALUE"""),16400.0)</f>
        <v>16400</v>
      </c>
      <c r="C1786" s="1">
        <f>IFERROR(__xludf.DUMMYFUNCTION("""COMPUTED_VALUE"""),16450.0)</f>
        <v>16450</v>
      </c>
      <c r="D1786" s="1">
        <f>IFERROR(__xludf.DUMMYFUNCTION("""COMPUTED_VALUE"""),15900.0)</f>
        <v>15900</v>
      </c>
      <c r="E1786" s="1">
        <f>IFERROR(__xludf.DUMMYFUNCTION("""COMPUTED_VALUE"""),16050.0)</f>
        <v>16050</v>
      </c>
      <c r="F1786" s="1">
        <f>IFERROR(__xludf.DUMMYFUNCTION("""COMPUTED_VALUE"""),581906.0)</f>
        <v>581906</v>
      </c>
    </row>
    <row r="1787">
      <c r="A1787" s="2">
        <f>IFERROR(__xludf.DUMMYFUNCTION("""COMPUTED_VALUE"""),43571.64583333333)</f>
        <v>43571.64583</v>
      </c>
      <c r="B1787" s="1">
        <f>IFERROR(__xludf.DUMMYFUNCTION("""COMPUTED_VALUE"""),15800.0)</f>
        <v>15800</v>
      </c>
      <c r="C1787" s="1">
        <f>IFERROR(__xludf.DUMMYFUNCTION("""COMPUTED_VALUE"""),16900.0)</f>
        <v>16900</v>
      </c>
      <c r="D1787" s="1">
        <f>IFERROR(__xludf.DUMMYFUNCTION("""COMPUTED_VALUE"""),15200.0)</f>
        <v>15200</v>
      </c>
      <c r="E1787" s="1">
        <f>IFERROR(__xludf.DUMMYFUNCTION("""COMPUTED_VALUE"""),15950.0)</f>
        <v>15950</v>
      </c>
      <c r="F1787" s="1">
        <f>IFERROR(__xludf.DUMMYFUNCTION("""COMPUTED_VALUE"""),1195959.0)</f>
        <v>1195959</v>
      </c>
    </row>
    <row r="1788">
      <c r="A1788" s="2">
        <f>IFERROR(__xludf.DUMMYFUNCTION("""COMPUTED_VALUE"""),43572.64583333333)</f>
        <v>43572.64583</v>
      </c>
      <c r="B1788" s="1">
        <f>IFERROR(__xludf.DUMMYFUNCTION("""COMPUTED_VALUE"""),15650.0)</f>
        <v>15650</v>
      </c>
      <c r="C1788" s="1">
        <f>IFERROR(__xludf.DUMMYFUNCTION("""COMPUTED_VALUE"""),15850.0)</f>
        <v>15850</v>
      </c>
      <c r="D1788" s="1">
        <f>IFERROR(__xludf.DUMMYFUNCTION("""COMPUTED_VALUE"""),15200.0)</f>
        <v>15200</v>
      </c>
      <c r="E1788" s="1">
        <f>IFERROR(__xludf.DUMMYFUNCTION("""COMPUTED_VALUE"""),15300.0)</f>
        <v>15300</v>
      </c>
      <c r="F1788" s="1">
        <f>IFERROR(__xludf.DUMMYFUNCTION("""COMPUTED_VALUE"""),322336.0)</f>
        <v>322336</v>
      </c>
    </row>
    <row r="1789">
      <c r="A1789" s="2">
        <f>IFERROR(__xludf.DUMMYFUNCTION("""COMPUTED_VALUE"""),43573.64583333333)</f>
        <v>43573.64583</v>
      </c>
      <c r="B1789" s="1">
        <f>IFERROR(__xludf.DUMMYFUNCTION("""COMPUTED_VALUE"""),15050.0)</f>
        <v>15050</v>
      </c>
      <c r="C1789" s="1">
        <f>IFERROR(__xludf.DUMMYFUNCTION("""COMPUTED_VALUE"""),15450.0)</f>
        <v>15450</v>
      </c>
      <c r="D1789" s="1">
        <f>IFERROR(__xludf.DUMMYFUNCTION("""COMPUTED_VALUE"""),14750.0)</f>
        <v>14750</v>
      </c>
      <c r="E1789" s="1">
        <f>IFERROR(__xludf.DUMMYFUNCTION("""COMPUTED_VALUE"""),14800.0)</f>
        <v>14800</v>
      </c>
      <c r="F1789" s="1">
        <f>IFERROR(__xludf.DUMMYFUNCTION("""COMPUTED_VALUE"""),278321.0)</f>
        <v>278321</v>
      </c>
    </row>
    <row r="1790">
      <c r="A1790" s="2">
        <f>IFERROR(__xludf.DUMMYFUNCTION("""COMPUTED_VALUE"""),43574.64583333333)</f>
        <v>43574.64583</v>
      </c>
      <c r="B1790" s="1">
        <f>IFERROR(__xludf.DUMMYFUNCTION("""COMPUTED_VALUE"""),14950.0)</f>
        <v>14950</v>
      </c>
      <c r="C1790" s="1">
        <f>IFERROR(__xludf.DUMMYFUNCTION("""COMPUTED_VALUE"""),15400.0)</f>
        <v>15400</v>
      </c>
      <c r="D1790" s="1">
        <f>IFERROR(__xludf.DUMMYFUNCTION("""COMPUTED_VALUE"""),14850.0)</f>
        <v>14850</v>
      </c>
      <c r="E1790" s="1">
        <f>IFERROR(__xludf.DUMMYFUNCTION("""COMPUTED_VALUE"""),14900.0)</f>
        <v>14900</v>
      </c>
      <c r="F1790" s="1">
        <f>IFERROR(__xludf.DUMMYFUNCTION("""COMPUTED_VALUE"""),219681.0)</f>
        <v>219681</v>
      </c>
    </row>
    <row r="1791">
      <c r="A1791" s="2">
        <f>IFERROR(__xludf.DUMMYFUNCTION("""COMPUTED_VALUE"""),43577.64583333333)</f>
        <v>43577.64583</v>
      </c>
      <c r="B1791" s="1">
        <f>IFERROR(__xludf.DUMMYFUNCTION("""COMPUTED_VALUE"""),15200.0)</f>
        <v>15200</v>
      </c>
      <c r="C1791" s="1">
        <f>IFERROR(__xludf.DUMMYFUNCTION("""COMPUTED_VALUE"""),15350.0)</f>
        <v>15350</v>
      </c>
      <c r="D1791" s="1">
        <f>IFERROR(__xludf.DUMMYFUNCTION("""COMPUTED_VALUE"""),14950.0)</f>
        <v>14950</v>
      </c>
      <c r="E1791" s="1">
        <f>IFERROR(__xludf.DUMMYFUNCTION("""COMPUTED_VALUE"""),15100.0)</f>
        <v>15100</v>
      </c>
      <c r="F1791" s="1">
        <f>IFERROR(__xludf.DUMMYFUNCTION("""COMPUTED_VALUE"""),158052.0)</f>
        <v>158052</v>
      </c>
    </row>
    <row r="1792">
      <c r="A1792" s="2">
        <f>IFERROR(__xludf.DUMMYFUNCTION("""COMPUTED_VALUE"""),43578.64583333333)</f>
        <v>43578.64583</v>
      </c>
      <c r="B1792" s="1">
        <f>IFERROR(__xludf.DUMMYFUNCTION("""COMPUTED_VALUE"""),15100.0)</f>
        <v>15100</v>
      </c>
      <c r="C1792" s="1">
        <f>IFERROR(__xludf.DUMMYFUNCTION("""COMPUTED_VALUE"""),15500.0)</f>
        <v>15500</v>
      </c>
      <c r="D1792" s="1">
        <f>IFERROR(__xludf.DUMMYFUNCTION("""COMPUTED_VALUE"""),14900.0)</f>
        <v>14900</v>
      </c>
      <c r="E1792" s="1">
        <f>IFERROR(__xludf.DUMMYFUNCTION("""COMPUTED_VALUE"""),15500.0)</f>
        <v>15500</v>
      </c>
      <c r="F1792" s="1">
        <f>IFERROR(__xludf.DUMMYFUNCTION("""COMPUTED_VALUE"""),226993.0)</f>
        <v>226993</v>
      </c>
    </row>
    <row r="1793">
      <c r="A1793" s="2">
        <f>IFERROR(__xludf.DUMMYFUNCTION("""COMPUTED_VALUE"""),43579.64583333333)</f>
        <v>43579.64583</v>
      </c>
      <c r="B1793" s="1">
        <f>IFERROR(__xludf.DUMMYFUNCTION("""COMPUTED_VALUE"""),15500.0)</f>
        <v>15500</v>
      </c>
      <c r="C1793" s="1">
        <f>IFERROR(__xludf.DUMMYFUNCTION("""COMPUTED_VALUE"""),15500.0)</f>
        <v>15500</v>
      </c>
      <c r="D1793" s="1">
        <f>IFERROR(__xludf.DUMMYFUNCTION("""COMPUTED_VALUE"""),15000.0)</f>
        <v>15000</v>
      </c>
      <c r="E1793" s="1">
        <f>IFERROR(__xludf.DUMMYFUNCTION("""COMPUTED_VALUE"""),15100.0)</f>
        <v>15100</v>
      </c>
      <c r="F1793" s="1">
        <f>IFERROR(__xludf.DUMMYFUNCTION("""COMPUTED_VALUE"""),163930.0)</f>
        <v>163930</v>
      </c>
    </row>
    <row r="1794">
      <c r="A1794" s="2">
        <f>IFERROR(__xludf.DUMMYFUNCTION("""COMPUTED_VALUE"""),43580.64583333333)</f>
        <v>43580.64583</v>
      </c>
      <c r="B1794" s="1">
        <f>IFERROR(__xludf.DUMMYFUNCTION("""COMPUTED_VALUE"""),15100.0)</f>
        <v>15100</v>
      </c>
      <c r="C1794" s="1">
        <f>IFERROR(__xludf.DUMMYFUNCTION("""COMPUTED_VALUE"""),15150.0)</f>
        <v>15150</v>
      </c>
      <c r="D1794" s="1">
        <f>IFERROR(__xludf.DUMMYFUNCTION("""COMPUTED_VALUE"""),14500.0)</f>
        <v>14500</v>
      </c>
      <c r="E1794" s="1">
        <f>IFERROR(__xludf.DUMMYFUNCTION("""COMPUTED_VALUE"""),14550.0)</f>
        <v>14550</v>
      </c>
      <c r="F1794" s="1">
        <f>IFERROR(__xludf.DUMMYFUNCTION("""COMPUTED_VALUE"""),198832.0)</f>
        <v>198832</v>
      </c>
    </row>
    <row r="1795">
      <c r="A1795" s="2">
        <f>IFERROR(__xludf.DUMMYFUNCTION("""COMPUTED_VALUE"""),43581.64583333333)</f>
        <v>43581.64583</v>
      </c>
      <c r="B1795" s="1">
        <f>IFERROR(__xludf.DUMMYFUNCTION("""COMPUTED_VALUE"""),14750.0)</f>
        <v>14750</v>
      </c>
      <c r="C1795" s="1">
        <f>IFERROR(__xludf.DUMMYFUNCTION("""COMPUTED_VALUE"""),15450.0)</f>
        <v>15450</v>
      </c>
      <c r="D1795" s="1">
        <f>IFERROR(__xludf.DUMMYFUNCTION("""COMPUTED_VALUE"""),14650.0)</f>
        <v>14650</v>
      </c>
      <c r="E1795" s="1">
        <f>IFERROR(__xludf.DUMMYFUNCTION("""COMPUTED_VALUE"""),15200.0)</f>
        <v>15200</v>
      </c>
      <c r="F1795" s="1">
        <f>IFERROR(__xludf.DUMMYFUNCTION("""COMPUTED_VALUE"""),382011.0)</f>
        <v>382011</v>
      </c>
    </row>
    <row r="1796">
      <c r="A1796" s="2">
        <f>IFERROR(__xludf.DUMMYFUNCTION("""COMPUTED_VALUE"""),43584.64583333333)</f>
        <v>43584.64583</v>
      </c>
      <c r="B1796" s="1">
        <f>IFERROR(__xludf.DUMMYFUNCTION("""COMPUTED_VALUE"""),14900.0)</f>
        <v>14900</v>
      </c>
      <c r="C1796" s="1">
        <f>IFERROR(__xludf.DUMMYFUNCTION("""COMPUTED_VALUE"""),14900.0)</f>
        <v>14900</v>
      </c>
      <c r="D1796" s="1">
        <f>IFERROR(__xludf.DUMMYFUNCTION("""COMPUTED_VALUE"""),14550.0)</f>
        <v>14550</v>
      </c>
      <c r="E1796" s="1">
        <f>IFERROR(__xludf.DUMMYFUNCTION("""COMPUTED_VALUE"""),14650.0)</f>
        <v>14650</v>
      </c>
      <c r="F1796" s="1">
        <f>IFERROR(__xludf.DUMMYFUNCTION("""COMPUTED_VALUE"""),213337.0)</f>
        <v>213337</v>
      </c>
    </row>
    <row r="1797">
      <c r="A1797" s="2">
        <f>IFERROR(__xludf.DUMMYFUNCTION("""COMPUTED_VALUE"""),43585.64583333333)</f>
        <v>43585.64583</v>
      </c>
      <c r="B1797" s="1">
        <f>IFERROR(__xludf.DUMMYFUNCTION("""COMPUTED_VALUE"""),14600.0)</f>
        <v>14600</v>
      </c>
      <c r="C1797" s="1">
        <f>IFERROR(__xludf.DUMMYFUNCTION("""COMPUTED_VALUE"""),14700.0)</f>
        <v>14700</v>
      </c>
      <c r="D1797" s="1">
        <f>IFERROR(__xludf.DUMMYFUNCTION("""COMPUTED_VALUE"""),14300.0)</f>
        <v>14300</v>
      </c>
      <c r="E1797" s="1">
        <f>IFERROR(__xludf.DUMMYFUNCTION("""COMPUTED_VALUE"""),14600.0)</f>
        <v>14600</v>
      </c>
      <c r="F1797" s="1">
        <f>IFERROR(__xludf.DUMMYFUNCTION("""COMPUTED_VALUE"""),174367.0)</f>
        <v>174367</v>
      </c>
    </row>
    <row r="1798">
      <c r="A1798" s="2">
        <f>IFERROR(__xludf.DUMMYFUNCTION("""COMPUTED_VALUE"""),43587.64583333333)</f>
        <v>43587.64583</v>
      </c>
      <c r="B1798" s="1">
        <f>IFERROR(__xludf.DUMMYFUNCTION("""COMPUTED_VALUE"""),15200.0)</f>
        <v>15200</v>
      </c>
      <c r="C1798" s="1">
        <f>IFERROR(__xludf.DUMMYFUNCTION("""COMPUTED_VALUE"""),15500.0)</f>
        <v>15500</v>
      </c>
      <c r="D1798" s="1">
        <f>IFERROR(__xludf.DUMMYFUNCTION("""COMPUTED_VALUE"""),14800.0)</f>
        <v>14800</v>
      </c>
      <c r="E1798" s="1">
        <f>IFERROR(__xludf.DUMMYFUNCTION("""COMPUTED_VALUE"""),14850.0)</f>
        <v>14850</v>
      </c>
      <c r="F1798" s="1">
        <f>IFERROR(__xludf.DUMMYFUNCTION("""COMPUTED_VALUE"""),371357.0)</f>
        <v>371357</v>
      </c>
    </row>
    <row r="1799">
      <c r="A1799" s="2">
        <f>IFERROR(__xludf.DUMMYFUNCTION("""COMPUTED_VALUE"""),43588.64583333333)</f>
        <v>43588.64583</v>
      </c>
      <c r="B1799" s="1">
        <f>IFERROR(__xludf.DUMMYFUNCTION("""COMPUTED_VALUE"""),14900.0)</f>
        <v>14900</v>
      </c>
      <c r="C1799" s="1">
        <f>IFERROR(__xludf.DUMMYFUNCTION("""COMPUTED_VALUE"""),15400.0)</f>
        <v>15400</v>
      </c>
      <c r="D1799" s="1">
        <f>IFERROR(__xludf.DUMMYFUNCTION("""COMPUTED_VALUE"""),14800.0)</f>
        <v>14800</v>
      </c>
      <c r="E1799" s="1">
        <f>IFERROR(__xludf.DUMMYFUNCTION("""COMPUTED_VALUE"""),15400.0)</f>
        <v>15400</v>
      </c>
      <c r="F1799" s="1">
        <f>IFERROR(__xludf.DUMMYFUNCTION("""COMPUTED_VALUE"""),325153.0)</f>
        <v>325153</v>
      </c>
    </row>
    <row r="1800">
      <c r="A1800" s="2">
        <f>IFERROR(__xludf.DUMMYFUNCTION("""COMPUTED_VALUE"""),43592.64583333333)</f>
        <v>43592.64583</v>
      </c>
      <c r="B1800" s="1">
        <f>IFERROR(__xludf.DUMMYFUNCTION("""COMPUTED_VALUE"""),15100.0)</f>
        <v>15100</v>
      </c>
      <c r="C1800" s="1">
        <f>IFERROR(__xludf.DUMMYFUNCTION("""COMPUTED_VALUE"""),16550.0)</f>
        <v>16550</v>
      </c>
      <c r="D1800" s="1">
        <f>IFERROR(__xludf.DUMMYFUNCTION("""COMPUTED_VALUE"""),14850.0)</f>
        <v>14850</v>
      </c>
      <c r="E1800" s="1">
        <f>IFERROR(__xludf.DUMMYFUNCTION("""COMPUTED_VALUE"""),16100.0)</f>
        <v>16100</v>
      </c>
      <c r="F1800" s="1">
        <f>IFERROR(__xludf.DUMMYFUNCTION("""COMPUTED_VALUE"""),1247749.0)</f>
        <v>1247749</v>
      </c>
    </row>
    <row r="1801">
      <c r="A1801" s="2">
        <f>IFERROR(__xludf.DUMMYFUNCTION("""COMPUTED_VALUE"""),43593.64583333333)</f>
        <v>43593.64583</v>
      </c>
      <c r="B1801" s="1">
        <f>IFERROR(__xludf.DUMMYFUNCTION("""COMPUTED_VALUE"""),16900.0)</f>
        <v>16900</v>
      </c>
      <c r="C1801" s="1">
        <f>IFERROR(__xludf.DUMMYFUNCTION("""COMPUTED_VALUE"""),19500.0)</f>
        <v>19500</v>
      </c>
      <c r="D1801" s="1">
        <f>IFERROR(__xludf.DUMMYFUNCTION("""COMPUTED_VALUE"""),16850.0)</f>
        <v>16850</v>
      </c>
      <c r="E1801" s="1">
        <f>IFERROR(__xludf.DUMMYFUNCTION("""COMPUTED_VALUE"""),17450.0)</f>
        <v>17450</v>
      </c>
      <c r="F1801" s="1">
        <f>IFERROR(__xludf.DUMMYFUNCTION("""COMPUTED_VALUE"""),8118467.0)</f>
        <v>8118467</v>
      </c>
    </row>
    <row r="1802">
      <c r="A1802" s="2">
        <f>IFERROR(__xludf.DUMMYFUNCTION("""COMPUTED_VALUE"""),43594.64583333333)</f>
        <v>43594.64583</v>
      </c>
      <c r="B1802" s="1">
        <f>IFERROR(__xludf.DUMMYFUNCTION("""COMPUTED_VALUE"""),17900.0)</f>
        <v>17900</v>
      </c>
      <c r="C1802" s="1">
        <f>IFERROR(__xludf.DUMMYFUNCTION("""COMPUTED_VALUE"""),18300.0)</f>
        <v>18300</v>
      </c>
      <c r="D1802" s="1">
        <f>IFERROR(__xludf.DUMMYFUNCTION("""COMPUTED_VALUE"""),16850.0)</f>
        <v>16850</v>
      </c>
      <c r="E1802" s="1">
        <f>IFERROR(__xludf.DUMMYFUNCTION("""COMPUTED_VALUE"""),18000.0)</f>
        <v>18000</v>
      </c>
      <c r="F1802" s="1">
        <f>IFERROR(__xludf.DUMMYFUNCTION("""COMPUTED_VALUE"""),1905359.0)</f>
        <v>1905359</v>
      </c>
    </row>
    <row r="1803">
      <c r="A1803" s="2">
        <f>IFERROR(__xludf.DUMMYFUNCTION("""COMPUTED_VALUE"""),43595.64583333333)</f>
        <v>43595.64583</v>
      </c>
      <c r="B1803" s="1">
        <f>IFERROR(__xludf.DUMMYFUNCTION("""COMPUTED_VALUE"""),17000.0)</f>
        <v>17000</v>
      </c>
      <c r="C1803" s="1">
        <f>IFERROR(__xludf.DUMMYFUNCTION("""COMPUTED_VALUE"""),17400.0)</f>
        <v>17400</v>
      </c>
      <c r="D1803" s="1">
        <f>IFERROR(__xludf.DUMMYFUNCTION("""COMPUTED_VALUE"""),16100.0)</f>
        <v>16100</v>
      </c>
      <c r="E1803" s="1">
        <f>IFERROR(__xludf.DUMMYFUNCTION("""COMPUTED_VALUE"""),16100.0)</f>
        <v>16100</v>
      </c>
      <c r="F1803" s="1">
        <f>IFERROR(__xludf.DUMMYFUNCTION("""COMPUTED_VALUE"""),1217708.0)</f>
        <v>1217708</v>
      </c>
    </row>
    <row r="1804">
      <c r="A1804" s="2">
        <f>IFERROR(__xludf.DUMMYFUNCTION("""COMPUTED_VALUE"""),43598.64583333333)</f>
        <v>43598.64583</v>
      </c>
      <c r="B1804" s="1">
        <f>IFERROR(__xludf.DUMMYFUNCTION("""COMPUTED_VALUE"""),15700.0)</f>
        <v>15700</v>
      </c>
      <c r="C1804" s="1">
        <f>IFERROR(__xludf.DUMMYFUNCTION("""COMPUTED_VALUE"""),16600.0)</f>
        <v>16600</v>
      </c>
      <c r="D1804" s="1">
        <f>IFERROR(__xludf.DUMMYFUNCTION("""COMPUTED_VALUE"""),15100.0)</f>
        <v>15100</v>
      </c>
      <c r="E1804" s="1">
        <f>IFERROR(__xludf.DUMMYFUNCTION("""COMPUTED_VALUE"""),15300.0)</f>
        <v>15300</v>
      </c>
      <c r="F1804" s="1">
        <f>IFERROR(__xludf.DUMMYFUNCTION("""COMPUTED_VALUE"""),755568.0)</f>
        <v>755568</v>
      </c>
    </row>
    <row r="1805">
      <c r="A1805" s="2">
        <f>IFERROR(__xludf.DUMMYFUNCTION("""COMPUTED_VALUE"""),43599.64583333333)</f>
        <v>43599.64583</v>
      </c>
      <c r="B1805" s="1">
        <f>IFERROR(__xludf.DUMMYFUNCTION("""COMPUTED_VALUE"""),15150.0)</f>
        <v>15150</v>
      </c>
      <c r="C1805" s="1">
        <f>IFERROR(__xludf.DUMMYFUNCTION("""COMPUTED_VALUE"""),15900.0)</f>
        <v>15900</v>
      </c>
      <c r="D1805" s="1">
        <f>IFERROR(__xludf.DUMMYFUNCTION("""COMPUTED_VALUE"""),15100.0)</f>
        <v>15100</v>
      </c>
      <c r="E1805" s="1">
        <f>IFERROR(__xludf.DUMMYFUNCTION("""COMPUTED_VALUE"""),15600.0)</f>
        <v>15600</v>
      </c>
      <c r="F1805" s="1">
        <f>IFERROR(__xludf.DUMMYFUNCTION("""COMPUTED_VALUE"""),678814.0)</f>
        <v>678814</v>
      </c>
    </row>
    <row r="1806">
      <c r="A1806" s="2">
        <f>IFERROR(__xludf.DUMMYFUNCTION("""COMPUTED_VALUE"""),43600.64583333333)</f>
        <v>43600.64583</v>
      </c>
      <c r="B1806" s="1">
        <f>IFERROR(__xludf.DUMMYFUNCTION("""COMPUTED_VALUE"""),15550.0)</f>
        <v>15550</v>
      </c>
      <c r="C1806" s="1">
        <f>IFERROR(__xludf.DUMMYFUNCTION("""COMPUTED_VALUE"""),15600.0)</f>
        <v>15600</v>
      </c>
      <c r="D1806" s="1">
        <f>IFERROR(__xludf.DUMMYFUNCTION("""COMPUTED_VALUE"""),15200.0)</f>
        <v>15200</v>
      </c>
      <c r="E1806" s="1">
        <f>IFERROR(__xludf.DUMMYFUNCTION("""COMPUTED_VALUE"""),15400.0)</f>
        <v>15400</v>
      </c>
      <c r="F1806" s="1">
        <f>IFERROR(__xludf.DUMMYFUNCTION("""COMPUTED_VALUE"""),394686.0)</f>
        <v>394686</v>
      </c>
    </row>
    <row r="1807">
      <c r="A1807" s="2">
        <f>IFERROR(__xludf.DUMMYFUNCTION("""COMPUTED_VALUE"""),43601.64583333333)</f>
        <v>43601.64583</v>
      </c>
      <c r="B1807" s="1">
        <f>IFERROR(__xludf.DUMMYFUNCTION("""COMPUTED_VALUE"""),16300.0)</f>
        <v>16300</v>
      </c>
      <c r="C1807" s="1">
        <f>IFERROR(__xludf.DUMMYFUNCTION("""COMPUTED_VALUE"""),16850.0)</f>
        <v>16850</v>
      </c>
      <c r="D1807" s="1">
        <f>IFERROR(__xludf.DUMMYFUNCTION("""COMPUTED_VALUE"""),15800.0)</f>
        <v>15800</v>
      </c>
      <c r="E1807" s="1">
        <f>IFERROR(__xludf.DUMMYFUNCTION("""COMPUTED_VALUE"""),16000.0)</f>
        <v>16000</v>
      </c>
      <c r="F1807" s="1">
        <f>IFERROR(__xludf.DUMMYFUNCTION("""COMPUTED_VALUE"""),1154326.0)</f>
        <v>1154326</v>
      </c>
    </row>
    <row r="1808">
      <c r="A1808" s="2">
        <f>IFERROR(__xludf.DUMMYFUNCTION("""COMPUTED_VALUE"""),43602.64583333333)</f>
        <v>43602.64583</v>
      </c>
      <c r="B1808" s="1">
        <f>IFERROR(__xludf.DUMMYFUNCTION("""COMPUTED_VALUE"""),16150.0)</f>
        <v>16150</v>
      </c>
      <c r="C1808" s="1">
        <f>IFERROR(__xludf.DUMMYFUNCTION("""COMPUTED_VALUE"""),18800.0)</f>
        <v>18800</v>
      </c>
      <c r="D1808" s="1">
        <f>IFERROR(__xludf.DUMMYFUNCTION("""COMPUTED_VALUE"""),15900.0)</f>
        <v>15900</v>
      </c>
      <c r="E1808" s="1">
        <f>IFERROR(__xludf.DUMMYFUNCTION("""COMPUTED_VALUE"""),17450.0)</f>
        <v>17450</v>
      </c>
      <c r="F1808" s="1">
        <f>IFERROR(__xludf.DUMMYFUNCTION("""COMPUTED_VALUE"""),4816899.0)</f>
        <v>4816899</v>
      </c>
    </row>
    <row r="1809">
      <c r="A1809" s="2">
        <f>IFERROR(__xludf.DUMMYFUNCTION("""COMPUTED_VALUE"""),43605.64583333333)</f>
        <v>43605.64583</v>
      </c>
      <c r="B1809" s="1">
        <f>IFERROR(__xludf.DUMMYFUNCTION("""COMPUTED_VALUE"""),17700.0)</f>
        <v>17700</v>
      </c>
      <c r="C1809" s="1">
        <f>IFERROR(__xludf.DUMMYFUNCTION("""COMPUTED_VALUE"""),17850.0)</f>
        <v>17850</v>
      </c>
      <c r="D1809" s="1">
        <f>IFERROR(__xludf.DUMMYFUNCTION("""COMPUTED_VALUE"""),16500.0)</f>
        <v>16500</v>
      </c>
      <c r="E1809" s="1">
        <f>IFERROR(__xludf.DUMMYFUNCTION("""COMPUTED_VALUE"""),16600.0)</f>
        <v>16600</v>
      </c>
      <c r="F1809" s="1">
        <f>IFERROR(__xludf.DUMMYFUNCTION("""COMPUTED_VALUE"""),683422.0)</f>
        <v>683422</v>
      </c>
    </row>
    <row r="1810">
      <c r="A1810" s="2">
        <f>IFERROR(__xludf.DUMMYFUNCTION("""COMPUTED_VALUE"""),43606.64583333333)</f>
        <v>43606.64583</v>
      </c>
      <c r="B1810" s="1">
        <f>IFERROR(__xludf.DUMMYFUNCTION("""COMPUTED_VALUE"""),16350.0)</f>
        <v>16350</v>
      </c>
      <c r="C1810" s="1">
        <f>IFERROR(__xludf.DUMMYFUNCTION("""COMPUTED_VALUE"""),16900.0)</f>
        <v>16900</v>
      </c>
      <c r="D1810" s="1">
        <f>IFERROR(__xludf.DUMMYFUNCTION("""COMPUTED_VALUE"""),16200.0)</f>
        <v>16200</v>
      </c>
      <c r="E1810" s="1">
        <f>IFERROR(__xludf.DUMMYFUNCTION("""COMPUTED_VALUE"""),16200.0)</f>
        <v>16200</v>
      </c>
      <c r="F1810" s="1">
        <f>IFERROR(__xludf.DUMMYFUNCTION("""COMPUTED_VALUE"""),343351.0)</f>
        <v>343351</v>
      </c>
    </row>
    <row r="1811">
      <c r="A1811" s="2">
        <f>IFERROR(__xludf.DUMMYFUNCTION("""COMPUTED_VALUE"""),43607.64583333333)</f>
        <v>43607.64583</v>
      </c>
      <c r="B1811" s="1">
        <f>IFERROR(__xludf.DUMMYFUNCTION("""COMPUTED_VALUE"""),16300.0)</f>
        <v>16300</v>
      </c>
      <c r="C1811" s="1">
        <f>IFERROR(__xludf.DUMMYFUNCTION("""COMPUTED_VALUE"""),17850.0)</f>
        <v>17850</v>
      </c>
      <c r="D1811" s="1">
        <f>IFERROR(__xludf.DUMMYFUNCTION("""COMPUTED_VALUE"""),16300.0)</f>
        <v>16300</v>
      </c>
      <c r="E1811" s="1">
        <f>IFERROR(__xludf.DUMMYFUNCTION("""COMPUTED_VALUE"""),16550.0)</f>
        <v>16550</v>
      </c>
      <c r="F1811" s="1">
        <f>IFERROR(__xludf.DUMMYFUNCTION("""COMPUTED_VALUE"""),1201670.0)</f>
        <v>1201670</v>
      </c>
    </row>
    <row r="1812">
      <c r="A1812" s="2">
        <f>IFERROR(__xludf.DUMMYFUNCTION("""COMPUTED_VALUE"""),43608.64583333333)</f>
        <v>43608.64583</v>
      </c>
      <c r="B1812" s="1">
        <f>IFERROR(__xludf.DUMMYFUNCTION("""COMPUTED_VALUE"""),16500.0)</f>
        <v>16500</v>
      </c>
      <c r="C1812" s="1">
        <f>IFERROR(__xludf.DUMMYFUNCTION("""COMPUTED_VALUE"""),16550.0)</f>
        <v>16550</v>
      </c>
      <c r="D1812" s="1">
        <f>IFERROR(__xludf.DUMMYFUNCTION("""COMPUTED_VALUE"""),15800.0)</f>
        <v>15800</v>
      </c>
      <c r="E1812" s="1">
        <f>IFERROR(__xludf.DUMMYFUNCTION("""COMPUTED_VALUE"""),15950.0)</f>
        <v>15950</v>
      </c>
      <c r="F1812" s="1">
        <f>IFERROR(__xludf.DUMMYFUNCTION("""COMPUTED_VALUE"""),414407.0)</f>
        <v>414407</v>
      </c>
    </row>
    <row r="1813">
      <c r="A1813" s="2">
        <f>IFERROR(__xludf.DUMMYFUNCTION("""COMPUTED_VALUE"""),43609.64583333333)</f>
        <v>43609.64583</v>
      </c>
      <c r="B1813" s="1">
        <f>IFERROR(__xludf.DUMMYFUNCTION("""COMPUTED_VALUE"""),15500.0)</f>
        <v>15500</v>
      </c>
      <c r="C1813" s="1">
        <f>IFERROR(__xludf.DUMMYFUNCTION("""COMPUTED_VALUE"""),15750.0)</f>
        <v>15750</v>
      </c>
      <c r="D1813" s="1">
        <f>IFERROR(__xludf.DUMMYFUNCTION("""COMPUTED_VALUE"""),14750.0)</f>
        <v>14750</v>
      </c>
      <c r="E1813" s="1">
        <f>IFERROR(__xludf.DUMMYFUNCTION("""COMPUTED_VALUE"""),15250.0)</f>
        <v>15250</v>
      </c>
      <c r="F1813" s="1">
        <f>IFERROR(__xludf.DUMMYFUNCTION("""COMPUTED_VALUE"""),465076.0)</f>
        <v>465076</v>
      </c>
    </row>
    <row r="1814">
      <c r="A1814" s="2">
        <f>IFERROR(__xludf.DUMMYFUNCTION("""COMPUTED_VALUE"""),43612.64583333333)</f>
        <v>43612.64583</v>
      </c>
      <c r="B1814" s="1">
        <f>IFERROR(__xludf.DUMMYFUNCTION("""COMPUTED_VALUE"""),15200.0)</f>
        <v>15200</v>
      </c>
      <c r="C1814" s="1">
        <f>IFERROR(__xludf.DUMMYFUNCTION("""COMPUTED_VALUE"""),15850.0)</f>
        <v>15850</v>
      </c>
      <c r="D1814" s="1">
        <f>IFERROR(__xludf.DUMMYFUNCTION("""COMPUTED_VALUE"""),15200.0)</f>
        <v>15200</v>
      </c>
      <c r="E1814" s="1">
        <f>IFERROR(__xludf.DUMMYFUNCTION("""COMPUTED_VALUE"""),15500.0)</f>
        <v>15500</v>
      </c>
      <c r="F1814" s="1">
        <f>IFERROR(__xludf.DUMMYFUNCTION("""COMPUTED_VALUE"""),335657.0)</f>
        <v>335657</v>
      </c>
    </row>
    <row r="1815">
      <c r="A1815" s="2">
        <f>IFERROR(__xludf.DUMMYFUNCTION("""COMPUTED_VALUE"""),43613.64583333333)</f>
        <v>43613.64583</v>
      </c>
      <c r="B1815" s="1">
        <f>IFERROR(__xludf.DUMMYFUNCTION("""COMPUTED_VALUE"""),15500.0)</f>
        <v>15500</v>
      </c>
      <c r="C1815" s="1">
        <f>IFERROR(__xludf.DUMMYFUNCTION("""COMPUTED_VALUE"""),16250.0)</f>
        <v>16250</v>
      </c>
      <c r="D1815" s="1">
        <f>IFERROR(__xludf.DUMMYFUNCTION("""COMPUTED_VALUE"""),15400.0)</f>
        <v>15400</v>
      </c>
      <c r="E1815" s="1">
        <f>IFERROR(__xludf.DUMMYFUNCTION("""COMPUTED_VALUE"""),15900.0)</f>
        <v>15900</v>
      </c>
      <c r="F1815" s="1">
        <f>IFERROR(__xludf.DUMMYFUNCTION("""COMPUTED_VALUE"""),425316.0)</f>
        <v>425316</v>
      </c>
    </row>
    <row r="1816">
      <c r="A1816" s="2">
        <f>IFERROR(__xludf.DUMMYFUNCTION("""COMPUTED_VALUE"""),43614.64583333333)</f>
        <v>43614.64583</v>
      </c>
      <c r="B1816" s="1">
        <f>IFERROR(__xludf.DUMMYFUNCTION("""COMPUTED_VALUE"""),15750.0)</f>
        <v>15750</v>
      </c>
      <c r="C1816" s="1">
        <f>IFERROR(__xludf.DUMMYFUNCTION("""COMPUTED_VALUE"""),15750.0)</f>
        <v>15750</v>
      </c>
      <c r="D1816" s="1">
        <f>IFERROR(__xludf.DUMMYFUNCTION("""COMPUTED_VALUE"""),15300.0)</f>
        <v>15300</v>
      </c>
      <c r="E1816" s="1">
        <f>IFERROR(__xludf.DUMMYFUNCTION("""COMPUTED_VALUE"""),15500.0)</f>
        <v>15500</v>
      </c>
      <c r="F1816" s="1">
        <f>IFERROR(__xludf.DUMMYFUNCTION("""COMPUTED_VALUE"""),166820.0)</f>
        <v>166820</v>
      </c>
    </row>
    <row r="1817">
      <c r="A1817" s="2">
        <f>IFERROR(__xludf.DUMMYFUNCTION("""COMPUTED_VALUE"""),43615.64583333333)</f>
        <v>43615.64583</v>
      </c>
      <c r="B1817" s="1">
        <f>IFERROR(__xludf.DUMMYFUNCTION("""COMPUTED_VALUE"""),15550.0)</f>
        <v>15550</v>
      </c>
      <c r="C1817" s="1">
        <f>IFERROR(__xludf.DUMMYFUNCTION("""COMPUTED_VALUE"""),15850.0)</f>
        <v>15850</v>
      </c>
      <c r="D1817" s="1">
        <f>IFERROR(__xludf.DUMMYFUNCTION("""COMPUTED_VALUE"""),15200.0)</f>
        <v>15200</v>
      </c>
      <c r="E1817" s="1">
        <f>IFERROR(__xludf.DUMMYFUNCTION("""COMPUTED_VALUE"""),15500.0)</f>
        <v>15500</v>
      </c>
      <c r="F1817" s="1">
        <f>IFERROR(__xludf.DUMMYFUNCTION("""COMPUTED_VALUE"""),235125.0)</f>
        <v>235125</v>
      </c>
    </row>
    <row r="1818">
      <c r="A1818" s="2">
        <f>IFERROR(__xludf.DUMMYFUNCTION("""COMPUTED_VALUE"""),43616.64583333333)</f>
        <v>43616.64583</v>
      </c>
      <c r="B1818" s="1">
        <f>IFERROR(__xludf.DUMMYFUNCTION("""COMPUTED_VALUE"""),15400.0)</f>
        <v>15400</v>
      </c>
      <c r="C1818" s="1">
        <f>IFERROR(__xludf.DUMMYFUNCTION("""COMPUTED_VALUE"""),16300.0)</f>
        <v>16300</v>
      </c>
      <c r="D1818" s="1">
        <f>IFERROR(__xludf.DUMMYFUNCTION("""COMPUTED_VALUE"""),15250.0)</f>
        <v>15250</v>
      </c>
      <c r="E1818" s="1">
        <f>IFERROR(__xludf.DUMMYFUNCTION("""COMPUTED_VALUE"""),15950.0)</f>
        <v>15950</v>
      </c>
      <c r="F1818" s="1">
        <f>IFERROR(__xludf.DUMMYFUNCTION("""COMPUTED_VALUE"""),595754.0)</f>
        <v>595754</v>
      </c>
    </row>
    <row r="1819">
      <c r="A1819" s="2">
        <f>IFERROR(__xludf.DUMMYFUNCTION("""COMPUTED_VALUE"""),43619.64583333333)</f>
        <v>43619.64583</v>
      </c>
      <c r="B1819" s="1">
        <f>IFERROR(__xludf.DUMMYFUNCTION("""COMPUTED_VALUE"""),15850.0)</f>
        <v>15850</v>
      </c>
      <c r="C1819" s="1">
        <f>IFERROR(__xludf.DUMMYFUNCTION("""COMPUTED_VALUE"""),16250.0)</f>
        <v>16250</v>
      </c>
      <c r="D1819" s="1">
        <f>IFERROR(__xludf.DUMMYFUNCTION("""COMPUTED_VALUE"""),15550.0)</f>
        <v>15550</v>
      </c>
      <c r="E1819" s="1">
        <f>IFERROR(__xludf.DUMMYFUNCTION("""COMPUTED_VALUE"""),15800.0)</f>
        <v>15800</v>
      </c>
      <c r="F1819" s="1">
        <f>IFERROR(__xludf.DUMMYFUNCTION("""COMPUTED_VALUE"""),182106.0)</f>
        <v>182106</v>
      </c>
    </row>
    <row r="1820">
      <c r="A1820" s="2">
        <f>IFERROR(__xludf.DUMMYFUNCTION("""COMPUTED_VALUE"""),43620.64583333333)</f>
        <v>43620.64583</v>
      </c>
      <c r="B1820" s="1">
        <f>IFERROR(__xludf.DUMMYFUNCTION("""COMPUTED_VALUE"""),15900.0)</f>
        <v>15900</v>
      </c>
      <c r="C1820" s="1">
        <f>IFERROR(__xludf.DUMMYFUNCTION("""COMPUTED_VALUE"""),16150.0)</f>
        <v>16150</v>
      </c>
      <c r="D1820" s="1">
        <f>IFERROR(__xludf.DUMMYFUNCTION("""COMPUTED_VALUE"""),15800.0)</f>
        <v>15800</v>
      </c>
      <c r="E1820" s="1">
        <f>IFERROR(__xludf.DUMMYFUNCTION("""COMPUTED_VALUE"""),16050.0)</f>
        <v>16050</v>
      </c>
      <c r="F1820" s="1">
        <f>IFERROR(__xludf.DUMMYFUNCTION("""COMPUTED_VALUE"""),201017.0)</f>
        <v>201017</v>
      </c>
    </row>
    <row r="1821">
      <c r="A1821" s="2">
        <f>IFERROR(__xludf.DUMMYFUNCTION("""COMPUTED_VALUE"""),43621.64583333333)</f>
        <v>43621.64583</v>
      </c>
      <c r="B1821" s="1">
        <f>IFERROR(__xludf.DUMMYFUNCTION("""COMPUTED_VALUE"""),16050.0)</f>
        <v>16050</v>
      </c>
      <c r="C1821" s="1">
        <f>IFERROR(__xludf.DUMMYFUNCTION("""COMPUTED_VALUE"""),16350.0)</f>
        <v>16350</v>
      </c>
      <c r="D1821" s="1">
        <f>IFERROR(__xludf.DUMMYFUNCTION("""COMPUTED_VALUE"""),15900.0)</f>
        <v>15900</v>
      </c>
      <c r="E1821" s="1">
        <f>IFERROR(__xludf.DUMMYFUNCTION("""COMPUTED_VALUE"""),16350.0)</f>
        <v>16350</v>
      </c>
      <c r="F1821" s="1">
        <f>IFERROR(__xludf.DUMMYFUNCTION("""COMPUTED_VALUE"""),297225.0)</f>
        <v>297225</v>
      </c>
    </row>
    <row r="1822">
      <c r="A1822" s="2">
        <f>IFERROR(__xludf.DUMMYFUNCTION("""COMPUTED_VALUE"""),43623.64583333333)</f>
        <v>43623.64583</v>
      </c>
      <c r="B1822" s="1">
        <f>IFERROR(__xludf.DUMMYFUNCTION("""COMPUTED_VALUE"""),16600.0)</f>
        <v>16600</v>
      </c>
      <c r="C1822" s="1">
        <f>IFERROR(__xludf.DUMMYFUNCTION("""COMPUTED_VALUE"""),16800.0)</f>
        <v>16800</v>
      </c>
      <c r="D1822" s="1">
        <f>IFERROR(__xludf.DUMMYFUNCTION("""COMPUTED_VALUE"""),16300.0)</f>
        <v>16300</v>
      </c>
      <c r="E1822" s="1">
        <f>IFERROR(__xludf.DUMMYFUNCTION("""COMPUTED_VALUE"""),16500.0)</f>
        <v>16500</v>
      </c>
      <c r="F1822" s="1">
        <f>IFERROR(__xludf.DUMMYFUNCTION("""COMPUTED_VALUE"""),374191.0)</f>
        <v>374191</v>
      </c>
    </row>
    <row r="1823">
      <c r="A1823" s="2">
        <f>IFERROR(__xludf.DUMMYFUNCTION("""COMPUTED_VALUE"""),43626.64583333333)</f>
        <v>43626.64583</v>
      </c>
      <c r="B1823" s="1">
        <f>IFERROR(__xludf.DUMMYFUNCTION("""COMPUTED_VALUE"""),17250.0)</f>
        <v>17250</v>
      </c>
      <c r="C1823" s="1">
        <f>IFERROR(__xludf.DUMMYFUNCTION("""COMPUTED_VALUE"""),17450.0)</f>
        <v>17450</v>
      </c>
      <c r="D1823" s="1">
        <f>IFERROR(__xludf.DUMMYFUNCTION("""COMPUTED_VALUE"""),16800.0)</f>
        <v>16800</v>
      </c>
      <c r="E1823" s="1">
        <f>IFERROR(__xludf.DUMMYFUNCTION("""COMPUTED_VALUE"""),16950.0)</f>
        <v>16950</v>
      </c>
      <c r="F1823" s="1">
        <f>IFERROR(__xludf.DUMMYFUNCTION("""COMPUTED_VALUE"""),803567.0)</f>
        <v>803567</v>
      </c>
    </row>
    <row r="1824">
      <c r="A1824" s="2">
        <f>IFERROR(__xludf.DUMMYFUNCTION("""COMPUTED_VALUE"""),43627.64583333333)</f>
        <v>43627.64583</v>
      </c>
      <c r="B1824" s="1">
        <f>IFERROR(__xludf.DUMMYFUNCTION("""COMPUTED_VALUE"""),17150.0)</f>
        <v>17150</v>
      </c>
      <c r="C1824" s="1">
        <f>IFERROR(__xludf.DUMMYFUNCTION("""COMPUTED_VALUE"""),17650.0)</f>
        <v>17650</v>
      </c>
      <c r="D1824" s="1">
        <f>IFERROR(__xludf.DUMMYFUNCTION("""COMPUTED_VALUE"""),16950.0)</f>
        <v>16950</v>
      </c>
      <c r="E1824" s="1">
        <f>IFERROR(__xludf.DUMMYFUNCTION("""COMPUTED_VALUE"""),17600.0)</f>
        <v>17600</v>
      </c>
      <c r="F1824" s="1">
        <f>IFERROR(__xludf.DUMMYFUNCTION("""COMPUTED_VALUE"""),569437.0)</f>
        <v>569437</v>
      </c>
    </row>
    <row r="1825">
      <c r="A1825" s="2">
        <f>IFERROR(__xludf.DUMMYFUNCTION("""COMPUTED_VALUE"""),43628.64583333333)</f>
        <v>43628.64583</v>
      </c>
      <c r="B1825" s="1">
        <f>IFERROR(__xludf.DUMMYFUNCTION("""COMPUTED_VALUE"""),18450.0)</f>
        <v>18450</v>
      </c>
      <c r="C1825" s="1">
        <f>IFERROR(__xludf.DUMMYFUNCTION("""COMPUTED_VALUE"""),18500.0)</f>
        <v>18500</v>
      </c>
      <c r="D1825" s="1">
        <f>IFERROR(__xludf.DUMMYFUNCTION("""COMPUTED_VALUE"""),17100.0)</f>
        <v>17100</v>
      </c>
      <c r="E1825" s="1">
        <f>IFERROR(__xludf.DUMMYFUNCTION("""COMPUTED_VALUE"""),17200.0)</f>
        <v>17200</v>
      </c>
      <c r="F1825" s="1">
        <f>IFERROR(__xludf.DUMMYFUNCTION("""COMPUTED_VALUE"""),894879.0)</f>
        <v>894879</v>
      </c>
    </row>
    <row r="1826">
      <c r="A1826" s="2">
        <f>IFERROR(__xludf.DUMMYFUNCTION("""COMPUTED_VALUE"""),43629.64583333333)</f>
        <v>43629.64583</v>
      </c>
      <c r="B1826" s="1">
        <f>IFERROR(__xludf.DUMMYFUNCTION("""COMPUTED_VALUE"""),17200.0)</f>
        <v>17200</v>
      </c>
      <c r="C1826" s="1">
        <f>IFERROR(__xludf.DUMMYFUNCTION("""COMPUTED_VALUE"""),17800.0)</f>
        <v>17800</v>
      </c>
      <c r="D1826" s="1">
        <f>IFERROR(__xludf.DUMMYFUNCTION("""COMPUTED_VALUE"""),16750.0)</f>
        <v>16750</v>
      </c>
      <c r="E1826" s="1">
        <f>IFERROR(__xludf.DUMMYFUNCTION("""COMPUTED_VALUE"""),17800.0)</f>
        <v>17800</v>
      </c>
      <c r="F1826" s="1">
        <f>IFERROR(__xludf.DUMMYFUNCTION("""COMPUTED_VALUE"""),398134.0)</f>
        <v>398134</v>
      </c>
    </row>
    <row r="1827">
      <c r="A1827" s="2">
        <f>IFERROR(__xludf.DUMMYFUNCTION("""COMPUTED_VALUE"""),43630.64583333333)</f>
        <v>43630.64583</v>
      </c>
      <c r="B1827" s="1">
        <f>IFERROR(__xludf.DUMMYFUNCTION("""COMPUTED_VALUE"""),17750.0)</f>
        <v>17750</v>
      </c>
      <c r="C1827" s="1">
        <f>IFERROR(__xludf.DUMMYFUNCTION("""COMPUTED_VALUE"""),18400.0)</f>
        <v>18400</v>
      </c>
      <c r="D1827" s="1">
        <f>IFERROR(__xludf.DUMMYFUNCTION("""COMPUTED_VALUE"""),17550.0)</f>
        <v>17550</v>
      </c>
      <c r="E1827" s="1">
        <f>IFERROR(__xludf.DUMMYFUNCTION("""COMPUTED_VALUE"""),18350.0)</f>
        <v>18350</v>
      </c>
      <c r="F1827" s="1">
        <f>IFERROR(__xludf.DUMMYFUNCTION("""COMPUTED_VALUE"""),613744.0)</f>
        <v>613744</v>
      </c>
    </row>
    <row r="1828">
      <c r="A1828" s="2">
        <f>IFERROR(__xludf.DUMMYFUNCTION("""COMPUTED_VALUE"""),43633.64583333333)</f>
        <v>43633.64583</v>
      </c>
      <c r="B1828" s="1">
        <f>IFERROR(__xludf.DUMMYFUNCTION("""COMPUTED_VALUE"""),18200.0)</f>
        <v>18200</v>
      </c>
      <c r="C1828" s="1">
        <f>IFERROR(__xludf.DUMMYFUNCTION("""COMPUTED_VALUE"""),18350.0)</f>
        <v>18350</v>
      </c>
      <c r="D1828" s="1">
        <f>IFERROR(__xludf.DUMMYFUNCTION("""COMPUTED_VALUE"""),17700.0)</f>
        <v>17700</v>
      </c>
      <c r="E1828" s="1">
        <f>IFERROR(__xludf.DUMMYFUNCTION("""COMPUTED_VALUE"""),17700.0)</f>
        <v>17700</v>
      </c>
      <c r="F1828" s="1">
        <f>IFERROR(__xludf.DUMMYFUNCTION("""COMPUTED_VALUE"""),367011.0)</f>
        <v>367011</v>
      </c>
    </row>
    <row r="1829">
      <c r="A1829" s="2">
        <f>IFERROR(__xludf.DUMMYFUNCTION("""COMPUTED_VALUE"""),43634.64583333333)</f>
        <v>43634.64583</v>
      </c>
      <c r="B1829" s="1">
        <f>IFERROR(__xludf.DUMMYFUNCTION("""COMPUTED_VALUE"""),17800.0)</f>
        <v>17800</v>
      </c>
      <c r="C1829" s="1">
        <f>IFERROR(__xludf.DUMMYFUNCTION("""COMPUTED_VALUE"""),18250.0)</f>
        <v>18250</v>
      </c>
      <c r="D1829" s="1">
        <f>IFERROR(__xludf.DUMMYFUNCTION("""COMPUTED_VALUE"""),16900.0)</f>
        <v>16900</v>
      </c>
      <c r="E1829" s="1">
        <f>IFERROR(__xludf.DUMMYFUNCTION("""COMPUTED_VALUE"""),17100.0)</f>
        <v>17100</v>
      </c>
      <c r="F1829" s="1">
        <f>IFERROR(__xludf.DUMMYFUNCTION("""COMPUTED_VALUE"""),432332.0)</f>
        <v>432332</v>
      </c>
    </row>
    <row r="1830">
      <c r="A1830" s="2">
        <f>IFERROR(__xludf.DUMMYFUNCTION("""COMPUTED_VALUE"""),43635.64583333333)</f>
        <v>43635.64583</v>
      </c>
      <c r="B1830" s="1">
        <f>IFERROR(__xludf.DUMMYFUNCTION("""COMPUTED_VALUE"""),17400.0)</f>
        <v>17400</v>
      </c>
      <c r="C1830" s="1">
        <f>IFERROR(__xludf.DUMMYFUNCTION("""COMPUTED_VALUE"""),19250.0)</f>
        <v>19250</v>
      </c>
      <c r="D1830" s="1">
        <f>IFERROR(__xludf.DUMMYFUNCTION("""COMPUTED_VALUE"""),17350.0)</f>
        <v>17350</v>
      </c>
      <c r="E1830" s="1">
        <f>IFERROR(__xludf.DUMMYFUNCTION("""COMPUTED_VALUE"""),18650.0)</f>
        <v>18650</v>
      </c>
      <c r="F1830" s="1">
        <f>IFERROR(__xludf.DUMMYFUNCTION("""COMPUTED_VALUE"""),2507353.0)</f>
        <v>2507353</v>
      </c>
    </row>
    <row r="1831">
      <c r="A1831" s="2">
        <f>IFERROR(__xludf.DUMMYFUNCTION("""COMPUTED_VALUE"""),43636.64583333333)</f>
        <v>43636.64583</v>
      </c>
      <c r="B1831" s="1">
        <f>IFERROR(__xludf.DUMMYFUNCTION("""COMPUTED_VALUE"""),19850.0)</f>
        <v>19850</v>
      </c>
      <c r="C1831" s="1">
        <f>IFERROR(__xludf.DUMMYFUNCTION("""COMPUTED_VALUE"""),20500.0)</f>
        <v>20500</v>
      </c>
      <c r="D1831" s="1">
        <f>IFERROR(__xludf.DUMMYFUNCTION("""COMPUTED_VALUE"""),18700.0)</f>
        <v>18700</v>
      </c>
      <c r="E1831" s="1">
        <f>IFERROR(__xludf.DUMMYFUNCTION("""COMPUTED_VALUE"""),18900.0)</f>
        <v>18900</v>
      </c>
      <c r="F1831" s="1">
        <f>IFERROR(__xludf.DUMMYFUNCTION("""COMPUTED_VALUE"""),1826976.0)</f>
        <v>1826976</v>
      </c>
    </row>
    <row r="1832">
      <c r="A1832" s="2">
        <f>IFERROR(__xludf.DUMMYFUNCTION("""COMPUTED_VALUE"""),43637.64583333333)</f>
        <v>43637.64583</v>
      </c>
      <c r="B1832" s="1">
        <f>IFERROR(__xludf.DUMMYFUNCTION("""COMPUTED_VALUE"""),18700.0)</f>
        <v>18700</v>
      </c>
      <c r="C1832" s="1">
        <f>IFERROR(__xludf.DUMMYFUNCTION("""COMPUTED_VALUE"""),18700.0)</f>
        <v>18700</v>
      </c>
      <c r="D1832" s="1">
        <f>IFERROR(__xludf.DUMMYFUNCTION("""COMPUTED_VALUE"""),17950.0)</f>
        <v>17950</v>
      </c>
      <c r="E1832" s="1">
        <f>IFERROR(__xludf.DUMMYFUNCTION("""COMPUTED_VALUE"""),18050.0)</f>
        <v>18050</v>
      </c>
      <c r="F1832" s="1">
        <f>IFERROR(__xludf.DUMMYFUNCTION("""COMPUTED_VALUE"""),597197.0)</f>
        <v>597197</v>
      </c>
    </row>
    <row r="1833">
      <c r="A1833" s="2">
        <f>IFERROR(__xludf.DUMMYFUNCTION("""COMPUTED_VALUE"""),43640.64583333333)</f>
        <v>43640.64583</v>
      </c>
      <c r="B1833" s="1">
        <f>IFERROR(__xludf.DUMMYFUNCTION("""COMPUTED_VALUE"""),19100.0)</f>
        <v>19100</v>
      </c>
      <c r="C1833" s="1">
        <f>IFERROR(__xludf.DUMMYFUNCTION("""COMPUTED_VALUE"""),19300.0)</f>
        <v>19300</v>
      </c>
      <c r="D1833" s="1">
        <f>IFERROR(__xludf.DUMMYFUNCTION("""COMPUTED_VALUE"""),18600.0)</f>
        <v>18600</v>
      </c>
      <c r="E1833" s="1">
        <f>IFERROR(__xludf.DUMMYFUNCTION("""COMPUTED_VALUE"""),18850.0)</f>
        <v>18850</v>
      </c>
      <c r="F1833" s="1">
        <f>IFERROR(__xludf.DUMMYFUNCTION("""COMPUTED_VALUE"""),817630.0)</f>
        <v>817630</v>
      </c>
    </row>
    <row r="1834">
      <c r="A1834" s="2">
        <f>IFERROR(__xludf.DUMMYFUNCTION("""COMPUTED_VALUE"""),43641.64583333333)</f>
        <v>43641.64583</v>
      </c>
      <c r="B1834" s="1">
        <f>IFERROR(__xludf.DUMMYFUNCTION("""COMPUTED_VALUE"""),18700.0)</f>
        <v>18700</v>
      </c>
      <c r="C1834" s="1">
        <f>IFERROR(__xludf.DUMMYFUNCTION("""COMPUTED_VALUE"""),18950.0)</f>
        <v>18950</v>
      </c>
      <c r="D1834" s="1">
        <f>IFERROR(__xludf.DUMMYFUNCTION("""COMPUTED_VALUE"""),18000.0)</f>
        <v>18000</v>
      </c>
      <c r="E1834" s="1">
        <f>IFERROR(__xludf.DUMMYFUNCTION("""COMPUTED_VALUE"""),18100.0)</f>
        <v>18100</v>
      </c>
      <c r="F1834" s="1">
        <f>IFERROR(__xludf.DUMMYFUNCTION("""COMPUTED_VALUE"""),461527.0)</f>
        <v>461527</v>
      </c>
    </row>
    <row r="1835">
      <c r="A1835" s="2">
        <f>IFERROR(__xludf.DUMMYFUNCTION("""COMPUTED_VALUE"""),43642.64583333333)</f>
        <v>43642.64583</v>
      </c>
      <c r="B1835" s="1">
        <f>IFERROR(__xludf.DUMMYFUNCTION("""COMPUTED_VALUE"""),18100.0)</f>
        <v>18100</v>
      </c>
      <c r="C1835" s="1">
        <f>IFERROR(__xludf.DUMMYFUNCTION("""COMPUTED_VALUE"""),18200.0)</f>
        <v>18200</v>
      </c>
      <c r="D1835" s="1">
        <f>IFERROR(__xludf.DUMMYFUNCTION("""COMPUTED_VALUE"""),17350.0)</f>
        <v>17350</v>
      </c>
      <c r="E1835" s="1">
        <f>IFERROR(__xludf.DUMMYFUNCTION("""COMPUTED_VALUE"""),17700.0)</f>
        <v>17700</v>
      </c>
      <c r="F1835" s="1">
        <f>IFERROR(__xludf.DUMMYFUNCTION("""COMPUTED_VALUE"""),369313.0)</f>
        <v>369313</v>
      </c>
    </row>
    <row r="1836">
      <c r="A1836" s="2">
        <f>IFERROR(__xludf.DUMMYFUNCTION("""COMPUTED_VALUE"""),43643.64583333333)</f>
        <v>43643.64583</v>
      </c>
      <c r="B1836" s="1">
        <f>IFERROR(__xludf.DUMMYFUNCTION("""COMPUTED_VALUE"""),17900.0)</f>
        <v>17900</v>
      </c>
      <c r="C1836" s="1">
        <f>IFERROR(__xludf.DUMMYFUNCTION("""COMPUTED_VALUE"""),18300.0)</f>
        <v>18300</v>
      </c>
      <c r="D1836" s="1">
        <f>IFERROR(__xludf.DUMMYFUNCTION("""COMPUTED_VALUE"""),17050.0)</f>
        <v>17050</v>
      </c>
      <c r="E1836" s="1">
        <f>IFERROR(__xludf.DUMMYFUNCTION("""COMPUTED_VALUE"""),17600.0)</f>
        <v>17600</v>
      </c>
      <c r="F1836" s="1">
        <f>IFERROR(__xludf.DUMMYFUNCTION("""COMPUTED_VALUE"""),376369.0)</f>
        <v>376369</v>
      </c>
    </row>
    <row r="1837">
      <c r="A1837" s="2">
        <f>IFERROR(__xludf.DUMMYFUNCTION("""COMPUTED_VALUE"""),43644.64583333333)</f>
        <v>43644.64583</v>
      </c>
      <c r="B1837" s="1">
        <f>IFERROR(__xludf.DUMMYFUNCTION("""COMPUTED_VALUE"""),17500.0)</f>
        <v>17500</v>
      </c>
      <c r="C1837" s="1">
        <f>IFERROR(__xludf.DUMMYFUNCTION("""COMPUTED_VALUE"""),17750.0)</f>
        <v>17750</v>
      </c>
      <c r="D1837" s="1">
        <f>IFERROR(__xludf.DUMMYFUNCTION("""COMPUTED_VALUE"""),16900.0)</f>
        <v>16900</v>
      </c>
      <c r="E1837" s="1">
        <f>IFERROR(__xludf.DUMMYFUNCTION("""COMPUTED_VALUE"""),17500.0)</f>
        <v>17500</v>
      </c>
      <c r="F1837" s="1">
        <f>IFERROR(__xludf.DUMMYFUNCTION("""COMPUTED_VALUE"""),308220.0)</f>
        <v>308220</v>
      </c>
    </row>
    <row r="1838">
      <c r="A1838" s="2">
        <f>IFERROR(__xludf.DUMMYFUNCTION("""COMPUTED_VALUE"""),43647.64583333333)</f>
        <v>43647.64583</v>
      </c>
      <c r="B1838" s="1">
        <f>IFERROR(__xludf.DUMMYFUNCTION("""COMPUTED_VALUE"""),18850.0)</f>
        <v>18850</v>
      </c>
      <c r="C1838" s="1">
        <f>IFERROR(__xludf.DUMMYFUNCTION("""COMPUTED_VALUE"""),18900.0)</f>
        <v>18900</v>
      </c>
      <c r="D1838" s="1">
        <f>IFERROR(__xludf.DUMMYFUNCTION("""COMPUTED_VALUE"""),17700.0)</f>
        <v>17700</v>
      </c>
      <c r="E1838" s="1">
        <f>IFERROR(__xludf.DUMMYFUNCTION("""COMPUTED_VALUE"""),18000.0)</f>
        <v>18000</v>
      </c>
      <c r="F1838" s="1">
        <f>IFERROR(__xludf.DUMMYFUNCTION("""COMPUTED_VALUE"""),594890.0)</f>
        <v>594890</v>
      </c>
    </row>
    <row r="1839">
      <c r="A1839" s="2">
        <f>IFERROR(__xludf.DUMMYFUNCTION("""COMPUTED_VALUE"""),43648.64583333333)</f>
        <v>43648.64583</v>
      </c>
      <c r="B1839" s="1">
        <f>IFERROR(__xludf.DUMMYFUNCTION("""COMPUTED_VALUE"""),17850.0)</f>
        <v>17850</v>
      </c>
      <c r="C1839" s="1">
        <f>IFERROR(__xludf.DUMMYFUNCTION("""COMPUTED_VALUE"""),18200.0)</f>
        <v>18200</v>
      </c>
      <c r="D1839" s="1">
        <f>IFERROR(__xludf.DUMMYFUNCTION("""COMPUTED_VALUE"""),17500.0)</f>
        <v>17500</v>
      </c>
      <c r="E1839" s="1">
        <f>IFERROR(__xludf.DUMMYFUNCTION("""COMPUTED_VALUE"""),18050.0)</f>
        <v>18050</v>
      </c>
      <c r="F1839" s="1">
        <f>IFERROR(__xludf.DUMMYFUNCTION("""COMPUTED_VALUE"""),403743.0)</f>
        <v>403743</v>
      </c>
    </row>
    <row r="1840">
      <c r="A1840" s="2">
        <f>IFERROR(__xludf.DUMMYFUNCTION("""COMPUTED_VALUE"""),43649.64583333333)</f>
        <v>43649.64583</v>
      </c>
      <c r="B1840" s="1">
        <f>IFERROR(__xludf.DUMMYFUNCTION("""COMPUTED_VALUE"""),18000.0)</f>
        <v>18000</v>
      </c>
      <c r="C1840" s="1">
        <f>IFERROR(__xludf.DUMMYFUNCTION("""COMPUTED_VALUE"""),18050.0)</f>
        <v>18050</v>
      </c>
      <c r="D1840" s="1">
        <f>IFERROR(__xludf.DUMMYFUNCTION("""COMPUTED_VALUE"""),17000.0)</f>
        <v>17000</v>
      </c>
      <c r="E1840" s="1">
        <f>IFERROR(__xludf.DUMMYFUNCTION("""COMPUTED_VALUE"""),17100.0)</f>
        <v>17100</v>
      </c>
      <c r="F1840" s="1">
        <f>IFERROR(__xludf.DUMMYFUNCTION("""COMPUTED_VALUE"""),290317.0)</f>
        <v>290317</v>
      </c>
    </row>
    <row r="1841">
      <c r="A1841" s="2">
        <f>IFERROR(__xludf.DUMMYFUNCTION("""COMPUTED_VALUE"""),43650.64583333333)</f>
        <v>43650.64583</v>
      </c>
      <c r="B1841" s="1">
        <f>IFERROR(__xludf.DUMMYFUNCTION("""COMPUTED_VALUE"""),17000.0)</f>
        <v>17000</v>
      </c>
      <c r="C1841" s="1">
        <f>IFERROR(__xludf.DUMMYFUNCTION("""COMPUTED_VALUE"""),17300.0)</f>
        <v>17300</v>
      </c>
      <c r="D1841" s="1">
        <f>IFERROR(__xludf.DUMMYFUNCTION("""COMPUTED_VALUE"""),16600.0)</f>
        <v>16600</v>
      </c>
      <c r="E1841" s="1">
        <f>IFERROR(__xludf.DUMMYFUNCTION("""COMPUTED_VALUE"""),16900.0)</f>
        <v>16900</v>
      </c>
      <c r="F1841" s="1">
        <f>IFERROR(__xludf.DUMMYFUNCTION("""COMPUTED_VALUE"""),203647.0)</f>
        <v>203647</v>
      </c>
    </row>
    <row r="1842">
      <c r="A1842" s="2">
        <f>IFERROR(__xludf.DUMMYFUNCTION("""COMPUTED_VALUE"""),43651.64583333333)</f>
        <v>43651.64583</v>
      </c>
      <c r="B1842" s="1">
        <f>IFERROR(__xludf.DUMMYFUNCTION("""COMPUTED_VALUE"""),17100.0)</f>
        <v>17100</v>
      </c>
      <c r="C1842" s="1">
        <f>IFERROR(__xludf.DUMMYFUNCTION("""COMPUTED_VALUE"""),17350.0)</f>
        <v>17350</v>
      </c>
      <c r="D1842" s="1">
        <f>IFERROR(__xludf.DUMMYFUNCTION("""COMPUTED_VALUE"""),16900.0)</f>
        <v>16900</v>
      </c>
      <c r="E1842" s="1">
        <f>IFERROR(__xludf.DUMMYFUNCTION("""COMPUTED_VALUE"""),17150.0)</f>
        <v>17150</v>
      </c>
      <c r="F1842" s="1">
        <f>IFERROR(__xludf.DUMMYFUNCTION("""COMPUTED_VALUE"""),163344.0)</f>
        <v>163344</v>
      </c>
    </row>
    <row r="1843">
      <c r="A1843" s="2">
        <f>IFERROR(__xludf.DUMMYFUNCTION("""COMPUTED_VALUE"""),43654.64583333333)</f>
        <v>43654.64583</v>
      </c>
      <c r="B1843" s="1">
        <f>IFERROR(__xludf.DUMMYFUNCTION("""COMPUTED_VALUE"""),16800.0)</f>
        <v>16800</v>
      </c>
      <c r="C1843" s="1">
        <f>IFERROR(__xludf.DUMMYFUNCTION("""COMPUTED_VALUE"""),16950.0)</f>
        <v>16950</v>
      </c>
      <c r="D1843" s="1">
        <f>IFERROR(__xludf.DUMMYFUNCTION("""COMPUTED_VALUE"""),15400.0)</f>
        <v>15400</v>
      </c>
      <c r="E1843" s="1">
        <f>IFERROR(__xludf.DUMMYFUNCTION("""COMPUTED_VALUE"""),15400.0)</f>
        <v>15400</v>
      </c>
      <c r="F1843" s="1">
        <f>IFERROR(__xludf.DUMMYFUNCTION("""COMPUTED_VALUE"""),445512.0)</f>
        <v>445512</v>
      </c>
    </row>
    <row r="1844">
      <c r="A1844" s="2">
        <f>IFERROR(__xludf.DUMMYFUNCTION("""COMPUTED_VALUE"""),43655.64583333333)</f>
        <v>43655.64583</v>
      </c>
      <c r="B1844" s="1">
        <f>IFERROR(__xludf.DUMMYFUNCTION("""COMPUTED_VALUE"""),15500.0)</f>
        <v>15500</v>
      </c>
      <c r="C1844" s="1">
        <f>IFERROR(__xludf.DUMMYFUNCTION("""COMPUTED_VALUE"""),15600.0)</f>
        <v>15600</v>
      </c>
      <c r="D1844" s="1">
        <f>IFERROR(__xludf.DUMMYFUNCTION("""COMPUTED_VALUE"""),14600.0)</f>
        <v>14600</v>
      </c>
      <c r="E1844" s="1">
        <f>IFERROR(__xludf.DUMMYFUNCTION("""COMPUTED_VALUE"""),14750.0)</f>
        <v>14750</v>
      </c>
      <c r="F1844" s="1">
        <f>IFERROR(__xludf.DUMMYFUNCTION("""COMPUTED_VALUE"""),335594.0)</f>
        <v>335594</v>
      </c>
    </row>
    <row r="1845">
      <c r="A1845" s="2">
        <f>IFERROR(__xludf.DUMMYFUNCTION("""COMPUTED_VALUE"""),43656.64583333333)</f>
        <v>43656.64583</v>
      </c>
      <c r="B1845" s="1">
        <f>IFERROR(__xludf.DUMMYFUNCTION("""COMPUTED_VALUE"""),14700.0)</f>
        <v>14700</v>
      </c>
      <c r="C1845" s="1">
        <f>IFERROR(__xludf.DUMMYFUNCTION("""COMPUTED_VALUE"""),15150.0)</f>
        <v>15150</v>
      </c>
      <c r="D1845" s="1">
        <f>IFERROR(__xludf.DUMMYFUNCTION("""COMPUTED_VALUE"""),14650.0)</f>
        <v>14650</v>
      </c>
      <c r="E1845" s="1">
        <f>IFERROR(__xludf.DUMMYFUNCTION("""COMPUTED_VALUE"""),14850.0)</f>
        <v>14850</v>
      </c>
      <c r="F1845" s="1">
        <f>IFERROR(__xludf.DUMMYFUNCTION("""COMPUTED_VALUE"""),223277.0)</f>
        <v>223277</v>
      </c>
    </row>
    <row r="1846">
      <c r="A1846" s="2">
        <f>IFERROR(__xludf.DUMMYFUNCTION("""COMPUTED_VALUE"""),43657.64583333333)</f>
        <v>43657.64583</v>
      </c>
      <c r="B1846" s="1">
        <f>IFERROR(__xludf.DUMMYFUNCTION("""COMPUTED_VALUE"""),15050.0)</f>
        <v>15050</v>
      </c>
      <c r="C1846" s="1">
        <f>IFERROR(__xludf.DUMMYFUNCTION("""COMPUTED_VALUE"""),16150.0)</f>
        <v>16150</v>
      </c>
      <c r="D1846" s="1">
        <f>IFERROR(__xludf.DUMMYFUNCTION("""COMPUTED_VALUE"""),14800.0)</f>
        <v>14800</v>
      </c>
      <c r="E1846" s="1">
        <f>IFERROR(__xludf.DUMMYFUNCTION("""COMPUTED_VALUE"""),16100.0)</f>
        <v>16100</v>
      </c>
      <c r="F1846" s="1">
        <f>IFERROR(__xludf.DUMMYFUNCTION("""COMPUTED_VALUE"""),309007.0)</f>
        <v>309007</v>
      </c>
    </row>
    <row r="1847">
      <c r="A1847" s="2">
        <f>IFERROR(__xludf.DUMMYFUNCTION("""COMPUTED_VALUE"""),43658.64583333333)</f>
        <v>43658.64583</v>
      </c>
      <c r="B1847" s="1">
        <f>IFERROR(__xludf.DUMMYFUNCTION("""COMPUTED_VALUE"""),15700.0)</f>
        <v>15700</v>
      </c>
      <c r="C1847" s="1">
        <f>IFERROR(__xludf.DUMMYFUNCTION("""COMPUTED_VALUE"""),16050.0)</f>
        <v>16050</v>
      </c>
      <c r="D1847" s="1">
        <f>IFERROR(__xludf.DUMMYFUNCTION("""COMPUTED_VALUE"""),15450.0)</f>
        <v>15450</v>
      </c>
      <c r="E1847" s="1">
        <f>IFERROR(__xludf.DUMMYFUNCTION("""COMPUTED_VALUE"""),15850.0)</f>
        <v>15850</v>
      </c>
      <c r="F1847" s="1">
        <f>IFERROR(__xludf.DUMMYFUNCTION("""COMPUTED_VALUE"""),302557.0)</f>
        <v>302557</v>
      </c>
    </row>
    <row r="1848">
      <c r="A1848" s="2">
        <f>IFERROR(__xludf.DUMMYFUNCTION("""COMPUTED_VALUE"""),43661.64583333333)</f>
        <v>43661.64583</v>
      </c>
      <c r="B1848" s="1">
        <f>IFERROR(__xludf.DUMMYFUNCTION("""COMPUTED_VALUE"""),15750.0)</f>
        <v>15750</v>
      </c>
      <c r="C1848" s="1">
        <f>IFERROR(__xludf.DUMMYFUNCTION("""COMPUTED_VALUE"""),16200.0)</f>
        <v>16200</v>
      </c>
      <c r="D1848" s="1">
        <f>IFERROR(__xludf.DUMMYFUNCTION("""COMPUTED_VALUE"""),15550.0)</f>
        <v>15550</v>
      </c>
      <c r="E1848" s="1">
        <f>IFERROR(__xludf.DUMMYFUNCTION("""COMPUTED_VALUE"""),15650.0)</f>
        <v>15650</v>
      </c>
      <c r="F1848" s="1">
        <f>IFERROR(__xludf.DUMMYFUNCTION("""COMPUTED_VALUE"""),170601.0)</f>
        <v>170601</v>
      </c>
    </row>
    <row r="1849">
      <c r="A1849" s="2">
        <f>IFERROR(__xludf.DUMMYFUNCTION("""COMPUTED_VALUE"""),43662.64583333333)</f>
        <v>43662.64583</v>
      </c>
      <c r="B1849" s="1">
        <f>IFERROR(__xludf.DUMMYFUNCTION("""COMPUTED_VALUE"""),15600.0)</f>
        <v>15600</v>
      </c>
      <c r="C1849" s="1">
        <f>IFERROR(__xludf.DUMMYFUNCTION("""COMPUTED_VALUE"""),15850.0)</f>
        <v>15850</v>
      </c>
      <c r="D1849" s="1">
        <f>IFERROR(__xludf.DUMMYFUNCTION("""COMPUTED_VALUE"""),15400.0)</f>
        <v>15400</v>
      </c>
      <c r="E1849" s="1">
        <f>IFERROR(__xludf.DUMMYFUNCTION("""COMPUTED_VALUE"""),15650.0)</f>
        <v>15650</v>
      </c>
      <c r="F1849" s="1">
        <f>IFERROR(__xludf.DUMMYFUNCTION("""COMPUTED_VALUE"""),107127.0)</f>
        <v>107127</v>
      </c>
    </row>
    <row r="1850">
      <c r="A1850" s="2">
        <f>IFERROR(__xludf.DUMMYFUNCTION("""COMPUTED_VALUE"""),43663.64583333333)</f>
        <v>43663.64583</v>
      </c>
      <c r="B1850" s="1">
        <f>IFERROR(__xludf.DUMMYFUNCTION("""COMPUTED_VALUE"""),15400.0)</f>
        <v>15400</v>
      </c>
      <c r="C1850" s="1">
        <f>IFERROR(__xludf.DUMMYFUNCTION("""COMPUTED_VALUE"""),15400.0)</f>
        <v>15400</v>
      </c>
      <c r="D1850" s="1">
        <f>IFERROR(__xludf.DUMMYFUNCTION("""COMPUTED_VALUE"""),14850.0)</f>
        <v>14850</v>
      </c>
      <c r="E1850" s="1">
        <f>IFERROR(__xludf.DUMMYFUNCTION("""COMPUTED_VALUE"""),14950.0)</f>
        <v>14950</v>
      </c>
      <c r="F1850" s="1">
        <f>IFERROR(__xludf.DUMMYFUNCTION("""COMPUTED_VALUE"""),201330.0)</f>
        <v>201330</v>
      </c>
    </row>
    <row r="1851">
      <c r="A1851" s="2">
        <f>IFERROR(__xludf.DUMMYFUNCTION("""COMPUTED_VALUE"""),43664.64583333333)</f>
        <v>43664.64583</v>
      </c>
      <c r="B1851" s="1">
        <f>IFERROR(__xludf.DUMMYFUNCTION("""COMPUTED_VALUE"""),14850.0)</f>
        <v>14850</v>
      </c>
      <c r="C1851" s="1">
        <f>IFERROR(__xludf.DUMMYFUNCTION("""COMPUTED_VALUE"""),15400.0)</f>
        <v>15400</v>
      </c>
      <c r="D1851" s="1">
        <f>IFERROR(__xludf.DUMMYFUNCTION("""COMPUTED_VALUE"""),14700.0)</f>
        <v>14700</v>
      </c>
      <c r="E1851" s="1">
        <f>IFERROR(__xludf.DUMMYFUNCTION("""COMPUTED_VALUE"""),14850.0)</f>
        <v>14850</v>
      </c>
      <c r="F1851" s="1">
        <f>IFERROR(__xludf.DUMMYFUNCTION("""COMPUTED_VALUE"""),135272.0)</f>
        <v>135272</v>
      </c>
    </row>
    <row r="1852">
      <c r="A1852" s="2">
        <f>IFERROR(__xludf.DUMMYFUNCTION("""COMPUTED_VALUE"""),43665.64583333333)</f>
        <v>43665.64583</v>
      </c>
      <c r="B1852" s="1">
        <f>IFERROR(__xludf.DUMMYFUNCTION("""COMPUTED_VALUE"""),14900.0)</f>
        <v>14900</v>
      </c>
      <c r="C1852" s="1">
        <f>IFERROR(__xludf.DUMMYFUNCTION("""COMPUTED_VALUE"""),15350.0)</f>
        <v>15350</v>
      </c>
      <c r="D1852" s="1">
        <f>IFERROR(__xludf.DUMMYFUNCTION("""COMPUTED_VALUE"""),14900.0)</f>
        <v>14900</v>
      </c>
      <c r="E1852" s="1">
        <f>IFERROR(__xludf.DUMMYFUNCTION("""COMPUTED_VALUE"""),15050.0)</f>
        <v>15050</v>
      </c>
      <c r="F1852" s="1">
        <f>IFERROR(__xludf.DUMMYFUNCTION("""COMPUTED_VALUE"""),112540.0)</f>
        <v>112540</v>
      </c>
    </row>
    <row r="1853">
      <c r="A1853" s="2">
        <f>IFERROR(__xludf.DUMMYFUNCTION("""COMPUTED_VALUE"""),43668.64583333333)</f>
        <v>43668.64583</v>
      </c>
      <c r="B1853" s="1">
        <f>IFERROR(__xludf.DUMMYFUNCTION("""COMPUTED_VALUE"""),15000.0)</f>
        <v>15000</v>
      </c>
      <c r="C1853" s="1">
        <f>IFERROR(__xludf.DUMMYFUNCTION("""COMPUTED_VALUE"""),15350.0)</f>
        <v>15350</v>
      </c>
      <c r="D1853" s="1">
        <f>IFERROR(__xludf.DUMMYFUNCTION("""COMPUTED_VALUE"""),14950.0)</f>
        <v>14950</v>
      </c>
      <c r="E1853" s="1">
        <f>IFERROR(__xludf.DUMMYFUNCTION("""COMPUTED_VALUE"""),15000.0)</f>
        <v>15000</v>
      </c>
      <c r="F1853" s="1">
        <f>IFERROR(__xludf.DUMMYFUNCTION("""COMPUTED_VALUE"""),121519.0)</f>
        <v>121519</v>
      </c>
    </row>
    <row r="1854">
      <c r="A1854" s="2">
        <f>IFERROR(__xludf.DUMMYFUNCTION("""COMPUTED_VALUE"""),43669.64583333333)</f>
        <v>43669.64583</v>
      </c>
      <c r="B1854" s="1">
        <f>IFERROR(__xludf.DUMMYFUNCTION("""COMPUTED_VALUE"""),15500.0)</f>
        <v>15500</v>
      </c>
      <c r="C1854" s="1">
        <f>IFERROR(__xludf.DUMMYFUNCTION("""COMPUTED_VALUE"""),15700.0)</f>
        <v>15700</v>
      </c>
      <c r="D1854" s="1">
        <f>IFERROR(__xludf.DUMMYFUNCTION("""COMPUTED_VALUE"""),14900.0)</f>
        <v>14900</v>
      </c>
      <c r="E1854" s="1">
        <f>IFERROR(__xludf.DUMMYFUNCTION("""COMPUTED_VALUE"""),15000.0)</f>
        <v>15000</v>
      </c>
      <c r="F1854" s="1">
        <f>IFERROR(__xludf.DUMMYFUNCTION("""COMPUTED_VALUE"""),181817.0)</f>
        <v>181817</v>
      </c>
    </row>
    <row r="1855">
      <c r="A1855" s="2">
        <f>IFERROR(__xludf.DUMMYFUNCTION("""COMPUTED_VALUE"""),43670.64583333333)</f>
        <v>43670.64583</v>
      </c>
      <c r="B1855" s="1">
        <f>IFERROR(__xludf.DUMMYFUNCTION("""COMPUTED_VALUE"""),14850.0)</f>
        <v>14850</v>
      </c>
      <c r="C1855" s="1">
        <f>IFERROR(__xludf.DUMMYFUNCTION("""COMPUTED_VALUE"""),15050.0)</f>
        <v>15050</v>
      </c>
      <c r="D1855" s="1">
        <f>IFERROR(__xludf.DUMMYFUNCTION("""COMPUTED_VALUE"""),14150.0)</f>
        <v>14150</v>
      </c>
      <c r="E1855" s="1">
        <f>IFERROR(__xludf.DUMMYFUNCTION("""COMPUTED_VALUE"""),14200.0)</f>
        <v>14200</v>
      </c>
      <c r="F1855" s="1">
        <f>IFERROR(__xludf.DUMMYFUNCTION("""COMPUTED_VALUE"""),201372.0)</f>
        <v>201372</v>
      </c>
    </row>
    <row r="1856">
      <c r="A1856" s="2">
        <f>IFERROR(__xludf.DUMMYFUNCTION("""COMPUTED_VALUE"""),43671.64583333333)</f>
        <v>43671.64583</v>
      </c>
      <c r="B1856" s="1">
        <f>IFERROR(__xludf.DUMMYFUNCTION("""COMPUTED_VALUE"""),13550.0)</f>
        <v>13550</v>
      </c>
      <c r="C1856" s="1">
        <f>IFERROR(__xludf.DUMMYFUNCTION("""COMPUTED_VALUE"""),14100.0)</f>
        <v>14100</v>
      </c>
      <c r="D1856" s="1">
        <f>IFERROR(__xludf.DUMMYFUNCTION("""COMPUTED_VALUE"""),13500.0)</f>
        <v>13500</v>
      </c>
      <c r="E1856" s="1">
        <f>IFERROR(__xludf.DUMMYFUNCTION("""COMPUTED_VALUE"""),13800.0)</f>
        <v>13800</v>
      </c>
      <c r="F1856" s="1">
        <f>IFERROR(__xludf.DUMMYFUNCTION("""COMPUTED_VALUE"""),220918.0)</f>
        <v>220918</v>
      </c>
    </row>
    <row r="1857">
      <c r="A1857" s="2">
        <f>IFERROR(__xludf.DUMMYFUNCTION("""COMPUTED_VALUE"""),43672.64583333333)</f>
        <v>43672.64583</v>
      </c>
      <c r="B1857" s="1">
        <f>IFERROR(__xludf.DUMMYFUNCTION("""COMPUTED_VALUE"""),13600.0)</f>
        <v>13600</v>
      </c>
      <c r="C1857" s="1">
        <f>IFERROR(__xludf.DUMMYFUNCTION("""COMPUTED_VALUE"""),13850.0)</f>
        <v>13850</v>
      </c>
      <c r="D1857" s="1">
        <f>IFERROR(__xludf.DUMMYFUNCTION("""COMPUTED_VALUE"""),13150.0)</f>
        <v>13150</v>
      </c>
      <c r="E1857" s="1">
        <f>IFERROR(__xludf.DUMMYFUNCTION("""COMPUTED_VALUE"""),13450.0)</f>
        <v>13450</v>
      </c>
      <c r="F1857" s="1">
        <f>IFERROR(__xludf.DUMMYFUNCTION("""COMPUTED_VALUE"""),160040.0)</f>
        <v>160040</v>
      </c>
    </row>
    <row r="1858">
      <c r="A1858" s="2">
        <f>IFERROR(__xludf.DUMMYFUNCTION("""COMPUTED_VALUE"""),43675.64583333333)</f>
        <v>43675.64583</v>
      </c>
      <c r="B1858" s="1">
        <f>IFERROR(__xludf.DUMMYFUNCTION("""COMPUTED_VALUE"""),13200.0)</f>
        <v>13200</v>
      </c>
      <c r="C1858" s="1">
        <f>IFERROR(__xludf.DUMMYFUNCTION("""COMPUTED_VALUE"""),13250.0)</f>
        <v>13250</v>
      </c>
      <c r="D1858" s="1">
        <f>IFERROR(__xludf.DUMMYFUNCTION("""COMPUTED_VALUE"""),12300.0)</f>
        <v>12300</v>
      </c>
      <c r="E1858" s="1">
        <f>IFERROR(__xludf.DUMMYFUNCTION("""COMPUTED_VALUE"""),12300.0)</f>
        <v>12300</v>
      </c>
      <c r="F1858" s="1">
        <f>IFERROR(__xludf.DUMMYFUNCTION("""COMPUTED_VALUE"""),271735.0)</f>
        <v>271735</v>
      </c>
    </row>
    <row r="1859">
      <c r="A1859" s="2">
        <f>IFERROR(__xludf.DUMMYFUNCTION("""COMPUTED_VALUE"""),43676.64583333333)</f>
        <v>43676.64583</v>
      </c>
      <c r="B1859" s="1">
        <f>IFERROR(__xludf.DUMMYFUNCTION("""COMPUTED_VALUE"""),12300.0)</f>
        <v>12300</v>
      </c>
      <c r="C1859" s="1">
        <f>IFERROR(__xludf.DUMMYFUNCTION("""COMPUTED_VALUE"""),13550.0)</f>
        <v>13550</v>
      </c>
      <c r="D1859" s="1">
        <f>IFERROR(__xludf.DUMMYFUNCTION("""COMPUTED_VALUE"""),12300.0)</f>
        <v>12300</v>
      </c>
      <c r="E1859" s="1">
        <f>IFERROR(__xludf.DUMMYFUNCTION("""COMPUTED_VALUE"""),12600.0)</f>
        <v>12600</v>
      </c>
      <c r="F1859" s="1">
        <f>IFERROR(__xludf.DUMMYFUNCTION("""COMPUTED_VALUE"""),375869.0)</f>
        <v>375869</v>
      </c>
    </row>
    <row r="1860">
      <c r="A1860" s="2">
        <f>IFERROR(__xludf.DUMMYFUNCTION("""COMPUTED_VALUE"""),43677.64583333333)</f>
        <v>43677.64583</v>
      </c>
      <c r="B1860" s="1">
        <f>IFERROR(__xludf.DUMMYFUNCTION("""COMPUTED_VALUE"""),12550.0)</f>
        <v>12550</v>
      </c>
      <c r="C1860" s="1">
        <f>IFERROR(__xludf.DUMMYFUNCTION("""COMPUTED_VALUE"""),13400.0)</f>
        <v>13400</v>
      </c>
      <c r="D1860" s="1">
        <f>IFERROR(__xludf.DUMMYFUNCTION("""COMPUTED_VALUE"""),12500.0)</f>
        <v>12500</v>
      </c>
      <c r="E1860" s="1">
        <f>IFERROR(__xludf.DUMMYFUNCTION("""COMPUTED_VALUE"""),13050.0)</f>
        <v>13050</v>
      </c>
      <c r="F1860" s="1">
        <f>IFERROR(__xludf.DUMMYFUNCTION("""COMPUTED_VALUE"""),200513.0)</f>
        <v>200513</v>
      </c>
    </row>
    <row r="1861">
      <c r="A1861" s="2">
        <f>IFERROR(__xludf.DUMMYFUNCTION("""COMPUTED_VALUE"""),43678.64583333333)</f>
        <v>43678.64583</v>
      </c>
      <c r="B1861" s="1">
        <f>IFERROR(__xludf.DUMMYFUNCTION("""COMPUTED_VALUE"""),13050.0)</f>
        <v>13050</v>
      </c>
      <c r="C1861" s="1">
        <f>IFERROR(__xludf.DUMMYFUNCTION("""COMPUTED_VALUE"""),13350.0)</f>
        <v>13350</v>
      </c>
      <c r="D1861" s="1">
        <f>IFERROR(__xludf.DUMMYFUNCTION("""COMPUTED_VALUE"""),12850.0)</f>
        <v>12850</v>
      </c>
      <c r="E1861" s="1">
        <f>IFERROR(__xludf.DUMMYFUNCTION("""COMPUTED_VALUE"""),13050.0)</f>
        <v>13050</v>
      </c>
      <c r="F1861" s="1">
        <f>IFERROR(__xludf.DUMMYFUNCTION("""COMPUTED_VALUE"""),89691.0)</f>
        <v>89691</v>
      </c>
    </row>
    <row r="1862">
      <c r="A1862" s="2">
        <f>IFERROR(__xludf.DUMMYFUNCTION("""COMPUTED_VALUE"""),43679.64583333333)</f>
        <v>43679.64583</v>
      </c>
      <c r="B1862" s="1">
        <f>IFERROR(__xludf.DUMMYFUNCTION("""COMPUTED_VALUE"""),12750.0)</f>
        <v>12750</v>
      </c>
      <c r="C1862" s="1">
        <f>IFERROR(__xludf.DUMMYFUNCTION("""COMPUTED_VALUE"""),13350.0)</f>
        <v>13350</v>
      </c>
      <c r="D1862" s="1">
        <f>IFERROR(__xludf.DUMMYFUNCTION("""COMPUTED_VALUE"""),12600.0)</f>
        <v>12600</v>
      </c>
      <c r="E1862" s="1">
        <f>IFERROR(__xludf.DUMMYFUNCTION("""COMPUTED_VALUE"""),13100.0)</f>
        <v>13100</v>
      </c>
      <c r="F1862" s="1">
        <f>IFERROR(__xludf.DUMMYFUNCTION("""COMPUTED_VALUE"""),105184.0)</f>
        <v>105184</v>
      </c>
    </row>
    <row r="1863">
      <c r="A1863" s="2">
        <f>IFERROR(__xludf.DUMMYFUNCTION("""COMPUTED_VALUE"""),43682.64583333333)</f>
        <v>43682.64583</v>
      </c>
      <c r="B1863" s="1">
        <f>IFERROR(__xludf.DUMMYFUNCTION("""COMPUTED_VALUE"""),13000.0)</f>
        <v>13000</v>
      </c>
      <c r="C1863" s="1">
        <f>IFERROR(__xludf.DUMMYFUNCTION("""COMPUTED_VALUE"""),13100.0)</f>
        <v>13100</v>
      </c>
      <c r="D1863" s="1">
        <f>IFERROR(__xludf.DUMMYFUNCTION("""COMPUTED_VALUE"""),11550.0)</f>
        <v>11550</v>
      </c>
      <c r="E1863" s="1">
        <f>IFERROR(__xludf.DUMMYFUNCTION("""COMPUTED_VALUE"""),11700.0)</f>
        <v>11700</v>
      </c>
      <c r="F1863" s="1">
        <f>IFERROR(__xludf.DUMMYFUNCTION("""COMPUTED_VALUE"""),261805.0)</f>
        <v>261805</v>
      </c>
    </row>
    <row r="1864">
      <c r="A1864" s="2">
        <f>IFERROR(__xludf.DUMMYFUNCTION("""COMPUTED_VALUE"""),43683.64583333333)</f>
        <v>43683.64583</v>
      </c>
      <c r="B1864" s="1">
        <f>IFERROR(__xludf.DUMMYFUNCTION("""COMPUTED_VALUE"""),11100.0)</f>
        <v>11100</v>
      </c>
      <c r="C1864" s="1">
        <f>IFERROR(__xludf.DUMMYFUNCTION("""COMPUTED_VALUE"""),12550.0)</f>
        <v>12550</v>
      </c>
      <c r="D1864" s="1">
        <f>IFERROR(__xludf.DUMMYFUNCTION("""COMPUTED_VALUE"""),10700.0)</f>
        <v>10700</v>
      </c>
      <c r="E1864" s="1">
        <f>IFERROR(__xludf.DUMMYFUNCTION("""COMPUTED_VALUE"""),11800.0)</f>
        <v>11800</v>
      </c>
      <c r="F1864" s="1">
        <f>IFERROR(__xludf.DUMMYFUNCTION("""COMPUTED_VALUE"""),427812.0)</f>
        <v>427812</v>
      </c>
    </row>
    <row r="1865">
      <c r="A1865" s="2">
        <f>IFERROR(__xludf.DUMMYFUNCTION("""COMPUTED_VALUE"""),43684.64583333333)</f>
        <v>43684.64583</v>
      </c>
      <c r="B1865" s="1">
        <f>IFERROR(__xludf.DUMMYFUNCTION("""COMPUTED_VALUE"""),11850.0)</f>
        <v>11850</v>
      </c>
      <c r="C1865" s="1">
        <f>IFERROR(__xludf.DUMMYFUNCTION("""COMPUTED_VALUE"""),12450.0)</f>
        <v>12450</v>
      </c>
      <c r="D1865" s="1">
        <f>IFERROR(__xludf.DUMMYFUNCTION("""COMPUTED_VALUE"""),11850.0)</f>
        <v>11850</v>
      </c>
      <c r="E1865" s="1">
        <f>IFERROR(__xludf.DUMMYFUNCTION("""COMPUTED_VALUE"""),12100.0)</f>
        <v>12100</v>
      </c>
      <c r="F1865" s="1">
        <f>IFERROR(__xludf.DUMMYFUNCTION("""COMPUTED_VALUE"""),150897.0)</f>
        <v>150897</v>
      </c>
    </row>
    <row r="1866">
      <c r="A1866" s="2">
        <f>IFERROR(__xludf.DUMMYFUNCTION("""COMPUTED_VALUE"""),43685.64583333333)</f>
        <v>43685.64583</v>
      </c>
      <c r="B1866" s="1">
        <f>IFERROR(__xludf.DUMMYFUNCTION("""COMPUTED_VALUE"""),12600.0)</f>
        <v>12600</v>
      </c>
      <c r="C1866" s="1">
        <f>IFERROR(__xludf.DUMMYFUNCTION("""COMPUTED_VALUE"""),13350.0)</f>
        <v>13350</v>
      </c>
      <c r="D1866" s="1">
        <f>IFERROR(__xludf.DUMMYFUNCTION("""COMPUTED_VALUE"""),12450.0)</f>
        <v>12450</v>
      </c>
      <c r="E1866" s="1">
        <f>IFERROR(__xludf.DUMMYFUNCTION("""COMPUTED_VALUE"""),13000.0)</f>
        <v>13000</v>
      </c>
      <c r="F1866" s="1">
        <f>IFERROR(__xludf.DUMMYFUNCTION("""COMPUTED_VALUE"""),213531.0)</f>
        <v>213531</v>
      </c>
    </row>
    <row r="1867">
      <c r="A1867" s="2">
        <f>IFERROR(__xludf.DUMMYFUNCTION("""COMPUTED_VALUE"""),43686.64583333333)</f>
        <v>43686.64583</v>
      </c>
      <c r="B1867" s="1">
        <f>IFERROR(__xludf.DUMMYFUNCTION("""COMPUTED_VALUE"""),13000.0)</f>
        <v>13000</v>
      </c>
      <c r="C1867" s="1">
        <f>IFERROR(__xludf.DUMMYFUNCTION("""COMPUTED_VALUE"""),13400.0)</f>
        <v>13400</v>
      </c>
      <c r="D1867" s="1">
        <f>IFERROR(__xludf.DUMMYFUNCTION("""COMPUTED_VALUE"""),12850.0)</f>
        <v>12850</v>
      </c>
      <c r="E1867" s="1">
        <f>IFERROR(__xludf.DUMMYFUNCTION("""COMPUTED_VALUE"""),13050.0)</f>
        <v>13050</v>
      </c>
      <c r="F1867" s="1">
        <f>IFERROR(__xludf.DUMMYFUNCTION("""COMPUTED_VALUE"""),156879.0)</f>
        <v>156879</v>
      </c>
    </row>
    <row r="1868">
      <c r="A1868" s="2">
        <f>IFERROR(__xludf.DUMMYFUNCTION("""COMPUTED_VALUE"""),43689.64583333333)</f>
        <v>43689.64583</v>
      </c>
      <c r="B1868" s="1">
        <f>IFERROR(__xludf.DUMMYFUNCTION("""COMPUTED_VALUE"""),13550.0)</f>
        <v>13550</v>
      </c>
      <c r="C1868" s="1">
        <f>IFERROR(__xludf.DUMMYFUNCTION("""COMPUTED_VALUE"""),13900.0)</f>
        <v>13900</v>
      </c>
      <c r="D1868" s="1">
        <f>IFERROR(__xludf.DUMMYFUNCTION("""COMPUTED_VALUE"""),13200.0)</f>
        <v>13200</v>
      </c>
      <c r="E1868" s="1">
        <f>IFERROR(__xludf.DUMMYFUNCTION("""COMPUTED_VALUE"""),13450.0)</f>
        <v>13450</v>
      </c>
      <c r="F1868" s="1">
        <f>IFERROR(__xludf.DUMMYFUNCTION("""COMPUTED_VALUE"""),273781.0)</f>
        <v>273781</v>
      </c>
    </row>
    <row r="1869">
      <c r="A1869" s="2">
        <f>IFERROR(__xludf.DUMMYFUNCTION("""COMPUTED_VALUE"""),43690.64583333333)</f>
        <v>43690.64583</v>
      </c>
      <c r="B1869" s="1">
        <f>IFERROR(__xludf.DUMMYFUNCTION("""COMPUTED_VALUE"""),13200.0)</f>
        <v>13200</v>
      </c>
      <c r="C1869" s="1">
        <f>IFERROR(__xludf.DUMMYFUNCTION("""COMPUTED_VALUE"""),13850.0)</f>
        <v>13850</v>
      </c>
      <c r="D1869" s="1">
        <f>IFERROR(__xludf.DUMMYFUNCTION("""COMPUTED_VALUE"""),13200.0)</f>
        <v>13200</v>
      </c>
      <c r="E1869" s="1">
        <f>IFERROR(__xludf.DUMMYFUNCTION("""COMPUTED_VALUE"""),13600.0)</f>
        <v>13600</v>
      </c>
      <c r="F1869" s="1">
        <f>IFERROR(__xludf.DUMMYFUNCTION("""COMPUTED_VALUE"""),170380.0)</f>
        <v>170380</v>
      </c>
    </row>
    <row r="1870">
      <c r="A1870" s="2">
        <f>IFERROR(__xludf.DUMMYFUNCTION("""COMPUTED_VALUE"""),43691.64583333333)</f>
        <v>43691.64583</v>
      </c>
      <c r="B1870" s="1">
        <f>IFERROR(__xludf.DUMMYFUNCTION("""COMPUTED_VALUE"""),13900.0)</f>
        <v>13900</v>
      </c>
      <c r="C1870" s="1">
        <f>IFERROR(__xludf.DUMMYFUNCTION("""COMPUTED_VALUE"""),14350.0)</f>
        <v>14350</v>
      </c>
      <c r="D1870" s="1">
        <f>IFERROR(__xludf.DUMMYFUNCTION("""COMPUTED_VALUE"""),13700.0)</f>
        <v>13700</v>
      </c>
      <c r="E1870" s="1">
        <f>IFERROR(__xludf.DUMMYFUNCTION("""COMPUTED_VALUE"""),14100.0)</f>
        <v>14100</v>
      </c>
      <c r="F1870" s="1">
        <f>IFERROR(__xludf.DUMMYFUNCTION("""COMPUTED_VALUE"""),194021.0)</f>
        <v>194021</v>
      </c>
    </row>
    <row r="1871">
      <c r="A1871" s="2">
        <f>IFERROR(__xludf.DUMMYFUNCTION("""COMPUTED_VALUE"""),43693.64583333333)</f>
        <v>43693.64583</v>
      </c>
      <c r="B1871" s="1">
        <f>IFERROR(__xludf.DUMMYFUNCTION("""COMPUTED_VALUE"""),13650.0)</f>
        <v>13650</v>
      </c>
      <c r="C1871" s="1">
        <f>IFERROR(__xludf.DUMMYFUNCTION("""COMPUTED_VALUE"""),13900.0)</f>
        <v>13900</v>
      </c>
      <c r="D1871" s="1">
        <f>IFERROR(__xludf.DUMMYFUNCTION("""COMPUTED_VALUE"""),13500.0)</f>
        <v>13500</v>
      </c>
      <c r="E1871" s="1">
        <f>IFERROR(__xludf.DUMMYFUNCTION("""COMPUTED_VALUE"""),13750.0)</f>
        <v>13750</v>
      </c>
      <c r="F1871" s="1">
        <f>IFERROR(__xludf.DUMMYFUNCTION("""COMPUTED_VALUE"""),146455.0)</f>
        <v>146455</v>
      </c>
    </row>
    <row r="1872">
      <c r="A1872" s="2">
        <f>IFERROR(__xludf.DUMMYFUNCTION("""COMPUTED_VALUE"""),43696.64583333333)</f>
        <v>43696.64583</v>
      </c>
      <c r="B1872" s="1">
        <f>IFERROR(__xludf.DUMMYFUNCTION("""COMPUTED_VALUE"""),14000.0)</f>
        <v>14000</v>
      </c>
      <c r="C1872" s="1">
        <f>IFERROR(__xludf.DUMMYFUNCTION("""COMPUTED_VALUE"""),14400.0)</f>
        <v>14400</v>
      </c>
      <c r="D1872" s="1">
        <f>IFERROR(__xludf.DUMMYFUNCTION("""COMPUTED_VALUE"""),13950.0)</f>
        <v>13950</v>
      </c>
      <c r="E1872" s="1">
        <f>IFERROR(__xludf.DUMMYFUNCTION("""COMPUTED_VALUE"""),14300.0)</f>
        <v>14300</v>
      </c>
      <c r="F1872" s="1">
        <f>IFERROR(__xludf.DUMMYFUNCTION("""COMPUTED_VALUE"""),149914.0)</f>
        <v>149914</v>
      </c>
    </row>
    <row r="1873">
      <c r="A1873" s="2">
        <f>IFERROR(__xludf.DUMMYFUNCTION("""COMPUTED_VALUE"""),43697.64583333333)</f>
        <v>43697.64583</v>
      </c>
      <c r="B1873" s="1">
        <f>IFERROR(__xludf.DUMMYFUNCTION("""COMPUTED_VALUE"""),14350.0)</f>
        <v>14350</v>
      </c>
      <c r="C1873" s="1">
        <f>IFERROR(__xludf.DUMMYFUNCTION("""COMPUTED_VALUE"""),14400.0)</f>
        <v>14400</v>
      </c>
      <c r="D1873" s="1">
        <f>IFERROR(__xludf.DUMMYFUNCTION("""COMPUTED_VALUE"""),14050.0)</f>
        <v>14050</v>
      </c>
      <c r="E1873" s="1">
        <f>IFERROR(__xludf.DUMMYFUNCTION("""COMPUTED_VALUE"""),14250.0)</f>
        <v>14250</v>
      </c>
      <c r="F1873" s="1">
        <f>IFERROR(__xludf.DUMMYFUNCTION("""COMPUTED_VALUE"""),77609.0)</f>
        <v>77609</v>
      </c>
    </row>
    <row r="1874">
      <c r="A1874" s="2">
        <f>IFERROR(__xludf.DUMMYFUNCTION("""COMPUTED_VALUE"""),43698.64583333333)</f>
        <v>43698.64583</v>
      </c>
      <c r="B1874" s="1">
        <f>IFERROR(__xludf.DUMMYFUNCTION("""COMPUTED_VALUE"""),14250.0)</f>
        <v>14250</v>
      </c>
      <c r="C1874" s="1">
        <f>IFERROR(__xludf.DUMMYFUNCTION("""COMPUTED_VALUE"""),14350.0)</f>
        <v>14350</v>
      </c>
      <c r="D1874" s="1">
        <f>IFERROR(__xludf.DUMMYFUNCTION("""COMPUTED_VALUE"""),13950.0)</f>
        <v>13950</v>
      </c>
      <c r="E1874" s="1">
        <f>IFERROR(__xludf.DUMMYFUNCTION("""COMPUTED_VALUE"""),14150.0)</f>
        <v>14150</v>
      </c>
      <c r="F1874" s="1">
        <f>IFERROR(__xludf.DUMMYFUNCTION("""COMPUTED_VALUE"""),91608.0)</f>
        <v>91608</v>
      </c>
    </row>
    <row r="1875">
      <c r="A1875" s="2">
        <f>IFERROR(__xludf.DUMMYFUNCTION("""COMPUTED_VALUE"""),43699.64583333333)</f>
        <v>43699.64583</v>
      </c>
      <c r="B1875" s="1">
        <f>IFERROR(__xludf.DUMMYFUNCTION("""COMPUTED_VALUE"""),14000.0)</f>
        <v>14000</v>
      </c>
      <c r="C1875" s="1">
        <f>IFERROR(__xludf.DUMMYFUNCTION("""COMPUTED_VALUE"""),14500.0)</f>
        <v>14500</v>
      </c>
      <c r="D1875" s="1">
        <f>IFERROR(__xludf.DUMMYFUNCTION("""COMPUTED_VALUE"""),13750.0)</f>
        <v>13750</v>
      </c>
      <c r="E1875" s="1">
        <f>IFERROR(__xludf.DUMMYFUNCTION("""COMPUTED_VALUE"""),14200.0)</f>
        <v>14200</v>
      </c>
      <c r="F1875" s="1">
        <f>IFERROR(__xludf.DUMMYFUNCTION("""COMPUTED_VALUE"""),218213.0)</f>
        <v>218213</v>
      </c>
    </row>
    <row r="1876">
      <c r="A1876" s="2">
        <f>IFERROR(__xludf.DUMMYFUNCTION("""COMPUTED_VALUE"""),43700.64583333333)</f>
        <v>43700.64583</v>
      </c>
      <c r="B1876" s="1">
        <f>IFERROR(__xludf.DUMMYFUNCTION("""COMPUTED_VALUE"""),14300.0)</f>
        <v>14300</v>
      </c>
      <c r="C1876" s="1">
        <f>IFERROR(__xludf.DUMMYFUNCTION("""COMPUTED_VALUE"""),14650.0)</f>
        <v>14650</v>
      </c>
      <c r="D1876" s="1">
        <f>IFERROR(__xludf.DUMMYFUNCTION("""COMPUTED_VALUE"""),13500.0)</f>
        <v>13500</v>
      </c>
      <c r="E1876" s="1">
        <f>IFERROR(__xludf.DUMMYFUNCTION("""COMPUTED_VALUE"""),13650.0)</f>
        <v>13650</v>
      </c>
      <c r="F1876" s="1">
        <f>IFERROR(__xludf.DUMMYFUNCTION("""COMPUTED_VALUE"""),209959.0)</f>
        <v>209959</v>
      </c>
    </row>
    <row r="1877">
      <c r="A1877" s="2">
        <f>IFERROR(__xludf.DUMMYFUNCTION("""COMPUTED_VALUE"""),43703.64583333333)</f>
        <v>43703.64583</v>
      </c>
      <c r="B1877" s="1">
        <f>IFERROR(__xludf.DUMMYFUNCTION("""COMPUTED_VALUE"""),13100.0)</f>
        <v>13100</v>
      </c>
      <c r="C1877" s="1">
        <f>IFERROR(__xludf.DUMMYFUNCTION("""COMPUTED_VALUE"""),13400.0)</f>
        <v>13400</v>
      </c>
      <c r="D1877" s="1">
        <f>IFERROR(__xludf.DUMMYFUNCTION("""COMPUTED_VALUE"""),12850.0)</f>
        <v>12850</v>
      </c>
      <c r="E1877" s="1">
        <f>IFERROR(__xludf.DUMMYFUNCTION("""COMPUTED_VALUE"""),13000.0)</f>
        <v>13000</v>
      </c>
      <c r="F1877" s="1">
        <f>IFERROR(__xludf.DUMMYFUNCTION("""COMPUTED_VALUE"""),151854.0)</f>
        <v>151854</v>
      </c>
    </row>
    <row r="1878">
      <c r="A1878" s="2">
        <f>IFERROR(__xludf.DUMMYFUNCTION("""COMPUTED_VALUE"""),43704.64583333333)</f>
        <v>43704.64583</v>
      </c>
      <c r="B1878" s="1">
        <f>IFERROR(__xludf.DUMMYFUNCTION("""COMPUTED_VALUE"""),13450.0)</f>
        <v>13450</v>
      </c>
      <c r="C1878" s="1">
        <f>IFERROR(__xludf.DUMMYFUNCTION("""COMPUTED_VALUE"""),13800.0)</f>
        <v>13800</v>
      </c>
      <c r="D1878" s="1">
        <f>IFERROR(__xludf.DUMMYFUNCTION("""COMPUTED_VALUE"""),12950.0)</f>
        <v>12950</v>
      </c>
      <c r="E1878" s="1">
        <f>IFERROR(__xludf.DUMMYFUNCTION("""COMPUTED_VALUE"""),13000.0)</f>
        <v>13000</v>
      </c>
      <c r="F1878" s="1">
        <f>IFERROR(__xludf.DUMMYFUNCTION("""COMPUTED_VALUE"""),165392.0)</f>
        <v>165392</v>
      </c>
    </row>
    <row r="1879">
      <c r="A1879" s="2">
        <f>IFERROR(__xludf.DUMMYFUNCTION("""COMPUTED_VALUE"""),43705.64583333333)</f>
        <v>43705.64583</v>
      </c>
      <c r="B1879" s="1">
        <f>IFERROR(__xludf.DUMMYFUNCTION("""COMPUTED_VALUE"""),13100.0)</f>
        <v>13100</v>
      </c>
      <c r="C1879" s="1">
        <f>IFERROR(__xludf.DUMMYFUNCTION("""COMPUTED_VALUE"""),13350.0)</f>
        <v>13350</v>
      </c>
      <c r="D1879" s="1">
        <f>IFERROR(__xludf.DUMMYFUNCTION("""COMPUTED_VALUE"""),13000.0)</f>
        <v>13000</v>
      </c>
      <c r="E1879" s="1">
        <f>IFERROR(__xludf.DUMMYFUNCTION("""COMPUTED_VALUE"""),13300.0)</f>
        <v>13300</v>
      </c>
      <c r="F1879" s="1">
        <f>IFERROR(__xludf.DUMMYFUNCTION("""COMPUTED_VALUE"""),72474.0)</f>
        <v>72474</v>
      </c>
    </row>
    <row r="1880">
      <c r="A1880" s="2">
        <f>IFERROR(__xludf.DUMMYFUNCTION("""COMPUTED_VALUE"""),43706.64583333333)</f>
        <v>43706.64583</v>
      </c>
      <c r="B1880" s="1">
        <f>IFERROR(__xludf.DUMMYFUNCTION("""COMPUTED_VALUE"""),13350.0)</f>
        <v>13350</v>
      </c>
      <c r="C1880" s="1">
        <f>IFERROR(__xludf.DUMMYFUNCTION("""COMPUTED_VALUE"""),13500.0)</f>
        <v>13500</v>
      </c>
      <c r="D1880" s="1">
        <f>IFERROR(__xludf.DUMMYFUNCTION("""COMPUTED_VALUE"""),13200.0)</f>
        <v>13200</v>
      </c>
      <c r="E1880" s="1">
        <f>IFERROR(__xludf.DUMMYFUNCTION("""COMPUTED_VALUE"""),13400.0)</f>
        <v>13400</v>
      </c>
      <c r="F1880" s="1">
        <f>IFERROR(__xludf.DUMMYFUNCTION("""COMPUTED_VALUE"""),73620.0)</f>
        <v>73620</v>
      </c>
    </row>
    <row r="1881">
      <c r="A1881" s="2">
        <f>IFERROR(__xludf.DUMMYFUNCTION("""COMPUTED_VALUE"""),43707.64583333333)</f>
        <v>43707.64583</v>
      </c>
      <c r="B1881" s="1">
        <f>IFERROR(__xludf.DUMMYFUNCTION("""COMPUTED_VALUE"""),13450.0)</f>
        <v>13450</v>
      </c>
      <c r="C1881" s="1">
        <f>IFERROR(__xludf.DUMMYFUNCTION("""COMPUTED_VALUE"""),13900.0)</f>
        <v>13900</v>
      </c>
      <c r="D1881" s="1">
        <f>IFERROR(__xludf.DUMMYFUNCTION("""COMPUTED_VALUE"""),13450.0)</f>
        <v>13450</v>
      </c>
      <c r="E1881" s="1">
        <f>IFERROR(__xludf.DUMMYFUNCTION("""COMPUTED_VALUE"""),13900.0)</f>
        <v>13900</v>
      </c>
      <c r="F1881" s="1">
        <f>IFERROR(__xludf.DUMMYFUNCTION("""COMPUTED_VALUE"""),99263.0)</f>
        <v>99263</v>
      </c>
    </row>
    <row r="1882">
      <c r="A1882" s="2">
        <f>IFERROR(__xludf.DUMMYFUNCTION("""COMPUTED_VALUE"""),43710.64583333333)</f>
        <v>43710.64583</v>
      </c>
      <c r="B1882" s="1">
        <f>IFERROR(__xludf.DUMMYFUNCTION("""COMPUTED_VALUE"""),13550.0)</f>
        <v>13550</v>
      </c>
      <c r="C1882" s="1">
        <f>IFERROR(__xludf.DUMMYFUNCTION("""COMPUTED_VALUE"""),13700.0)</f>
        <v>13700</v>
      </c>
      <c r="D1882" s="1">
        <f>IFERROR(__xludf.DUMMYFUNCTION("""COMPUTED_VALUE"""),13450.0)</f>
        <v>13450</v>
      </c>
      <c r="E1882" s="1">
        <f>IFERROR(__xludf.DUMMYFUNCTION("""COMPUTED_VALUE"""),13500.0)</f>
        <v>13500</v>
      </c>
      <c r="F1882" s="1">
        <f>IFERROR(__xludf.DUMMYFUNCTION("""COMPUTED_VALUE"""),66365.0)</f>
        <v>66365</v>
      </c>
    </row>
    <row r="1883">
      <c r="A1883" s="2">
        <f>IFERROR(__xludf.DUMMYFUNCTION("""COMPUTED_VALUE"""),43711.64583333333)</f>
        <v>43711.64583</v>
      </c>
      <c r="B1883" s="1">
        <f>IFERROR(__xludf.DUMMYFUNCTION("""COMPUTED_VALUE"""),13500.0)</f>
        <v>13500</v>
      </c>
      <c r="C1883" s="1">
        <f>IFERROR(__xludf.DUMMYFUNCTION("""COMPUTED_VALUE"""),13800.0)</f>
        <v>13800</v>
      </c>
      <c r="D1883" s="1">
        <f>IFERROR(__xludf.DUMMYFUNCTION("""COMPUTED_VALUE"""),13500.0)</f>
        <v>13500</v>
      </c>
      <c r="E1883" s="1">
        <f>IFERROR(__xludf.DUMMYFUNCTION("""COMPUTED_VALUE"""),13700.0)</f>
        <v>13700</v>
      </c>
      <c r="F1883" s="1">
        <f>IFERROR(__xludf.DUMMYFUNCTION("""COMPUTED_VALUE"""),54688.0)</f>
        <v>54688</v>
      </c>
    </row>
    <row r="1884">
      <c r="A1884" s="2">
        <f>IFERROR(__xludf.DUMMYFUNCTION("""COMPUTED_VALUE"""),43712.64583333333)</f>
        <v>43712.64583</v>
      </c>
      <c r="B1884" s="1">
        <f>IFERROR(__xludf.DUMMYFUNCTION("""COMPUTED_VALUE"""),13700.0)</f>
        <v>13700</v>
      </c>
      <c r="C1884" s="1">
        <f>IFERROR(__xludf.DUMMYFUNCTION("""COMPUTED_VALUE"""),13800.0)</f>
        <v>13800</v>
      </c>
      <c r="D1884" s="1">
        <f>IFERROR(__xludf.DUMMYFUNCTION("""COMPUTED_VALUE"""),13550.0)</f>
        <v>13550</v>
      </c>
      <c r="E1884" s="1">
        <f>IFERROR(__xludf.DUMMYFUNCTION("""COMPUTED_VALUE"""),13750.0)</f>
        <v>13750</v>
      </c>
      <c r="F1884" s="1">
        <f>IFERROR(__xludf.DUMMYFUNCTION("""COMPUTED_VALUE"""),58754.0)</f>
        <v>58754</v>
      </c>
    </row>
    <row r="1885">
      <c r="A1885" s="2">
        <f>IFERROR(__xludf.DUMMYFUNCTION("""COMPUTED_VALUE"""),43713.64583333333)</f>
        <v>43713.64583</v>
      </c>
      <c r="B1885" s="1">
        <f>IFERROR(__xludf.DUMMYFUNCTION("""COMPUTED_VALUE"""),13850.0)</f>
        <v>13850</v>
      </c>
      <c r="C1885" s="1">
        <f>IFERROR(__xludf.DUMMYFUNCTION("""COMPUTED_VALUE"""),14050.0)</f>
        <v>14050</v>
      </c>
      <c r="D1885" s="1">
        <f>IFERROR(__xludf.DUMMYFUNCTION("""COMPUTED_VALUE"""),13700.0)</f>
        <v>13700</v>
      </c>
      <c r="E1885" s="1">
        <f>IFERROR(__xludf.DUMMYFUNCTION("""COMPUTED_VALUE"""),13950.0)</f>
        <v>13950</v>
      </c>
      <c r="F1885" s="1">
        <f>IFERROR(__xludf.DUMMYFUNCTION("""COMPUTED_VALUE"""),106678.0)</f>
        <v>106678</v>
      </c>
    </row>
    <row r="1886">
      <c r="A1886" s="2">
        <f>IFERROR(__xludf.DUMMYFUNCTION("""COMPUTED_VALUE"""),43714.64583333333)</f>
        <v>43714.64583</v>
      </c>
      <c r="B1886" s="1">
        <f>IFERROR(__xludf.DUMMYFUNCTION("""COMPUTED_VALUE"""),14250.0)</f>
        <v>14250</v>
      </c>
      <c r="C1886" s="1">
        <f>IFERROR(__xludf.DUMMYFUNCTION("""COMPUTED_VALUE"""),14250.0)</f>
        <v>14250</v>
      </c>
      <c r="D1886" s="1">
        <f>IFERROR(__xludf.DUMMYFUNCTION("""COMPUTED_VALUE"""),13900.0)</f>
        <v>13900</v>
      </c>
      <c r="E1886" s="1">
        <f>IFERROR(__xludf.DUMMYFUNCTION("""COMPUTED_VALUE"""),13950.0)</f>
        <v>13950</v>
      </c>
      <c r="F1886" s="1">
        <f>IFERROR(__xludf.DUMMYFUNCTION("""COMPUTED_VALUE"""),103922.0)</f>
        <v>103922</v>
      </c>
    </row>
    <row r="1887">
      <c r="A1887" s="2">
        <f>IFERROR(__xludf.DUMMYFUNCTION("""COMPUTED_VALUE"""),43717.64583333333)</f>
        <v>43717.64583</v>
      </c>
      <c r="B1887" s="1">
        <f>IFERROR(__xludf.DUMMYFUNCTION("""COMPUTED_VALUE"""),14150.0)</f>
        <v>14150</v>
      </c>
      <c r="C1887" s="1">
        <f>IFERROR(__xludf.DUMMYFUNCTION("""COMPUTED_VALUE"""),14200.0)</f>
        <v>14200</v>
      </c>
      <c r="D1887" s="1">
        <f>IFERROR(__xludf.DUMMYFUNCTION("""COMPUTED_VALUE"""),13550.0)</f>
        <v>13550</v>
      </c>
      <c r="E1887" s="1">
        <f>IFERROR(__xludf.DUMMYFUNCTION("""COMPUTED_VALUE"""),13550.0)</f>
        <v>13550</v>
      </c>
      <c r="F1887" s="1">
        <f>IFERROR(__xludf.DUMMYFUNCTION("""COMPUTED_VALUE"""),126973.0)</f>
        <v>126973</v>
      </c>
    </row>
    <row r="1888">
      <c r="A1888" s="2">
        <f>IFERROR(__xludf.DUMMYFUNCTION("""COMPUTED_VALUE"""),43718.64583333333)</f>
        <v>43718.64583</v>
      </c>
      <c r="B1888" s="1">
        <f>IFERROR(__xludf.DUMMYFUNCTION("""COMPUTED_VALUE"""),14250.0)</f>
        <v>14250</v>
      </c>
      <c r="C1888" s="1">
        <f>IFERROR(__xludf.DUMMYFUNCTION("""COMPUTED_VALUE"""),14850.0)</f>
        <v>14850</v>
      </c>
      <c r="D1888" s="1">
        <f>IFERROR(__xludf.DUMMYFUNCTION("""COMPUTED_VALUE"""),13850.0)</f>
        <v>13850</v>
      </c>
      <c r="E1888" s="1">
        <f>IFERROR(__xludf.DUMMYFUNCTION("""COMPUTED_VALUE"""),14750.0)</f>
        <v>14750</v>
      </c>
      <c r="F1888" s="1">
        <f>IFERROR(__xludf.DUMMYFUNCTION("""COMPUTED_VALUE"""),646156.0)</f>
        <v>646156</v>
      </c>
    </row>
    <row r="1889">
      <c r="A1889" s="2">
        <f>IFERROR(__xludf.DUMMYFUNCTION("""COMPUTED_VALUE"""),43719.64583333333)</f>
        <v>43719.64583</v>
      </c>
      <c r="B1889" s="1">
        <f>IFERROR(__xludf.DUMMYFUNCTION("""COMPUTED_VALUE"""),15050.0)</f>
        <v>15050</v>
      </c>
      <c r="C1889" s="1">
        <f>IFERROR(__xludf.DUMMYFUNCTION("""COMPUTED_VALUE"""),15200.0)</f>
        <v>15200</v>
      </c>
      <c r="D1889" s="1">
        <f>IFERROR(__xludf.DUMMYFUNCTION("""COMPUTED_VALUE"""),14600.0)</f>
        <v>14600</v>
      </c>
      <c r="E1889" s="1">
        <f>IFERROR(__xludf.DUMMYFUNCTION("""COMPUTED_VALUE"""),14950.0)</f>
        <v>14950</v>
      </c>
      <c r="F1889" s="1">
        <f>IFERROR(__xludf.DUMMYFUNCTION("""COMPUTED_VALUE"""),385891.0)</f>
        <v>385891</v>
      </c>
    </row>
    <row r="1890">
      <c r="A1890" s="2">
        <f>IFERROR(__xludf.DUMMYFUNCTION("""COMPUTED_VALUE"""),43724.64583333333)</f>
        <v>43724.64583</v>
      </c>
      <c r="B1890" s="1">
        <f>IFERROR(__xludf.DUMMYFUNCTION("""COMPUTED_VALUE"""),15400.0)</f>
        <v>15400</v>
      </c>
      <c r="C1890" s="1">
        <f>IFERROR(__xludf.DUMMYFUNCTION("""COMPUTED_VALUE"""),16900.0)</f>
        <v>16900</v>
      </c>
      <c r="D1890" s="1">
        <f>IFERROR(__xludf.DUMMYFUNCTION("""COMPUTED_VALUE"""),15300.0)</f>
        <v>15300</v>
      </c>
      <c r="E1890" s="1">
        <f>IFERROR(__xludf.DUMMYFUNCTION("""COMPUTED_VALUE"""),16250.0)</f>
        <v>16250</v>
      </c>
      <c r="F1890" s="1">
        <f>IFERROR(__xludf.DUMMYFUNCTION("""COMPUTED_VALUE"""),1553577.0)</f>
        <v>1553577</v>
      </c>
    </row>
    <row r="1891">
      <c r="A1891" s="2">
        <f>IFERROR(__xludf.DUMMYFUNCTION("""COMPUTED_VALUE"""),43725.64583333333)</f>
        <v>43725.64583</v>
      </c>
      <c r="B1891" s="1">
        <f>IFERROR(__xludf.DUMMYFUNCTION("""COMPUTED_VALUE"""),15900.0)</f>
        <v>15900</v>
      </c>
      <c r="C1891" s="1">
        <f>IFERROR(__xludf.DUMMYFUNCTION("""COMPUTED_VALUE"""),16200.0)</f>
        <v>16200</v>
      </c>
      <c r="D1891" s="1">
        <f>IFERROR(__xludf.DUMMYFUNCTION("""COMPUTED_VALUE"""),15600.0)</f>
        <v>15600</v>
      </c>
      <c r="E1891" s="1">
        <f>IFERROR(__xludf.DUMMYFUNCTION("""COMPUTED_VALUE"""),16000.0)</f>
        <v>16000</v>
      </c>
      <c r="F1891" s="1">
        <f>IFERROR(__xludf.DUMMYFUNCTION("""COMPUTED_VALUE"""),319568.0)</f>
        <v>319568</v>
      </c>
    </row>
    <row r="1892">
      <c r="A1892" s="2">
        <f>IFERROR(__xludf.DUMMYFUNCTION("""COMPUTED_VALUE"""),43726.64583333333)</f>
        <v>43726.64583</v>
      </c>
      <c r="B1892" s="1">
        <f>IFERROR(__xludf.DUMMYFUNCTION("""COMPUTED_VALUE"""),15950.0)</f>
        <v>15950</v>
      </c>
      <c r="C1892" s="1">
        <f>IFERROR(__xludf.DUMMYFUNCTION("""COMPUTED_VALUE"""),16600.0)</f>
        <v>16600</v>
      </c>
      <c r="D1892" s="1">
        <f>IFERROR(__xludf.DUMMYFUNCTION("""COMPUTED_VALUE"""),15650.0)</f>
        <v>15650</v>
      </c>
      <c r="E1892" s="1">
        <f>IFERROR(__xludf.DUMMYFUNCTION("""COMPUTED_VALUE"""),16350.0)</f>
        <v>16350</v>
      </c>
      <c r="F1892" s="1">
        <f>IFERROR(__xludf.DUMMYFUNCTION("""COMPUTED_VALUE"""),368167.0)</f>
        <v>368167</v>
      </c>
    </row>
    <row r="1893">
      <c r="A1893" s="2">
        <f>IFERROR(__xludf.DUMMYFUNCTION("""COMPUTED_VALUE"""),43727.64583333333)</f>
        <v>43727.64583</v>
      </c>
      <c r="B1893" s="1">
        <f>IFERROR(__xludf.DUMMYFUNCTION("""COMPUTED_VALUE"""),16550.0)</f>
        <v>16550</v>
      </c>
      <c r="C1893" s="1">
        <f>IFERROR(__xludf.DUMMYFUNCTION("""COMPUTED_VALUE"""),16650.0)</f>
        <v>16650</v>
      </c>
      <c r="D1893" s="1">
        <f>IFERROR(__xludf.DUMMYFUNCTION("""COMPUTED_VALUE"""),16150.0)</f>
        <v>16150</v>
      </c>
      <c r="E1893" s="1">
        <f>IFERROR(__xludf.DUMMYFUNCTION("""COMPUTED_VALUE"""),16550.0)</f>
        <v>16550</v>
      </c>
      <c r="F1893" s="1">
        <f>IFERROR(__xludf.DUMMYFUNCTION("""COMPUTED_VALUE"""),224973.0)</f>
        <v>224973</v>
      </c>
    </row>
    <row r="1894">
      <c r="A1894" s="2">
        <f>IFERROR(__xludf.DUMMYFUNCTION("""COMPUTED_VALUE"""),43728.64583333333)</f>
        <v>43728.64583</v>
      </c>
      <c r="B1894" s="1">
        <f>IFERROR(__xludf.DUMMYFUNCTION("""COMPUTED_VALUE"""),16700.0)</f>
        <v>16700</v>
      </c>
      <c r="C1894" s="1">
        <f>IFERROR(__xludf.DUMMYFUNCTION("""COMPUTED_VALUE"""),16750.0)</f>
        <v>16750</v>
      </c>
      <c r="D1894" s="1">
        <f>IFERROR(__xludf.DUMMYFUNCTION("""COMPUTED_VALUE"""),16250.0)</f>
        <v>16250</v>
      </c>
      <c r="E1894" s="1">
        <f>IFERROR(__xludf.DUMMYFUNCTION("""COMPUTED_VALUE"""),16600.0)</f>
        <v>16600</v>
      </c>
      <c r="F1894" s="1">
        <f>IFERROR(__xludf.DUMMYFUNCTION("""COMPUTED_VALUE"""),287406.0)</f>
        <v>287406</v>
      </c>
    </row>
    <row r="1895">
      <c r="A1895" s="2">
        <f>IFERROR(__xludf.DUMMYFUNCTION("""COMPUTED_VALUE"""),43731.64583333333)</f>
        <v>43731.64583</v>
      </c>
      <c r="B1895" s="1">
        <f>IFERROR(__xludf.DUMMYFUNCTION("""COMPUTED_VALUE"""),17050.0)</f>
        <v>17050</v>
      </c>
      <c r="C1895" s="1">
        <f>IFERROR(__xludf.DUMMYFUNCTION("""COMPUTED_VALUE"""),17050.0)</f>
        <v>17050</v>
      </c>
      <c r="D1895" s="1">
        <f>IFERROR(__xludf.DUMMYFUNCTION("""COMPUTED_VALUE"""),16500.0)</f>
        <v>16500</v>
      </c>
      <c r="E1895" s="1">
        <f>IFERROR(__xludf.DUMMYFUNCTION("""COMPUTED_VALUE"""),16650.0)</f>
        <v>16650</v>
      </c>
      <c r="F1895" s="1">
        <f>IFERROR(__xludf.DUMMYFUNCTION("""COMPUTED_VALUE"""),345180.0)</f>
        <v>345180</v>
      </c>
    </row>
    <row r="1896">
      <c r="A1896" s="2">
        <f>IFERROR(__xludf.DUMMYFUNCTION("""COMPUTED_VALUE"""),43732.64583333333)</f>
        <v>43732.64583</v>
      </c>
      <c r="B1896" s="1">
        <f>IFERROR(__xludf.DUMMYFUNCTION("""COMPUTED_VALUE"""),16300.0)</f>
        <v>16300</v>
      </c>
      <c r="C1896" s="1">
        <f>IFERROR(__xludf.DUMMYFUNCTION("""COMPUTED_VALUE"""),16600.0)</f>
        <v>16600</v>
      </c>
      <c r="D1896" s="1">
        <f>IFERROR(__xludf.DUMMYFUNCTION("""COMPUTED_VALUE"""),16050.0)</f>
        <v>16050</v>
      </c>
      <c r="E1896" s="1">
        <f>IFERROR(__xludf.DUMMYFUNCTION("""COMPUTED_VALUE"""),16400.0)</f>
        <v>16400</v>
      </c>
      <c r="F1896" s="1">
        <f>IFERROR(__xludf.DUMMYFUNCTION("""COMPUTED_VALUE"""),220588.0)</f>
        <v>220588</v>
      </c>
    </row>
    <row r="1897">
      <c r="A1897" s="2">
        <f>IFERROR(__xludf.DUMMYFUNCTION("""COMPUTED_VALUE"""),43733.64583333333)</f>
        <v>43733.64583</v>
      </c>
      <c r="B1897" s="1">
        <f>IFERROR(__xludf.DUMMYFUNCTION("""COMPUTED_VALUE"""),16250.0)</f>
        <v>16250</v>
      </c>
      <c r="C1897" s="1">
        <f>IFERROR(__xludf.DUMMYFUNCTION("""COMPUTED_VALUE"""),16400.0)</f>
        <v>16400</v>
      </c>
      <c r="D1897" s="1">
        <f>IFERROR(__xludf.DUMMYFUNCTION("""COMPUTED_VALUE"""),15500.0)</f>
        <v>15500</v>
      </c>
      <c r="E1897" s="1">
        <f>IFERROR(__xludf.DUMMYFUNCTION("""COMPUTED_VALUE"""),15550.0)</f>
        <v>15550</v>
      </c>
      <c r="F1897" s="1">
        <f>IFERROR(__xludf.DUMMYFUNCTION("""COMPUTED_VALUE"""),239803.0)</f>
        <v>239803</v>
      </c>
    </row>
    <row r="1898">
      <c r="A1898" s="2">
        <f>IFERROR(__xludf.DUMMYFUNCTION("""COMPUTED_VALUE"""),43734.64583333333)</f>
        <v>43734.64583</v>
      </c>
      <c r="B1898" s="1">
        <f>IFERROR(__xludf.DUMMYFUNCTION("""COMPUTED_VALUE"""),15850.0)</f>
        <v>15850</v>
      </c>
      <c r="C1898" s="1">
        <f>IFERROR(__xludf.DUMMYFUNCTION("""COMPUTED_VALUE"""),16150.0)</f>
        <v>16150</v>
      </c>
      <c r="D1898" s="1">
        <f>IFERROR(__xludf.DUMMYFUNCTION("""COMPUTED_VALUE"""),15300.0)</f>
        <v>15300</v>
      </c>
      <c r="E1898" s="1">
        <f>IFERROR(__xludf.DUMMYFUNCTION("""COMPUTED_VALUE"""),15850.0)</f>
        <v>15850</v>
      </c>
      <c r="F1898" s="1">
        <f>IFERROR(__xludf.DUMMYFUNCTION("""COMPUTED_VALUE"""),163369.0)</f>
        <v>163369</v>
      </c>
    </row>
    <row r="1899">
      <c r="A1899" s="2">
        <f>IFERROR(__xludf.DUMMYFUNCTION("""COMPUTED_VALUE"""),43735.64583333333)</f>
        <v>43735.64583</v>
      </c>
      <c r="B1899" s="1">
        <f>IFERROR(__xludf.DUMMYFUNCTION("""COMPUTED_VALUE"""),15700.0)</f>
        <v>15700</v>
      </c>
      <c r="C1899" s="1">
        <f>IFERROR(__xludf.DUMMYFUNCTION("""COMPUTED_VALUE"""),16100.0)</f>
        <v>16100</v>
      </c>
      <c r="D1899" s="1">
        <f>IFERROR(__xludf.DUMMYFUNCTION("""COMPUTED_VALUE"""),15500.0)</f>
        <v>15500</v>
      </c>
      <c r="E1899" s="1">
        <f>IFERROR(__xludf.DUMMYFUNCTION("""COMPUTED_VALUE"""),15750.0)</f>
        <v>15750</v>
      </c>
      <c r="F1899" s="1">
        <f>IFERROR(__xludf.DUMMYFUNCTION("""COMPUTED_VALUE"""),110379.0)</f>
        <v>110379</v>
      </c>
    </row>
    <row r="1900">
      <c r="A1900" s="2">
        <f>IFERROR(__xludf.DUMMYFUNCTION("""COMPUTED_VALUE"""),43738.64583333333)</f>
        <v>43738.64583</v>
      </c>
      <c r="B1900" s="1">
        <f>IFERROR(__xludf.DUMMYFUNCTION("""COMPUTED_VALUE"""),15600.0)</f>
        <v>15600</v>
      </c>
      <c r="C1900" s="1">
        <f>IFERROR(__xludf.DUMMYFUNCTION("""COMPUTED_VALUE"""),15700.0)</f>
        <v>15700</v>
      </c>
      <c r="D1900" s="1">
        <f>IFERROR(__xludf.DUMMYFUNCTION("""COMPUTED_VALUE"""),15200.0)</f>
        <v>15200</v>
      </c>
      <c r="E1900" s="1">
        <f>IFERROR(__xludf.DUMMYFUNCTION("""COMPUTED_VALUE"""),15450.0)</f>
        <v>15450</v>
      </c>
      <c r="F1900" s="1">
        <f>IFERROR(__xludf.DUMMYFUNCTION("""COMPUTED_VALUE"""),108327.0)</f>
        <v>108327</v>
      </c>
    </row>
    <row r="1901">
      <c r="A1901" s="2">
        <f>IFERROR(__xludf.DUMMYFUNCTION("""COMPUTED_VALUE"""),43739.64583333333)</f>
        <v>43739.64583</v>
      </c>
      <c r="B1901" s="1">
        <f>IFERROR(__xludf.DUMMYFUNCTION("""COMPUTED_VALUE"""),15300.0)</f>
        <v>15300</v>
      </c>
      <c r="C1901" s="1">
        <f>IFERROR(__xludf.DUMMYFUNCTION("""COMPUTED_VALUE"""),15650.0)</f>
        <v>15650</v>
      </c>
      <c r="D1901" s="1">
        <f>IFERROR(__xludf.DUMMYFUNCTION("""COMPUTED_VALUE"""),15300.0)</f>
        <v>15300</v>
      </c>
      <c r="E1901" s="1">
        <f>IFERROR(__xludf.DUMMYFUNCTION("""COMPUTED_VALUE"""),15450.0)</f>
        <v>15450</v>
      </c>
      <c r="F1901" s="1">
        <f>IFERROR(__xludf.DUMMYFUNCTION("""COMPUTED_VALUE"""),75698.0)</f>
        <v>75698</v>
      </c>
    </row>
    <row r="1902">
      <c r="A1902" s="2">
        <f>IFERROR(__xludf.DUMMYFUNCTION("""COMPUTED_VALUE"""),43740.64583333333)</f>
        <v>43740.64583</v>
      </c>
      <c r="B1902" s="1">
        <f>IFERROR(__xludf.DUMMYFUNCTION("""COMPUTED_VALUE"""),16100.0)</f>
        <v>16100</v>
      </c>
      <c r="C1902" s="1">
        <f>IFERROR(__xludf.DUMMYFUNCTION("""COMPUTED_VALUE"""),16200.0)</f>
        <v>16200</v>
      </c>
      <c r="D1902" s="1">
        <f>IFERROR(__xludf.DUMMYFUNCTION("""COMPUTED_VALUE"""),15550.0)</f>
        <v>15550</v>
      </c>
      <c r="E1902" s="1">
        <f>IFERROR(__xludf.DUMMYFUNCTION("""COMPUTED_VALUE"""),15650.0)</f>
        <v>15650</v>
      </c>
      <c r="F1902" s="1">
        <f>IFERROR(__xludf.DUMMYFUNCTION("""COMPUTED_VALUE"""),255286.0)</f>
        <v>255286</v>
      </c>
    </row>
    <row r="1903">
      <c r="A1903" s="2">
        <f>IFERROR(__xludf.DUMMYFUNCTION("""COMPUTED_VALUE"""),43742.64583333333)</f>
        <v>43742.64583</v>
      </c>
      <c r="B1903" s="1">
        <f>IFERROR(__xludf.DUMMYFUNCTION("""COMPUTED_VALUE"""),15650.0)</f>
        <v>15650</v>
      </c>
      <c r="C1903" s="1">
        <f>IFERROR(__xludf.DUMMYFUNCTION("""COMPUTED_VALUE"""),15750.0)</f>
        <v>15750</v>
      </c>
      <c r="D1903" s="1">
        <f>IFERROR(__xludf.DUMMYFUNCTION("""COMPUTED_VALUE"""),15000.0)</f>
        <v>15000</v>
      </c>
      <c r="E1903" s="1">
        <f>IFERROR(__xludf.DUMMYFUNCTION("""COMPUTED_VALUE"""),15000.0)</f>
        <v>15000</v>
      </c>
      <c r="F1903" s="1">
        <f>IFERROR(__xludf.DUMMYFUNCTION("""COMPUTED_VALUE"""),182420.0)</f>
        <v>182420</v>
      </c>
    </row>
    <row r="1904">
      <c r="A1904" s="2">
        <f>IFERROR(__xludf.DUMMYFUNCTION("""COMPUTED_VALUE"""),43745.64583333333)</f>
        <v>43745.64583</v>
      </c>
      <c r="B1904" s="1">
        <f>IFERROR(__xludf.DUMMYFUNCTION("""COMPUTED_VALUE"""),13050.0)</f>
        <v>13050</v>
      </c>
      <c r="C1904" s="1">
        <f>IFERROR(__xludf.DUMMYFUNCTION("""COMPUTED_VALUE"""),13750.0)</f>
        <v>13750</v>
      </c>
      <c r="D1904" s="1">
        <f>IFERROR(__xludf.DUMMYFUNCTION("""COMPUTED_VALUE"""),13050.0)</f>
        <v>13050</v>
      </c>
      <c r="E1904" s="1">
        <f>IFERROR(__xludf.DUMMYFUNCTION("""COMPUTED_VALUE"""),13250.0)</f>
        <v>13250</v>
      </c>
      <c r="F1904" s="1">
        <f>IFERROR(__xludf.DUMMYFUNCTION("""COMPUTED_VALUE"""),374899.0)</f>
        <v>374899</v>
      </c>
    </row>
    <row r="1905">
      <c r="A1905" s="2">
        <f>IFERROR(__xludf.DUMMYFUNCTION("""COMPUTED_VALUE"""),43746.64583333333)</f>
        <v>43746.64583</v>
      </c>
      <c r="B1905" s="1">
        <f>IFERROR(__xludf.DUMMYFUNCTION("""COMPUTED_VALUE"""),13200.0)</f>
        <v>13200</v>
      </c>
      <c r="C1905" s="1">
        <f>IFERROR(__xludf.DUMMYFUNCTION("""COMPUTED_VALUE"""),13450.0)</f>
        <v>13450</v>
      </c>
      <c r="D1905" s="1">
        <f>IFERROR(__xludf.DUMMYFUNCTION("""COMPUTED_VALUE"""),13150.0)</f>
        <v>13150</v>
      </c>
      <c r="E1905" s="1">
        <f>IFERROR(__xludf.DUMMYFUNCTION("""COMPUTED_VALUE"""),13400.0)</f>
        <v>13400</v>
      </c>
      <c r="F1905" s="1">
        <f>IFERROR(__xludf.DUMMYFUNCTION("""COMPUTED_VALUE"""),144796.0)</f>
        <v>144796</v>
      </c>
    </row>
    <row r="1906">
      <c r="A1906" s="2">
        <f>IFERROR(__xludf.DUMMYFUNCTION("""COMPUTED_VALUE"""),43748.64583333333)</f>
        <v>43748.64583</v>
      </c>
      <c r="B1906" s="1">
        <f>IFERROR(__xludf.DUMMYFUNCTION("""COMPUTED_VALUE"""),13150.0)</f>
        <v>13150</v>
      </c>
      <c r="C1906" s="1">
        <f>IFERROR(__xludf.DUMMYFUNCTION("""COMPUTED_VALUE"""),13500.0)</f>
        <v>13500</v>
      </c>
      <c r="D1906" s="1">
        <f>IFERROR(__xludf.DUMMYFUNCTION("""COMPUTED_VALUE"""),13150.0)</f>
        <v>13150</v>
      </c>
      <c r="E1906" s="1">
        <f>IFERROR(__xludf.DUMMYFUNCTION("""COMPUTED_VALUE"""),13400.0)</f>
        <v>13400</v>
      </c>
      <c r="F1906" s="1">
        <f>IFERROR(__xludf.DUMMYFUNCTION("""COMPUTED_VALUE"""),66903.0)</f>
        <v>66903</v>
      </c>
    </row>
    <row r="1907">
      <c r="A1907" s="2">
        <f>IFERROR(__xludf.DUMMYFUNCTION("""COMPUTED_VALUE"""),43749.64583333333)</f>
        <v>43749.64583</v>
      </c>
      <c r="B1907" s="1">
        <f>IFERROR(__xludf.DUMMYFUNCTION("""COMPUTED_VALUE"""),13450.0)</f>
        <v>13450</v>
      </c>
      <c r="C1907" s="1">
        <f>IFERROR(__xludf.DUMMYFUNCTION("""COMPUTED_VALUE"""),13500.0)</f>
        <v>13500</v>
      </c>
      <c r="D1907" s="1">
        <f>IFERROR(__xludf.DUMMYFUNCTION("""COMPUTED_VALUE"""),13200.0)</f>
        <v>13200</v>
      </c>
      <c r="E1907" s="1">
        <f>IFERROR(__xludf.DUMMYFUNCTION("""COMPUTED_VALUE"""),13400.0)</f>
        <v>13400</v>
      </c>
      <c r="F1907" s="1">
        <f>IFERROR(__xludf.DUMMYFUNCTION("""COMPUTED_VALUE"""),83701.0)</f>
        <v>83701</v>
      </c>
    </row>
    <row r="1908">
      <c r="A1908" s="2">
        <f>IFERROR(__xludf.DUMMYFUNCTION("""COMPUTED_VALUE"""),43752.64583333333)</f>
        <v>43752.64583</v>
      </c>
      <c r="B1908" s="1">
        <f>IFERROR(__xludf.DUMMYFUNCTION("""COMPUTED_VALUE"""),13550.0)</f>
        <v>13550</v>
      </c>
      <c r="C1908" s="1">
        <f>IFERROR(__xludf.DUMMYFUNCTION("""COMPUTED_VALUE"""),13950.0)</f>
        <v>13950</v>
      </c>
      <c r="D1908" s="1">
        <f>IFERROR(__xludf.DUMMYFUNCTION("""COMPUTED_VALUE"""),13400.0)</f>
        <v>13400</v>
      </c>
      <c r="E1908" s="1">
        <f>IFERROR(__xludf.DUMMYFUNCTION("""COMPUTED_VALUE"""),13700.0)</f>
        <v>13700</v>
      </c>
      <c r="F1908" s="1">
        <f>IFERROR(__xludf.DUMMYFUNCTION("""COMPUTED_VALUE"""),131712.0)</f>
        <v>131712</v>
      </c>
    </row>
    <row r="1909">
      <c r="A1909" s="2">
        <f>IFERROR(__xludf.DUMMYFUNCTION("""COMPUTED_VALUE"""),43753.64583333333)</f>
        <v>43753.64583</v>
      </c>
      <c r="B1909" s="1">
        <f>IFERROR(__xludf.DUMMYFUNCTION("""COMPUTED_VALUE"""),13700.0)</f>
        <v>13700</v>
      </c>
      <c r="C1909" s="1">
        <f>IFERROR(__xludf.DUMMYFUNCTION("""COMPUTED_VALUE"""),13900.0)</f>
        <v>13900</v>
      </c>
      <c r="D1909" s="1">
        <f>IFERROR(__xludf.DUMMYFUNCTION("""COMPUTED_VALUE"""),13550.0)</f>
        <v>13550</v>
      </c>
      <c r="E1909" s="1">
        <f>IFERROR(__xludf.DUMMYFUNCTION("""COMPUTED_VALUE"""),13750.0)</f>
        <v>13750</v>
      </c>
      <c r="F1909" s="1">
        <f>IFERROR(__xludf.DUMMYFUNCTION("""COMPUTED_VALUE"""),64778.0)</f>
        <v>64778</v>
      </c>
    </row>
    <row r="1910">
      <c r="A1910" s="2">
        <f>IFERROR(__xludf.DUMMYFUNCTION("""COMPUTED_VALUE"""),43754.64583333333)</f>
        <v>43754.64583</v>
      </c>
      <c r="B1910" s="1">
        <f>IFERROR(__xludf.DUMMYFUNCTION("""COMPUTED_VALUE"""),13800.0)</f>
        <v>13800</v>
      </c>
      <c r="C1910" s="1">
        <f>IFERROR(__xludf.DUMMYFUNCTION("""COMPUTED_VALUE"""),13900.0)</f>
        <v>13900</v>
      </c>
      <c r="D1910" s="1">
        <f>IFERROR(__xludf.DUMMYFUNCTION("""COMPUTED_VALUE"""),13550.0)</f>
        <v>13550</v>
      </c>
      <c r="E1910" s="1">
        <f>IFERROR(__xludf.DUMMYFUNCTION("""COMPUTED_VALUE"""),13750.0)</f>
        <v>13750</v>
      </c>
      <c r="F1910" s="1">
        <f>IFERROR(__xludf.DUMMYFUNCTION("""COMPUTED_VALUE"""),66722.0)</f>
        <v>66722</v>
      </c>
    </row>
    <row r="1911">
      <c r="A1911" s="2">
        <f>IFERROR(__xludf.DUMMYFUNCTION("""COMPUTED_VALUE"""),43755.64583333333)</f>
        <v>43755.64583</v>
      </c>
      <c r="B1911" s="1">
        <f>IFERROR(__xludf.DUMMYFUNCTION("""COMPUTED_VALUE"""),13800.0)</f>
        <v>13800</v>
      </c>
      <c r="C1911" s="1">
        <f>IFERROR(__xludf.DUMMYFUNCTION("""COMPUTED_VALUE"""),13850.0)</f>
        <v>13850</v>
      </c>
      <c r="D1911" s="1">
        <f>IFERROR(__xludf.DUMMYFUNCTION("""COMPUTED_VALUE"""),13500.0)</f>
        <v>13500</v>
      </c>
      <c r="E1911" s="1">
        <f>IFERROR(__xludf.DUMMYFUNCTION("""COMPUTED_VALUE"""),13600.0)</f>
        <v>13600</v>
      </c>
      <c r="F1911" s="1">
        <f>IFERROR(__xludf.DUMMYFUNCTION("""COMPUTED_VALUE"""),48797.0)</f>
        <v>48797</v>
      </c>
    </row>
    <row r="1912">
      <c r="A1912" s="2">
        <f>IFERROR(__xludf.DUMMYFUNCTION("""COMPUTED_VALUE"""),43756.64583333333)</f>
        <v>43756.64583</v>
      </c>
      <c r="B1912" s="1">
        <f>IFERROR(__xludf.DUMMYFUNCTION("""COMPUTED_VALUE"""),13600.0)</f>
        <v>13600</v>
      </c>
      <c r="C1912" s="1">
        <f>IFERROR(__xludf.DUMMYFUNCTION("""COMPUTED_VALUE"""),13900.0)</f>
        <v>13900</v>
      </c>
      <c r="D1912" s="1">
        <f>IFERROR(__xludf.DUMMYFUNCTION("""COMPUTED_VALUE"""),13600.0)</f>
        <v>13600</v>
      </c>
      <c r="E1912" s="1">
        <f>IFERROR(__xludf.DUMMYFUNCTION("""COMPUTED_VALUE"""),13650.0)</f>
        <v>13650</v>
      </c>
      <c r="F1912" s="1">
        <f>IFERROR(__xludf.DUMMYFUNCTION("""COMPUTED_VALUE"""),63881.0)</f>
        <v>63881</v>
      </c>
    </row>
    <row r="1913">
      <c r="A1913" s="2">
        <f>IFERROR(__xludf.DUMMYFUNCTION("""COMPUTED_VALUE"""),43759.64583333333)</f>
        <v>43759.64583</v>
      </c>
      <c r="B1913" s="1">
        <f>IFERROR(__xludf.DUMMYFUNCTION("""COMPUTED_VALUE"""),13650.0)</f>
        <v>13650</v>
      </c>
      <c r="C1913" s="1">
        <f>IFERROR(__xludf.DUMMYFUNCTION("""COMPUTED_VALUE"""),13650.0)</f>
        <v>13650</v>
      </c>
      <c r="D1913" s="1">
        <f>IFERROR(__xludf.DUMMYFUNCTION("""COMPUTED_VALUE"""),12950.0)</f>
        <v>12950</v>
      </c>
      <c r="E1913" s="1">
        <f>IFERROR(__xludf.DUMMYFUNCTION("""COMPUTED_VALUE"""),13050.0)</f>
        <v>13050</v>
      </c>
      <c r="F1913" s="1">
        <f>IFERROR(__xludf.DUMMYFUNCTION("""COMPUTED_VALUE"""),157895.0)</f>
        <v>157895</v>
      </c>
    </row>
    <row r="1914">
      <c r="A1914" s="2">
        <f>IFERROR(__xludf.DUMMYFUNCTION("""COMPUTED_VALUE"""),43760.64583333333)</f>
        <v>43760.64583</v>
      </c>
      <c r="B1914" s="1">
        <f>IFERROR(__xludf.DUMMYFUNCTION("""COMPUTED_VALUE"""),13200.0)</f>
        <v>13200</v>
      </c>
      <c r="C1914" s="1">
        <f>IFERROR(__xludf.DUMMYFUNCTION("""COMPUTED_VALUE"""),13500.0)</f>
        <v>13500</v>
      </c>
      <c r="D1914" s="1">
        <f>IFERROR(__xludf.DUMMYFUNCTION("""COMPUTED_VALUE"""),13100.0)</f>
        <v>13100</v>
      </c>
      <c r="E1914" s="1">
        <f>IFERROR(__xludf.DUMMYFUNCTION("""COMPUTED_VALUE"""),13400.0)</f>
        <v>13400</v>
      </c>
      <c r="F1914" s="1">
        <f>IFERROR(__xludf.DUMMYFUNCTION("""COMPUTED_VALUE"""),109398.0)</f>
        <v>109398</v>
      </c>
    </row>
    <row r="1915">
      <c r="A1915" s="2">
        <f>IFERROR(__xludf.DUMMYFUNCTION("""COMPUTED_VALUE"""),43761.64583333333)</f>
        <v>43761.64583</v>
      </c>
      <c r="B1915" s="1">
        <f>IFERROR(__xludf.DUMMYFUNCTION("""COMPUTED_VALUE"""),13050.0)</f>
        <v>13050</v>
      </c>
      <c r="C1915" s="1">
        <f>IFERROR(__xludf.DUMMYFUNCTION("""COMPUTED_VALUE"""),13100.0)</f>
        <v>13100</v>
      </c>
      <c r="D1915" s="1">
        <f>IFERROR(__xludf.DUMMYFUNCTION("""COMPUTED_VALUE"""),12650.0)</f>
        <v>12650</v>
      </c>
      <c r="E1915" s="1">
        <f>IFERROR(__xludf.DUMMYFUNCTION("""COMPUTED_VALUE"""),12800.0)</f>
        <v>12800</v>
      </c>
      <c r="F1915" s="1">
        <f>IFERROR(__xludf.DUMMYFUNCTION("""COMPUTED_VALUE"""),195848.0)</f>
        <v>195848</v>
      </c>
    </row>
    <row r="1916">
      <c r="A1916" s="2">
        <f>IFERROR(__xludf.DUMMYFUNCTION("""COMPUTED_VALUE"""),43762.64583333333)</f>
        <v>43762.64583</v>
      </c>
      <c r="B1916" s="1">
        <f>IFERROR(__xludf.DUMMYFUNCTION("""COMPUTED_VALUE"""),12800.0)</f>
        <v>12800</v>
      </c>
      <c r="C1916" s="1">
        <f>IFERROR(__xludf.DUMMYFUNCTION("""COMPUTED_VALUE"""),13250.0)</f>
        <v>13250</v>
      </c>
      <c r="D1916" s="1">
        <f>IFERROR(__xludf.DUMMYFUNCTION("""COMPUTED_VALUE"""),12650.0)</f>
        <v>12650</v>
      </c>
      <c r="E1916" s="1">
        <f>IFERROR(__xludf.DUMMYFUNCTION("""COMPUTED_VALUE"""),13100.0)</f>
        <v>13100</v>
      </c>
      <c r="F1916" s="1">
        <f>IFERROR(__xludf.DUMMYFUNCTION("""COMPUTED_VALUE"""),112043.0)</f>
        <v>112043</v>
      </c>
    </row>
    <row r="1917">
      <c r="A1917" s="2">
        <f>IFERROR(__xludf.DUMMYFUNCTION("""COMPUTED_VALUE"""),43763.64583333333)</f>
        <v>43763.64583</v>
      </c>
      <c r="B1917" s="1">
        <f>IFERROR(__xludf.DUMMYFUNCTION("""COMPUTED_VALUE"""),13050.0)</f>
        <v>13050</v>
      </c>
      <c r="C1917" s="1">
        <f>IFERROR(__xludf.DUMMYFUNCTION("""COMPUTED_VALUE"""),13400.0)</f>
        <v>13400</v>
      </c>
      <c r="D1917" s="1">
        <f>IFERROR(__xludf.DUMMYFUNCTION("""COMPUTED_VALUE"""),12900.0)</f>
        <v>12900</v>
      </c>
      <c r="E1917" s="1">
        <f>IFERROR(__xludf.DUMMYFUNCTION("""COMPUTED_VALUE"""),12900.0)</f>
        <v>12900</v>
      </c>
      <c r="F1917" s="1">
        <f>IFERROR(__xludf.DUMMYFUNCTION("""COMPUTED_VALUE"""),71664.0)</f>
        <v>71664</v>
      </c>
    </row>
    <row r="1918">
      <c r="A1918" s="2">
        <f>IFERROR(__xludf.DUMMYFUNCTION("""COMPUTED_VALUE"""),43766.64583333333)</f>
        <v>43766.64583</v>
      </c>
      <c r="B1918" s="1">
        <f>IFERROR(__xludf.DUMMYFUNCTION("""COMPUTED_VALUE"""),12800.0)</f>
        <v>12800</v>
      </c>
      <c r="C1918" s="1">
        <f>IFERROR(__xludf.DUMMYFUNCTION("""COMPUTED_VALUE"""),13050.0)</f>
        <v>13050</v>
      </c>
      <c r="D1918" s="1">
        <f>IFERROR(__xludf.DUMMYFUNCTION("""COMPUTED_VALUE"""),12700.0)</f>
        <v>12700</v>
      </c>
      <c r="E1918" s="1">
        <f>IFERROR(__xludf.DUMMYFUNCTION("""COMPUTED_VALUE"""),12900.0)</f>
        <v>12900</v>
      </c>
      <c r="F1918" s="1">
        <f>IFERROR(__xludf.DUMMYFUNCTION("""COMPUTED_VALUE"""),65384.0)</f>
        <v>65384</v>
      </c>
    </row>
    <row r="1919">
      <c r="A1919" s="2">
        <f>IFERROR(__xludf.DUMMYFUNCTION("""COMPUTED_VALUE"""),43767.64583333333)</f>
        <v>43767.64583</v>
      </c>
      <c r="B1919" s="1">
        <f>IFERROR(__xludf.DUMMYFUNCTION("""COMPUTED_VALUE"""),12950.0)</f>
        <v>12950</v>
      </c>
      <c r="C1919" s="1">
        <f>IFERROR(__xludf.DUMMYFUNCTION("""COMPUTED_VALUE"""),13100.0)</f>
        <v>13100</v>
      </c>
      <c r="D1919" s="1">
        <f>IFERROR(__xludf.DUMMYFUNCTION("""COMPUTED_VALUE"""),12900.0)</f>
        <v>12900</v>
      </c>
      <c r="E1919" s="1">
        <f>IFERROR(__xludf.DUMMYFUNCTION("""COMPUTED_VALUE"""),13100.0)</f>
        <v>13100</v>
      </c>
      <c r="F1919" s="1">
        <f>IFERROR(__xludf.DUMMYFUNCTION("""COMPUTED_VALUE"""),57951.0)</f>
        <v>57951</v>
      </c>
    </row>
    <row r="1920">
      <c r="A1920" s="2">
        <f>IFERROR(__xludf.DUMMYFUNCTION("""COMPUTED_VALUE"""),43768.64583333333)</f>
        <v>43768.64583</v>
      </c>
      <c r="B1920" s="1">
        <f>IFERROR(__xludf.DUMMYFUNCTION("""COMPUTED_VALUE"""),12850.0)</f>
        <v>12850</v>
      </c>
      <c r="C1920" s="1">
        <f>IFERROR(__xludf.DUMMYFUNCTION("""COMPUTED_VALUE"""),13050.0)</f>
        <v>13050</v>
      </c>
      <c r="D1920" s="1">
        <f>IFERROR(__xludf.DUMMYFUNCTION("""COMPUTED_VALUE"""),12700.0)</f>
        <v>12700</v>
      </c>
      <c r="E1920" s="1">
        <f>IFERROR(__xludf.DUMMYFUNCTION("""COMPUTED_VALUE"""),12750.0)</f>
        <v>12750</v>
      </c>
      <c r="F1920" s="1">
        <f>IFERROR(__xludf.DUMMYFUNCTION("""COMPUTED_VALUE"""),59407.0)</f>
        <v>59407</v>
      </c>
    </row>
    <row r="1921">
      <c r="A1921" s="2">
        <f>IFERROR(__xludf.DUMMYFUNCTION("""COMPUTED_VALUE"""),43769.64583333333)</f>
        <v>43769.64583</v>
      </c>
      <c r="B1921" s="1">
        <f>IFERROR(__xludf.DUMMYFUNCTION("""COMPUTED_VALUE"""),12750.0)</f>
        <v>12750</v>
      </c>
      <c r="C1921" s="1">
        <f>IFERROR(__xludf.DUMMYFUNCTION("""COMPUTED_VALUE"""),12850.0)</f>
        <v>12850</v>
      </c>
      <c r="D1921" s="1">
        <f>IFERROR(__xludf.DUMMYFUNCTION("""COMPUTED_VALUE"""),12550.0)</f>
        <v>12550</v>
      </c>
      <c r="E1921" s="1">
        <f>IFERROR(__xludf.DUMMYFUNCTION("""COMPUTED_VALUE"""),12750.0)</f>
        <v>12750</v>
      </c>
      <c r="F1921" s="1">
        <f>IFERROR(__xludf.DUMMYFUNCTION("""COMPUTED_VALUE"""),44639.0)</f>
        <v>44639</v>
      </c>
    </row>
    <row r="1922">
      <c r="A1922" s="2">
        <f>IFERROR(__xludf.DUMMYFUNCTION("""COMPUTED_VALUE"""),43770.64583333333)</f>
        <v>43770.64583</v>
      </c>
      <c r="B1922" s="1">
        <f>IFERROR(__xludf.DUMMYFUNCTION("""COMPUTED_VALUE"""),12600.0)</f>
        <v>12600</v>
      </c>
      <c r="C1922" s="1">
        <f>IFERROR(__xludf.DUMMYFUNCTION("""COMPUTED_VALUE"""),12900.0)</f>
        <v>12900</v>
      </c>
      <c r="D1922" s="1">
        <f>IFERROR(__xludf.DUMMYFUNCTION("""COMPUTED_VALUE"""),12600.0)</f>
        <v>12600</v>
      </c>
      <c r="E1922" s="1">
        <f>IFERROR(__xludf.DUMMYFUNCTION("""COMPUTED_VALUE"""),12850.0)</f>
        <v>12850</v>
      </c>
      <c r="F1922" s="1">
        <f>IFERROR(__xludf.DUMMYFUNCTION("""COMPUTED_VALUE"""),51688.0)</f>
        <v>51688</v>
      </c>
    </row>
    <row r="1923">
      <c r="A1923" s="2">
        <f>IFERROR(__xludf.DUMMYFUNCTION("""COMPUTED_VALUE"""),43773.64583333333)</f>
        <v>43773.64583</v>
      </c>
      <c r="B1923" s="1">
        <f>IFERROR(__xludf.DUMMYFUNCTION("""COMPUTED_VALUE"""),12950.0)</f>
        <v>12950</v>
      </c>
      <c r="C1923" s="1">
        <f>IFERROR(__xludf.DUMMYFUNCTION("""COMPUTED_VALUE"""),13100.0)</f>
        <v>13100</v>
      </c>
      <c r="D1923" s="1">
        <f>IFERROR(__xludf.DUMMYFUNCTION("""COMPUTED_VALUE"""),12800.0)</f>
        <v>12800</v>
      </c>
      <c r="E1923" s="1">
        <f>IFERROR(__xludf.DUMMYFUNCTION("""COMPUTED_VALUE"""),13050.0)</f>
        <v>13050</v>
      </c>
      <c r="F1923" s="1">
        <f>IFERROR(__xludf.DUMMYFUNCTION("""COMPUTED_VALUE"""),76537.0)</f>
        <v>76537</v>
      </c>
    </row>
    <row r="1924">
      <c r="A1924" s="2">
        <f>IFERROR(__xludf.DUMMYFUNCTION("""COMPUTED_VALUE"""),43774.64583333333)</f>
        <v>43774.64583</v>
      </c>
      <c r="B1924" s="1">
        <f>IFERROR(__xludf.DUMMYFUNCTION("""COMPUTED_VALUE"""),13400.0)</f>
        <v>13400</v>
      </c>
      <c r="C1924" s="1">
        <f>IFERROR(__xludf.DUMMYFUNCTION("""COMPUTED_VALUE"""),13450.0)</f>
        <v>13450</v>
      </c>
      <c r="D1924" s="1">
        <f>IFERROR(__xludf.DUMMYFUNCTION("""COMPUTED_VALUE"""),13050.0)</f>
        <v>13050</v>
      </c>
      <c r="E1924" s="1">
        <f>IFERROR(__xludf.DUMMYFUNCTION("""COMPUTED_VALUE"""),13100.0)</f>
        <v>13100</v>
      </c>
      <c r="F1924" s="1">
        <f>IFERROR(__xludf.DUMMYFUNCTION("""COMPUTED_VALUE"""),92833.0)</f>
        <v>92833</v>
      </c>
    </row>
    <row r="1925">
      <c r="A1925" s="2">
        <f>IFERROR(__xludf.DUMMYFUNCTION("""COMPUTED_VALUE"""),43775.64583333333)</f>
        <v>43775.64583</v>
      </c>
      <c r="B1925" s="1">
        <f>IFERROR(__xludf.DUMMYFUNCTION("""COMPUTED_VALUE"""),13150.0)</f>
        <v>13150</v>
      </c>
      <c r="C1925" s="1">
        <f>IFERROR(__xludf.DUMMYFUNCTION("""COMPUTED_VALUE"""),13600.0)</f>
        <v>13600</v>
      </c>
      <c r="D1925" s="1">
        <f>IFERROR(__xludf.DUMMYFUNCTION("""COMPUTED_VALUE"""),13100.0)</f>
        <v>13100</v>
      </c>
      <c r="E1925" s="1">
        <f>IFERROR(__xludf.DUMMYFUNCTION("""COMPUTED_VALUE"""),13300.0)</f>
        <v>13300</v>
      </c>
      <c r="F1925" s="1">
        <f>IFERROR(__xludf.DUMMYFUNCTION("""COMPUTED_VALUE"""),133439.0)</f>
        <v>133439</v>
      </c>
    </row>
    <row r="1926">
      <c r="A1926" s="2">
        <f>IFERROR(__xludf.DUMMYFUNCTION("""COMPUTED_VALUE"""),43776.64583333333)</f>
        <v>43776.64583</v>
      </c>
      <c r="B1926" s="1">
        <f>IFERROR(__xludf.DUMMYFUNCTION("""COMPUTED_VALUE"""),13300.0)</f>
        <v>13300</v>
      </c>
      <c r="C1926" s="1">
        <f>IFERROR(__xludf.DUMMYFUNCTION("""COMPUTED_VALUE"""),13800.0)</f>
        <v>13800</v>
      </c>
      <c r="D1926" s="1">
        <f>IFERROR(__xludf.DUMMYFUNCTION("""COMPUTED_VALUE"""),13050.0)</f>
        <v>13050</v>
      </c>
      <c r="E1926" s="1">
        <f>IFERROR(__xludf.DUMMYFUNCTION("""COMPUTED_VALUE"""),13150.0)</f>
        <v>13150</v>
      </c>
      <c r="F1926" s="1">
        <f>IFERROR(__xludf.DUMMYFUNCTION("""COMPUTED_VALUE"""),155276.0)</f>
        <v>155276</v>
      </c>
    </row>
    <row r="1927">
      <c r="A1927" s="2">
        <f>IFERROR(__xludf.DUMMYFUNCTION("""COMPUTED_VALUE"""),43777.64583333333)</f>
        <v>43777.64583</v>
      </c>
      <c r="B1927" s="1">
        <f>IFERROR(__xludf.DUMMYFUNCTION("""COMPUTED_VALUE"""),13200.0)</f>
        <v>13200</v>
      </c>
      <c r="C1927" s="1">
        <f>IFERROR(__xludf.DUMMYFUNCTION("""COMPUTED_VALUE"""),13350.0)</f>
        <v>13350</v>
      </c>
      <c r="D1927" s="1">
        <f>IFERROR(__xludf.DUMMYFUNCTION("""COMPUTED_VALUE"""),13150.0)</f>
        <v>13150</v>
      </c>
      <c r="E1927" s="1">
        <f>IFERROR(__xludf.DUMMYFUNCTION("""COMPUTED_VALUE"""),13300.0)</f>
        <v>13300</v>
      </c>
      <c r="F1927" s="1">
        <f>IFERROR(__xludf.DUMMYFUNCTION("""COMPUTED_VALUE"""),45283.0)</f>
        <v>45283</v>
      </c>
    </row>
    <row r="1928">
      <c r="A1928" s="2">
        <f>IFERROR(__xludf.DUMMYFUNCTION("""COMPUTED_VALUE"""),43780.64583333333)</f>
        <v>43780.64583</v>
      </c>
      <c r="B1928" s="1">
        <f>IFERROR(__xludf.DUMMYFUNCTION("""COMPUTED_VALUE"""),13300.0)</f>
        <v>13300</v>
      </c>
      <c r="C1928" s="1">
        <f>IFERROR(__xludf.DUMMYFUNCTION("""COMPUTED_VALUE"""),13350.0)</f>
        <v>13350</v>
      </c>
      <c r="D1928" s="1">
        <f>IFERROR(__xludf.DUMMYFUNCTION("""COMPUTED_VALUE"""),12950.0)</f>
        <v>12950</v>
      </c>
      <c r="E1928" s="1">
        <f>IFERROR(__xludf.DUMMYFUNCTION("""COMPUTED_VALUE"""),13050.0)</f>
        <v>13050</v>
      </c>
      <c r="F1928" s="1">
        <f>IFERROR(__xludf.DUMMYFUNCTION("""COMPUTED_VALUE"""),53297.0)</f>
        <v>53297</v>
      </c>
    </row>
    <row r="1929">
      <c r="A1929" s="2">
        <f>IFERROR(__xludf.DUMMYFUNCTION("""COMPUTED_VALUE"""),43781.64583333333)</f>
        <v>43781.64583</v>
      </c>
      <c r="B1929" s="1">
        <f>IFERROR(__xludf.DUMMYFUNCTION("""COMPUTED_VALUE"""),12950.0)</f>
        <v>12950</v>
      </c>
      <c r="C1929" s="1">
        <f>IFERROR(__xludf.DUMMYFUNCTION("""COMPUTED_VALUE"""),13200.0)</f>
        <v>13200</v>
      </c>
      <c r="D1929" s="1">
        <f>IFERROR(__xludf.DUMMYFUNCTION("""COMPUTED_VALUE"""),12950.0)</f>
        <v>12950</v>
      </c>
      <c r="E1929" s="1">
        <f>IFERROR(__xludf.DUMMYFUNCTION("""COMPUTED_VALUE"""),13150.0)</f>
        <v>13150</v>
      </c>
      <c r="F1929" s="1">
        <f>IFERROR(__xludf.DUMMYFUNCTION("""COMPUTED_VALUE"""),30207.0)</f>
        <v>30207</v>
      </c>
    </row>
    <row r="1930">
      <c r="A1930" s="2">
        <f>IFERROR(__xludf.DUMMYFUNCTION("""COMPUTED_VALUE"""),43782.64583333333)</f>
        <v>43782.64583</v>
      </c>
      <c r="B1930" s="1">
        <f>IFERROR(__xludf.DUMMYFUNCTION("""COMPUTED_VALUE"""),13200.0)</f>
        <v>13200</v>
      </c>
      <c r="C1930" s="1">
        <f>IFERROR(__xludf.DUMMYFUNCTION("""COMPUTED_VALUE"""),13300.0)</f>
        <v>13300</v>
      </c>
      <c r="D1930" s="1">
        <f>IFERROR(__xludf.DUMMYFUNCTION("""COMPUTED_VALUE"""),13050.0)</f>
        <v>13050</v>
      </c>
      <c r="E1930" s="1">
        <f>IFERROR(__xludf.DUMMYFUNCTION("""COMPUTED_VALUE"""),13050.0)</f>
        <v>13050</v>
      </c>
      <c r="F1930" s="1">
        <f>IFERROR(__xludf.DUMMYFUNCTION("""COMPUTED_VALUE"""),34858.0)</f>
        <v>34858</v>
      </c>
    </row>
    <row r="1931">
      <c r="A1931" s="2">
        <f>IFERROR(__xludf.DUMMYFUNCTION("""COMPUTED_VALUE"""),43783.6875)</f>
        <v>43783.6875</v>
      </c>
      <c r="B1931" s="1">
        <f>IFERROR(__xludf.DUMMYFUNCTION("""COMPUTED_VALUE"""),13250.0)</f>
        <v>13250</v>
      </c>
      <c r="C1931" s="1">
        <f>IFERROR(__xludf.DUMMYFUNCTION("""COMPUTED_VALUE"""),13300.0)</f>
        <v>13300</v>
      </c>
      <c r="D1931" s="1">
        <f>IFERROR(__xludf.DUMMYFUNCTION("""COMPUTED_VALUE"""),13050.0)</f>
        <v>13050</v>
      </c>
      <c r="E1931" s="1">
        <f>IFERROR(__xludf.DUMMYFUNCTION("""COMPUTED_VALUE"""),13150.0)</f>
        <v>13150</v>
      </c>
      <c r="F1931" s="1">
        <f>IFERROR(__xludf.DUMMYFUNCTION("""COMPUTED_VALUE"""),60135.0)</f>
        <v>60135</v>
      </c>
    </row>
    <row r="1932">
      <c r="A1932" s="2">
        <f>IFERROR(__xludf.DUMMYFUNCTION("""COMPUTED_VALUE"""),43784.64583333333)</f>
        <v>43784.64583</v>
      </c>
      <c r="B1932" s="1">
        <f>IFERROR(__xludf.DUMMYFUNCTION("""COMPUTED_VALUE"""),13250.0)</f>
        <v>13250</v>
      </c>
      <c r="C1932" s="1">
        <f>IFERROR(__xludf.DUMMYFUNCTION("""COMPUTED_VALUE"""),13400.0)</f>
        <v>13400</v>
      </c>
      <c r="D1932" s="1">
        <f>IFERROR(__xludf.DUMMYFUNCTION("""COMPUTED_VALUE"""),13100.0)</f>
        <v>13100</v>
      </c>
      <c r="E1932" s="1">
        <f>IFERROR(__xludf.DUMMYFUNCTION("""COMPUTED_VALUE"""),13150.0)</f>
        <v>13150</v>
      </c>
      <c r="F1932" s="1">
        <f>IFERROR(__xludf.DUMMYFUNCTION("""COMPUTED_VALUE"""),67318.0)</f>
        <v>67318</v>
      </c>
    </row>
    <row r="1933">
      <c r="A1933" s="2">
        <f>IFERROR(__xludf.DUMMYFUNCTION("""COMPUTED_VALUE"""),43787.64583333333)</f>
        <v>43787.64583</v>
      </c>
      <c r="B1933" s="1">
        <f>IFERROR(__xludf.DUMMYFUNCTION("""COMPUTED_VALUE"""),13500.0)</f>
        <v>13500</v>
      </c>
      <c r="C1933" s="1">
        <f>IFERROR(__xludf.DUMMYFUNCTION("""COMPUTED_VALUE"""),13800.0)</f>
        <v>13800</v>
      </c>
      <c r="D1933" s="1">
        <f>IFERROR(__xludf.DUMMYFUNCTION("""COMPUTED_VALUE"""),13200.0)</f>
        <v>13200</v>
      </c>
      <c r="E1933" s="1">
        <f>IFERROR(__xludf.DUMMYFUNCTION("""COMPUTED_VALUE"""),13450.0)</f>
        <v>13450</v>
      </c>
      <c r="F1933" s="1">
        <f>IFERROR(__xludf.DUMMYFUNCTION("""COMPUTED_VALUE"""),250935.0)</f>
        <v>250935</v>
      </c>
    </row>
    <row r="1934">
      <c r="A1934" s="2">
        <f>IFERROR(__xludf.DUMMYFUNCTION("""COMPUTED_VALUE"""),43788.64583333333)</f>
        <v>43788.64583</v>
      </c>
      <c r="B1934" s="1">
        <f>IFERROR(__xludf.DUMMYFUNCTION("""COMPUTED_VALUE"""),13300.0)</f>
        <v>13300</v>
      </c>
      <c r="C1934" s="1">
        <f>IFERROR(__xludf.DUMMYFUNCTION("""COMPUTED_VALUE"""),13400.0)</f>
        <v>13400</v>
      </c>
      <c r="D1934" s="1">
        <f>IFERROR(__xludf.DUMMYFUNCTION("""COMPUTED_VALUE"""),13050.0)</f>
        <v>13050</v>
      </c>
      <c r="E1934" s="1">
        <f>IFERROR(__xludf.DUMMYFUNCTION("""COMPUTED_VALUE"""),13050.0)</f>
        <v>13050</v>
      </c>
      <c r="F1934" s="1">
        <f>IFERROR(__xludf.DUMMYFUNCTION("""COMPUTED_VALUE"""),82335.0)</f>
        <v>82335</v>
      </c>
    </row>
    <row r="1935">
      <c r="A1935" s="2">
        <f>IFERROR(__xludf.DUMMYFUNCTION("""COMPUTED_VALUE"""),43789.64583333333)</f>
        <v>43789.64583</v>
      </c>
      <c r="B1935" s="1">
        <f>IFERROR(__xludf.DUMMYFUNCTION("""COMPUTED_VALUE"""),13050.0)</f>
        <v>13050</v>
      </c>
      <c r="C1935" s="1">
        <f>IFERROR(__xludf.DUMMYFUNCTION("""COMPUTED_VALUE"""),13150.0)</f>
        <v>13150</v>
      </c>
      <c r="D1935" s="1">
        <f>IFERROR(__xludf.DUMMYFUNCTION("""COMPUTED_VALUE"""),12450.0)</f>
        <v>12450</v>
      </c>
      <c r="E1935" s="1">
        <f>IFERROR(__xludf.DUMMYFUNCTION("""COMPUTED_VALUE"""),12550.0)</f>
        <v>12550</v>
      </c>
      <c r="F1935" s="1">
        <f>IFERROR(__xludf.DUMMYFUNCTION("""COMPUTED_VALUE"""),113257.0)</f>
        <v>113257</v>
      </c>
    </row>
    <row r="1936">
      <c r="A1936" s="2">
        <f>IFERROR(__xludf.DUMMYFUNCTION("""COMPUTED_VALUE"""),43790.64583333333)</f>
        <v>43790.64583</v>
      </c>
      <c r="B1936" s="1">
        <f>IFERROR(__xludf.DUMMYFUNCTION("""COMPUTED_VALUE"""),12600.0)</f>
        <v>12600</v>
      </c>
      <c r="C1936" s="1">
        <f>IFERROR(__xludf.DUMMYFUNCTION("""COMPUTED_VALUE"""),12600.0)</f>
        <v>12600</v>
      </c>
      <c r="D1936" s="1">
        <f>IFERROR(__xludf.DUMMYFUNCTION("""COMPUTED_VALUE"""),11950.0)</f>
        <v>11950</v>
      </c>
      <c r="E1936" s="1">
        <f>IFERROR(__xludf.DUMMYFUNCTION("""COMPUTED_VALUE"""),12200.0)</f>
        <v>12200</v>
      </c>
      <c r="F1936" s="1">
        <f>IFERROR(__xludf.DUMMYFUNCTION("""COMPUTED_VALUE"""),107562.0)</f>
        <v>107562</v>
      </c>
    </row>
    <row r="1937">
      <c r="A1937" s="2">
        <f>IFERROR(__xludf.DUMMYFUNCTION("""COMPUTED_VALUE"""),43791.64583333333)</f>
        <v>43791.64583</v>
      </c>
      <c r="B1937" s="1">
        <f>IFERROR(__xludf.DUMMYFUNCTION("""COMPUTED_VALUE"""),12200.0)</f>
        <v>12200</v>
      </c>
      <c r="C1937" s="1">
        <f>IFERROR(__xludf.DUMMYFUNCTION("""COMPUTED_VALUE"""),12250.0)</f>
        <v>12250</v>
      </c>
      <c r="D1937" s="1">
        <f>IFERROR(__xludf.DUMMYFUNCTION("""COMPUTED_VALUE"""),11750.0)</f>
        <v>11750</v>
      </c>
      <c r="E1937" s="1">
        <f>IFERROR(__xludf.DUMMYFUNCTION("""COMPUTED_VALUE"""),11850.0)</f>
        <v>11850</v>
      </c>
      <c r="F1937" s="1">
        <f>IFERROR(__xludf.DUMMYFUNCTION("""COMPUTED_VALUE"""),90106.0)</f>
        <v>90106</v>
      </c>
    </row>
    <row r="1938">
      <c r="A1938" s="2">
        <f>IFERROR(__xludf.DUMMYFUNCTION("""COMPUTED_VALUE"""),43794.64583333333)</f>
        <v>43794.64583</v>
      </c>
      <c r="B1938" s="1">
        <f>IFERROR(__xludf.DUMMYFUNCTION("""COMPUTED_VALUE"""),11900.0)</f>
        <v>11900</v>
      </c>
      <c r="C1938" s="1">
        <f>IFERROR(__xludf.DUMMYFUNCTION("""COMPUTED_VALUE"""),12100.0)</f>
        <v>12100</v>
      </c>
      <c r="D1938" s="1">
        <f>IFERROR(__xludf.DUMMYFUNCTION("""COMPUTED_VALUE"""),11900.0)</f>
        <v>11900</v>
      </c>
      <c r="E1938" s="1">
        <f>IFERROR(__xludf.DUMMYFUNCTION("""COMPUTED_VALUE"""),11950.0)</f>
        <v>11950</v>
      </c>
      <c r="F1938" s="1">
        <f>IFERROR(__xludf.DUMMYFUNCTION("""COMPUTED_VALUE"""),34306.0)</f>
        <v>34306</v>
      </c>
    </row>
    <row r="1939">
      <c r="A1939" s="2">
        <f>IFERROR(__xludf.DUMMYFUNCTION("""COMPUTED_VALUE"""),43795.64583333333)</f>
        <v>43795.64583</v>
      </c>
      <c r="B1939" s="1">
        <f>IFERROR(__xludf.DUMMYFUNCTION("""COMPUTED_VALUE"""),11950.0)</f>
        <v>11950</v>
      </c>
      <c r="C1939" s="1">
        <f>IFERROR(__xludf.DUMMYFUNCTION("""COMPUTED_VALUE"""),12150.0)</f>
        <v>12150</v>
      </c>
      <c r="D1939" s="1">
        <f>IFERROR(__xludf.DUMMYFUNCTION("""COMPUTED_VALUE"""),11750.0)</f>
        <v>11750</v>
      </c>
      <c r="E1939" s="1">
        <f>IFERROR(__xludf.DUMMYFUNCTION("""COMPUTED_VALUE"""),12100.0)</f>
        <v>12100</v>
      </c>
      <c r="F1939" s="1">
        <f>IFERROR(__xludf.DUMMYFUNCTION("""COMPUTED_VALUE"""),34203.0)</f>
        <v>34203</v>
      </c>
    </row>
    <row r="1940">
      <c r="A1940" s="2">
        <f>IFERROR(__xludf.DUMMYFUNCTION("""COMPUTED_VALUE"""),43796.64583333333)</f>
        <v>43796.64583</v>
      </c>
      <c r="B1940" s="1">
        <f>IFERROR(__xludf.DUMMYFUNCTION("""COMPUTED_VALUE"""),12150.0)</f>
        <v>12150</v>
      </c>
      <c r="C1940" s="1">
        <f>IFERROR(__xludf.DUMMYFUNCTION("""COMPUTED_VALUE"""),12150.0)</f>
        <v>12150</v>
      </c>
      <c r="D1940" s="1">
        <f>IFERROR(__xludf.DUMMYFUNCTION("""COMPUTED_VALUE"""),11900.0)</f>
        <v>11900</v>
      </c>
      <c r="E1940" s="1">
        <f>IFERROR(__xludf.DUMMYFUNCTION("""COMPUTED_VALUE"""),11950.0)</f>
        <v>11950</v>
      </c>
      <c r="F1940" s="1">
        <f>IFERROR(__xludf.DUMMYFUNCTION("""COMPUTED_VALUE"""),30270.0)</f>
        <v>30270</v>
      </c>
    </row>
    <row r="1941">
      <c r="A1941" s="2">
        <f>IFERROR(__xludf.DUMMYFUNCTION("""COMPUTED_VALUE"""),43797.64583333333)</f>
        <v>43797.64583</v>
      </c>
      <c r="B1941" s="1">
        <f>IFERROR(__xludf.DUMMYFUNCTION("""COMPUTED_VALUE"""),11900.0)</f>
        <v>11900</v>
      </c>
      <c r="C1941" s="1">
        <f>IFERROR(__xludf.DUMMYFUNCTION("""COMPUTED_VALUE"""),12050.0)</f>
        <v>12050</v>
      </c>
      <c r="D1941" s="1">
        <f>IFERROR(__xludf.DUMMYFUNCTION("""COMPUTED_VALUE"""),11750.0)</f>
        <v>11750</v>
      </c>
      <c r="E1941" s="1">
        <f>IFERROR(__xludf.DUMMYFUNCTION("""COMPUTED_VALUE"""),11850.0)</f>
        <v>11850</v>
      </c>
      <c r="F1941" s="1">
        <f>IFERROR(__xludf.DUMMYFUNCTION("""COMPUTED_VALUE"""),51685.0)</f>
        <v>51685</v>
      </c>
    </row>
    <row r="1942">
      <c r="A1942" s="2">
        <f>IFERROR(__xludf.DUMMYFUNCTION("""COMPUTED_VALUE"""),43798.64583333333)</f>
        <v>43798.64583</v>
      </c>
      <c r="B1942" s="1">
        <f>IFERROR(__xludf.DUMMYFUNCTION("""COMPUTED_VALUE"""),11750.0)</f>
        <v>11750</v>
      </c>
      <c r="C1942" s="1">
        <f>IFERROR(__xludf.DUMMYFUNCTION("""COMPUTED_VALUE"""),11900.0)</f>
        <v>11900</v>
      </c>
      <c r="D1942" s="1">
        <f>IFERROR(__xludf.DUMMYFUNCTION("""COMPUTED_VALUE"""),11600.0)</f>
        <v>11600</v>
      </c>
      <c r="E1942" s="1">
        <f>IFERROR(__xludf.DUMMYFUNCTION("""COMPUTED_VALUE"""),11650.0)</f>
        <v>11650</v>
      </c>
      <c r="F1942" s="1">
        <f>IFERROR(__xludf.DUMMYFUNCTION("""COMPUTED_VALUE"""),49207.0)</f>
        <v>49207</v>
      </c>
    </row>
    <row r="1943">
      <c r="A1943" s="2">
        <f>IFERROR(__xludf.DUMMYFUNCTION("""COMPUTED_VALUE"""),43801.64583333333)</f>
        <v>43801.64583</v>
      </c>
      <c r="B1943" s="1">
        <f>IFERROR(__xludf.DUMMYFUNCTION("""COMPUTED_VALUE"""),11600.0)</f>
        <v>11600</v>
      </c>
      <c r="C1943" s="1">
        <f>IFERROR(__xludf.DUMMYFUNCTION("""COMPUTED_VALUE"""),11750.0)</f>
        <v>11750</v>
      </c>
      <c r="D1943" s="1">
        <f>IFERROR(__xludf.DUMMYFUNCTION("""COMPUTED_VALUE"""),11250.0)</f>
        <v>11250</v>
      </c>
      <c r="E1943" s="1">
        <f>IFERROR(__xludf.DUMMYFUNCTION("""COMPUTED_VALUE"""),11250.0)</f>
        <v>11250</v>
      </c>
      <c r="F1943" s="1">
        <f>IFERROR(__xludf.DUMMYFUNCTION("""COMPUTED_VALUE"""),54520.0)</f>
        <v>54520</v>
      </c>
    </row>
    <row r="1944">
      <c r="A1944" s="2">
        <f>IFERROR(__xludf.DUMMYFUNCTION("""COMPUTED_VALUE"""),43802.64583333333)</f>
        <v>43802.64583</v>
      </c>
      <c r="B1944" s="1">
        <f>IFERROR(__xludf.DUMMYFUNCTION("""COMPUTED_VALUE"""),11050.0)</f>
        <v>11050</v>
      </c>
      <c r="C1944" s="1">
        <f>IFERROR(__xludf.DUMMYFUNCTION("""COMPUTED_VALUE"""),11900.0)</f>
        <v>11900</v>
      </c>
      <c r="D1944" s="1">
        <f>IFERROR(__xludf.DUMMYFUNCTION("""COMPUTED_VALUE"""),11050.0)</f>
        <v>11050</v>
      </c>
      <c r="E1944" s="1">
        <f>IFERROR(__xludf.DUMMYFUNCTION("""COMPUTED_VALUE"""),11650.0)</f>
        <v>11650</v>
      </c>
      <c r="F1944" s="1">
        <f>IFERROR(__xludf.DUMMYFUNCTION("""COMPUTED_VALUE"""),73601.0)</f>
        <v>73601</v>
      </c>
    </row>
    <row r="1945">
      <c r="A1945" s="2">
        <f>IFERROR(__xludf.DUMMYFUNCTION("""COMPUTED_VALUE"""),43803.64583333333)</f>
        <v>43803.64583</v>
      </c>
      <c r="B1945" s="1">
        <f>IFERROR(__xludf.DUMMYFUNCTION("""COMPUTED_VALUE"""),11350.0)</f>
        <v>11350</v>
      </c>
      <c r="C1945" s="1">
        <f>IFERROR(__xludf.DUMMYFUNCTION("""COMPUTED_VALUE"""),11450.0)</f>
        <v>11450</v>
      </c>
      <c r="D1945" s="1">
        <f>IFERROR(__xludf.DUMMYFUNCTION("""COMPUTED_VALUE"""),11150.0)</f>
        <v>11150</v>
      </c>
      <c r="E1945" s="1">
        <f>IFERROR(__xludf.DUMMYFUNCTION("""COMPUTED_VALUE"""),11250.0)</f>
        <v>11250</v>
      </c>
      <c r="F1945" s="1">
        <f>IFERROR(__xludf.DUMMYFUNCTION("""COMPUTED_VALUE"""),27234.0)</f>
        <v>27234</v>
      </c>
    </row>
    <row r="1946">
      <c r="A1946" s="2">
        <f>IFERROR(__xludf.DUMMYFUNCTION("""COMPUTED_VALUE"""),43804.64583333333)</f>
        <v>43804.64583</v>
      </c>
      <c r="B1946" s="1">
        <f>IFERROR(__xludf.DUMMYFUNCTION("""COMPUTED_VALUE"""),11250.0)</f>
        <v>11250</v>
      </c>
      <c r="C1946" s="1">
        <f>IFERROR(__xludf.DUMMYFUNCTION("""COMPUTED_VALUE"""),11350.0)</f>
        <v>11350</v>
      </c>
      <c r="D1946" s="1">
        <f>IFERROR(__xludf.DUMMYFUNCTION("""COMPUTED_VALUE"""),10750.0)</f>
        <v>10750</v>
      </c>
      <c r="E1946" s="1">
        <f>IFERROR(__xludf.DUMMYFUNCTION("""COMPUTED_VALUE"""),10900.0)</f>
        <v>10900</v>
      </c>
      <c r="F1946" s="1">
        <f>IFERROR(__xludf.DUMMYFUNCTION("""COMPUTED_VALUE"""),69390.0)</f>
        <v>69390</v>
      </c>
    </row>
    <row r="1947">
      <c r="A1947" s="2">
        <f>IFERROR(__xludf.DUMMYFUNCTION("""COMPUTED_VALUE"""),43805.64583333333)</f>
        <v>43805.64583</v>
      </c>
      <c r="B1947" s="1">
        <f>IFERROR(__xludf.DUMMYFUNCTION("""COMPUTED_VALUE"""),10800.0)</f>
        <v>10800</v>
      </c>
      <c r="C1947" s="1">
        <f>IFERROR(__xludf.DUMMYFUNCTION("""COMPUTED_VALUE"""),11200.0)</f>
        <v>11200</v>
      </c>
      <c r="D1947" s="1">
        <f>IFERROR(__xludf.DUMMYFUNCTION("""COMPUTED_VALUE"""),10800.0)</f>
        <v>10800</v>
      </c>
      <c r="E1947" s="1">
        <f>IFERROR(__xludf.DUMMYFUNCTION("""COMPUTED_VALUE"""),11150.0)</f>
        <v>11150</v>
      </c>
      <c r="F1947" s="1">
        <f>IFERROR(__xludf.DUMMYFUNCTION("""COMPUTED_VALUE"""),38325.0)</f>
        <v>38325</v>
      </c>
    </row>
    <row r="1948">
      <c r="A1948" s="2">
        <f>IFERROR(__xludf.DUMMYFUNCTION("""COMPUTED_VALUE"""),43808.64583333333)</f>
        <v>43808.64583</v>
      </c>
      <c r="B1948" s="1">
        <f>IFERROR(__xludf.DUMMYFUNCTION("""COMPUTED_VALUE"""),11000.0)</f>
        <v>11000</v>
      </c>
      <c r="C1948" s="1">
        <f>IFERROR(__xludf.DUMMYFUNCTION("""COMPUTED_VALUE"""),11350.0)</f>
        <v>11350</v>
      </c>
      <c r="D1948" s="1">
        <f>IFERROR(__xludf.DUMMYFUNCTION("""COMPUTED_VALUE"""),10950.0)</f>
        <v>10950</v>
      </c>
      <c r="E1948" s="1">
        <f>IFERROR(__xludf.DUMMYFUNCTION("""COMPUTED_VALUE"""),11200.0)</f>
        <v>11200</v>
      </c>
      <c r="F1948" s="1">
        <f>IFERROR(__xludf.DUMMYFUNCTION("""COMPUTED_VALUE"""),55763.0)</f>
        <v>55763</v>
      </c>
    </row>
    <row r="1949">
      <c r="A1949" s="2">
        <f>IFERROR(__xludf.DUMMYFUNCTION("""COMPUTED_VALUE"""),43809.64583333333)</f>
        <v>43809.64583</v>
      </c>
      <c r="B1949" s="1">
        <f>IFERROR(__xludf.DUMMYFUNCTION("""COMPUTED_VALUE"""),11200.0)</f>
        <v>11200</v>
      </c>
      <c r="C1949" s="1">
        <f>IFERROR(__xludf.DUMMYFUNCTION("""COMPUTED_VALUE"""),11400.0)</f>
        <v>11400</v>
      </c>
      <c r="D1949" s="1">
        <f>IFERROR(__xludf.DUMMYFUNCTION("""COMPUTED_VALUE"""),11100.0)</f>
        <v>11100</v>
      </c>
      <c r="E1949" s="1">
        <f>IFERROR(__xludf.DUMMYFUNCTION("""COMPUTED_VALUE"""),11100.0)</f>
        <v>11100</v>
      </c>
      <c r="F1949" s="1">
        <f>IFERROR(__xludf.DUMMYFUNCTION("""COMPUTED_VALUE"""),29760.0)</f>
        <v>29760</v>
      </c>
    </row>
    <row r="1950">
      <c r="A1950" s="2">
        <f>IFERROR(__xludf.DUMMYFUNCTION("""COMPUTED_VALUE"""),43810.64583333333)</f>
        <v>43810.64583</v>
      </c>
      <c r="B1950" s="1">
        <f>IFERROR(__xludf.DUMMYFUNCTION("""COMPUTED_VALUE"""),11050.0)</f>
        <v>11050</v>
      </c>
      <c r="C1950" s="1">
        <f>IFERROR(__xludf.DUMMYFUNCTION("""COMPUTED_VALUE"""),11400.0)</f>
        <v>11400</v>
      </c>
      <c r="D1950" s="1">
        <f>IFERROR(__xludf.DUMMYFUNCTION("""COMPUTED_VALUE"""),11050.0)</f>
        <v>11050</v>
      </c>
      <c r="E1950" s="1">
        <f>IFERROR(__xludf.DUMMYFUNCTION("""COMPUTED_VALUE"""),11200.0)</f>
        <v>11200</v>
      </c>
      <c r="F1950" s="1">
        <f>IFERROR(__xludf.DUMMYFUNCTION("""COMPUTED_VALUE"""),25018.0)</f>
        <v>25018</v>
      </c>
    </row>
    <row r="1951">
      <c r="A1951" s="2">
        <f>IFERROR(__xludf.DUMMYFUNCTION("""COMPUTED_VALUE"""),43811.64583333333)</f>
        <v>43811.64583</v>
      </c>
      <c r="B1951" s="1">
        <f>IFERROR(__xludf.DUMMYFUNCTION("""COMPUTED_VALUE"""),11400.0)</f>
        <v>11400</v>
      </c>
      <c r="C1951" s="1">
        <f>IFERROR(__xludf.DUMMYFUNCTION("""COMPUTED_VALUE"""),11700.0)</f>
        <v>11700</v>
      </c>
      <c r="D1951" s="1">
        <f>IFERROR(__xludf.DUMMYFUNCTION("""COMPUTED_VALUE"""),11250.0)</f>
        <v>11250</v>
      </c>
      <c r="E1951" s="1">
        <f>IFERROR(__xludf.DUMMYFUNCTION("""COMPUTED_VALUE"""),11550.0)</f>
        <v>11550</v>
      </c>
      <c r="F1951" s="1">
        <f>IFERROR(__xludf.DUMMYFUNCTION("""COMPUTED_VALUE"""),71639.0)</f>
        <v>71639</v>
      </c>
    </row>
    <row r="1952">
      <c r="A1952" s="2">
        <f>IFERROR(__xludf.DUMMYFUNCTION("""COMPUTED_VALUE"""),43812.64583333333)</f>
        <v>43812.64583</v>
      </c>
      <c r="B1952" s="1">
        <f>IFERROR(__xludf.DUMMYFUNCTION("""COMPUTED_VALUE"""),11450.0)</f>
        <v>11450</v>
      </c>
      <c r="C1952" s="1">
        <f>IFERROR(__xludf.DUMMYFUNCTION("""COMPUTED_VALUE"""),11650.0)</f>
        <v>11650</v>
      </c>
      <c r="D1952" s="1">
        <f>IFERROR(__xludf.DUMMYFUNCTION("""COMPUTED_VALUE"""),11300.0)</f>
        <v>11300</v>
      </c>
      <c r="E1952" s="1">
        <f>IFERROR(__xludf.DUMMYFUNCTION("""COMPUTED_VALUE"""),11400.0)</f>
        <v>11400</v>
      </c>
      <c r="F1952" s="1">
        <f>IFERROR(__xludf.DUMMYFUNCTION("""COMPUTED_VALUE"""),90084.0)</f>
        <v>90084</v>
      </c>
    </row>
    <row r="1953">
      <c r="A1953" s="2">
        <f>IFERROR(__xludf.DUMMYFUNCTION("""COMPUTED_VALUE"""),43815.64583333333)</f>
        <v>43815.64583</v>
      </c>
      <c r="B1953" s="1">
        <f>IFERROR(__xludf.DUMMYFUNCTION("""COMPUTED_VALUE"""),11450.0)</f>
        <v>11450</v>
      </c>
      <c r="C1953" s="1">
        <f>IFERROR(__xludf.DUMMYFUNCTION("""COMPUTED_VALUE"""),11700.0)</f>
        <v>11700</v>
      </c>
      <c r="D1953" s="1">
        <f>IFERROR(__xludf.DUMMYFUNCTION("""COMPUTED_VALUE"""),11300.0)</f>
        <v>11300</v>
      </c>
      <c r="E1953" s="1">
        <f>IFERROR(__xludf.DUMMYFUNCTION("""COMPUTED_VALUE"""),11450.0)</f>
        <v>11450</v>
      </c>
      <c r="F1953" s="1">
        <f>IFERROR(__xludf.DUMMYFUNCTION("""COMPUTED_VALUE"""),82595.0)</f>
        <v>82595</v>
      </c>
    </row>
    <row r="1954">
      <c r="A1954" s="2">
        <f>IFERROR(__xludf.DUMMYFUNCTION("""COMPUTED_VALUE"""),43816.64583333333)</f>
        <v>43816.64583</v>
      </c>
      <c r="B1954" s="1">
        <f>IFERROR(__xludf.DUMMYFUNCTION("""COMPUTED_VALUE"""),11550.0)</f>
        <v>11550</v>
      </c>
      <c r="C1954" s="1">
        <f>IFERROR(__xludf.DUMMYFUNCTION("""COMPUTED_VALUE"""),11550.0)</f>
        <v>11550</v>
      </c>
      <c r="D1954" s="1">
        <f>IFERROR(__xludf.DUMMYFUNCTION("""COMPUTED_VALUE"""),11000.0)</f>
        <v>11000</v>
      </c>
      <c r="E1954" s="1">
        <f>IFERROR(__xludf.DUMMYFUNCTION("""COMPUTED_VALUE"""),11050.0)</f>
        <v>11050</v>
      </c>
      <c r="F1954" s="1">
        <f>IFERROR(__xludf.DUMMYFUNCTION("""COMPUTED_VALUE"""),116531.0)</f>
        <v>116531</v>
      </c>
    </row>
    <row r="1955">
      <c r="A1955" s="2">
        <f>IFERROR(__xludf.DUMMYFUNCTION("""COMPUTED_VALUE"""),43817.64583333333)</f>
        <v>43817.64583</v>
      </c>
      <c r="B1955" s="1">
        <f>IFERROR(__xludf.DUMMYFUNCTION("""COMPUTED_VALUE"""),11050.0)</f>
        <v>11050</v>
      </c>
      <c r="C1955" s="1">
        <f>IFERROR(__xludf.DUMMYFUNCTION("""COMPUTED_VALUE"""),11350.0)</f>
        <v>11350</v>
      </c>
      <c r="D1955" s="1">
        <f>IFERROR(__xludf.DUMMYFUNCTION("""COMPUTED_VALUE"""),11000.0)</f>
        <v>11000</v>
      </c>
      <c r="E1955" s="1">
        <f>IFERROR(__xludf.DUMMYFUNCTION("""COMPUTED_VALUE"""),11300.0)</f>
        <v>11300</v>
      </c>
      <c r="F1955" s="1">
        <f>IFERROR(__xludf.DUMMYFUNCTION("""COMPUTED_VALUE"""),65764.0)</f>
        <v>65764</v>
      </c>
    </row>
    <row r="1956">
      <c r="A1956" s="2">
        <f>IFERROR(__xludf.DUMMYFUNCTION("""COMPUTED_VALUE"""),43818.64583333333)</f>
        <v>43818.64583</v>
      </c>
      <c r="B1956" s="1">
        <f>IFERROR(__xludf.DUMMYFUNCTION("""COMPUTED_VALUE"""),11400.0)</f>
        <v>11400</v>
      </c>
      <c r="C1956" s="1">
        <f>IFERROR(__xludf.DUMMYFUNCTION("""COMPUTED_VALUE"""),11400.0)</f>
        <v>11400</v>
      </c>
      <c r="D1956" s="1">
        <f>IFERROR(__xludf.DUMMYFUNCTION("""COMPUTED_VALUE"""),11150.0)</f>
        <v>11150</v>
      </c>
      <c r="E1956" s="1">
        <f>IFERROR(__xludf.DUMMYFUNCTION("""COMPUTED_VALUE"""),11200.0)</f>
        <v>11200</v>
      </c>
      <c r="F1956" s="1">
        <f>IFERROR(__xludf.DUMMYFUNCTION("""COMPUTED_VALUE"""),37143.0)</f>
        <v>37143</v>
      </c>
    </row>
    <row r="1957">
      <c r="A1957" s="2">
        <f>IFERROR(__xludf.DUMMYFUNCTION("""COMPUTED_VALUE"""),43819.64583333333)</f>
        <v>43819.64583</v>
      </c>
      <c r="B1957" s="1">
        <f>IFERROR(__xludf.DUMMYFUNCTION("""COMPUTED_VALUE"""),11350.0)</f>
        <v>11350</v>
      </c>
      <c r="C1957" s="1">
        <f>IFERROR(__xludf.DUMMYFUNCTION("""COMPUTED_VALUE"""),11500.0)</f>
        <v>11500</v>
      </c>
      <c r="D1957" s="1">
        <f>IFERROR(__xludf.DUMMYFUNCTION("""COMPUTED_VALUE"""),11200.0)</f>
        <v>11200</v>
      </c>
      <c r="E1957" s="1">
        <f>IFERROR(__xludf.DUMMYFUNCTION("""COMPUTED_VALUE"""),11500.0)</f>
        <v>11500</v>
      </c>
      <c r="F1957" s="1">
        <f>IFERROR(__xludf.DUMMYFUNCTION("""COMPUTED_VALUE"""),77260.0)</f>
        <v>77260</v>
      </c>
    </row>
    <row r="1958">
      <c r="A1958" s="2">
        <f>IFERROR(__xludf.DUMMYFUNCTION("""COMPUTED_VALUE"""),43822.64583333333)</f>
        <v>43822.64583</v>
      </c>
      <c r="B1958" s="1">
        <f>IFERROR(__xludf.DUMMYFUNCTION("""COMPUTED_VALUE"""),11350.0)</f>
        <v>11350</v>
      </c>
      <c r="C1958" s="1">
        <f>IFERROR(__xludf.DUMMYFUNCTION("""COMPUTED_VALUE"""),11450.0)</f>
        <v>11450</v>
      </c>
      <c r="D1958" s="1">
        <f>IFERROR(__xludf.DUMMYFUNCTION("""COMPUTED_VALUE"""),11000.0)</f>
        <v>11000</v>
      </c>
      <c r="E1958" s="1">
        <f>IFERROR(__xludf.DUMMYFUNCTION("""COMPUTED_VALUE"""),11100.0)</f>
        <v>11100</v>
      </c>
      <c r="F1958" s="1">
        <f>IFERROR(__xludf.DUMMYFUNCTION("""COMPUTED_VALUE"""),55716.0)</f>
        <v>55716</v>
      </c>
    </row>
    <row r="1959">
      <c r="A1959" s="2">
        <f>IFERROR(__xludf.DUMMYFUNCTION("""COMPUTED_VALUE"""),43823.64583333333)</f>
        <v>43823.64583</v>
      </c>
      <c r="B1959" s="1">
        <f>IFERROR(__xludf.DUMMYFUNCTION("""COMPUTED_VALUE"""),11100.0)</f>
        <v>11100</v>
      </c>
      <c r="C1959" s="1">
        <f>IFERROR(__xludf.DUMMYFUNCTION("""COMPUTED_VALUE"""),11200.0)</f>
        <v>11200</v>
      </c>
      <c r="D1959" s="1">
        <f>IFERROR(__xludf.DUMMYFUNCTION("""COMPUTED_VALUE"""),10900.0)</f>
        <v>10900</v>
      </c>
      <c r="E1959" s="1">
        <f>IFERROR(__xludf.DUMMYFUNCTION("""COMPUTED_VALUE"""),11150.0)</f>
        <v>11150</v>
      </c>
      <c r="F1959" s="1">
        <f>IFERROR(__xludf.DUMMYFUNCTION("""COMPUTED_VALUE"""),67568.0)</f>
        <v>67568</v>
      </c>
    </row>
    <row r="1960">
      <c r="A1960" s="2">
        <f>IFERROR(__xludf.DUMMYFUNCTION("""COMPUTED_VALUE"""),43825.64583333333)</f>
        <v>43825.64583</v>
      </c>
      <c r="B1960" s="1">
        <f>IFERROR(__xludf.DUMMYFUNCTION("""COMPUTED_VALUE"""),11150.0)</f>
        <v>11150</v>
      </c>
      <c r="C1960" s="1">
        <f>IFERROR(__xludf.DUMMYFUNCTION("""COMPUTED_VALUE"""),11450.0)</f>
        <v>11450</v>
      </c>
      <c r="D1960" s="1">
        <f>IFERROR(__xludf.DUMMYFUNCTION("""COMPUTED_VALUE"""),11150.0)</f>
        <v>11150</v>
      </c>
      <c r="E1960" s="1">
        <f>IFERROR(__xludf.DUMMYFUNCTION("""COMPUTED_VALUE"""),11450.0)</f>
        <v>11450</v>
      </c>
      <c r="F1960" s="1">
        <f>IFERROR(__xludf.DUMMYFUNCTION("""COMPUTED_VALUE"""),60799.0)</f>
        <v>60799</v>
      </c>
    </row>
    <row r="1961">
      <c r="A1961" s="2">
        <f>IFERROR(__xludf.DUMMYFUNCTION("""COMPUTED_VALUE"""),43826.64583333333)</f>
        <v>43826.64583</v>
      </c>
      <c r="B1961" s="1">
        <f>IFERROR(__xludf.DUMMYFUNCTION("""COMPUTED_VALUE"""),11450.0)</f>
        <v>11450</v>
      </c>
      <c r="C1961" s="1">
        <f>IFERROR(__xludf.DUMMYFUNCTION("""COMPUTED_VALUE"""),11550.0)</f>
        <v>11550</v>
      </c>
      <c r="D1961" s="1">
        <f>IFERROR(__xludf.DUMMYFUNCTION("""COMPUTED_VALUE"""),11300.0)</f>
        <v>11300</v>
      </c>
      <c r="E1961" s="1">
        <f>IFERROR(__xludf.DUMMYFUNCTION("""COMPUTED_VALUE"""),11500.0)</f>
        <v>11500</v>
      </c>
      <c r="F1961" s="1">
        <f>IFERROR(__xludf.DUMMYFUNCTION("""COMPUTED_VALUE"""),50808.0)</f>
        <v>50808</v>
      </c>
    </row>
    <row r="1962">
      <c r="A1962" s="2">
        <f>IFERROR(__xludf.DUMMYFUNCTION("""COMPUTED_VALUE"""),43829.64583333333)</f>
        <v>43829.64583</v>
      </c>
      <c r="B1962" s="1">
        <f>IFERROR(__xludf.DUMMYFUNCTION("""COMPUTED_VALUE"""),11450.0)</f>
        <v>11450</v>
      </c>
      <c r="C1962" s="1">
        <f>IFERROR(__xludf.DUMMYFUNCTION("""COMPUTED_VALUE"""),11550.0)</f>
        <v>11550</v>
      </c>
      <c r="D1962" s="1">
        <f>IFERROR(__xludf.DUMMYFUNCTION("""COMPUTED_VALUE"""),11300.0)</f>
        <v>11300</v>
      </c>
      <c r="E1962" s="1">
        <f>IFERROR(__xludf.DUMMYFUNCTION("""COMPUTED_VALUE"""),11350.0)</f>
        <v>11350</v>
      </c>
      <c r="F1962" s="1">
        <f>IFERROR(__xludf.DUMMYFUNCTION("""COMPUTED_VALUE"""),61829.0)</f>
        <v>61829</v>
      </c>
    </row>
    <row r="1963">
      <c r="A1963" s="2">
        <f>IFERROR(__xludf.DUMMYFUNCTION("""COMPUTED_VALUE"""),43832.64583333333)</f>
        <v>43832.64583</v>
      </c>
      <c r="B1963" s="1">
        <f>IFERROR(__xludf.DUMMYFUNCTION("""COMPUTED_VALUE"""),11300.0)</f>
        <v>11300</v>
      </c>
      <c r="C1963" s="1">
        <f>IFERROR(__xludf.DUMMYFUNCTION("""COMPUTED_VALUE"""),11600.0)</f>
        <v>11600</v>
      </c>
      <c r="D1963" s="1">
        <f>IFERROR(__xludf.DUMMYFUNCTION("""COMPUTED_VALUE"""),11200.0)</f>
        <v>11200</v>
      </c>
      <c r="E1963" s="1">
        <f>IFERROR(__xludf.DUMMYFUNCTION("""COMPUTED_VALUE"""),11500.0)</f>
        <v>11500</v>
      </c>
      <c r="F1963" s="1">
        <f>IFERROR(__xludf.DUMMYFUNCTION("""COMPUTED_VALUE"""),59731.0)</f>
        <v>59731</v>
      </c>
    </row>
    <row r="1964">
      <c r="A1964" s="2">
        <f>IFERROR(__xludf.DUMMYFUNCTION("""COMPUTED_VALUE"""),43833.64583333333)</f>
        <v>43833.64583</v>
      </c>
      <c r="B1964" s="1">
        <f>IFERROR(__xludf.DUMMYFUNCTION("""COMPUTED_VALUE"""),11550.0)</f>
        <v>11550</v>
      </c>
      <c r="C1964" s="1">
        <f>IFERROR(__xludf.DUMMYFUNCTION("""COMPUTED_VALUE"""),11850.0)</f>
        <v>11850</v>
      </c>
      <c r="D1964" s="1">
        <f>IFERROR(__xludf.DUMMYFUNCTION("""COMPUTED_VALUE"""),11500.0)</f>
        <v>11500</v>
      </c>
      <c r="E1964" s="1">
        <f>IFERROR(__xludf.DUMMYFUNCTION("""COMPUTED_VALUE"""),11600.0)</f>
        <v>11600</v>
      </c>
      <c r="F1964" s="1">
        <f>IFERROR(__xludf.DUMMYFUNCTION("""COMPUTED_VALUE"""),78010.0)</f>
        <v>78010</v>
      </c>
    </row>
    <row r="1965">
      <c r="A1965" s="2">
        <f>IFERROR(__xludf.DUMMYFUNCTION("""COMPUTED_VALUE"""),43836.64583333333)</f>
        <v>43836.64583</v>
      </c>
      <c r="B1965" s="1">
        <f>IFERROR(__xludf.DUMMYFUNCTION("""COMPUTED_VALUE"""),11350.0)</f>
        <v>11350</v>
      </c>
      <c r="C1965" s="1">
        <f>IFERROR(__xludf.DUMMYFUNCTION("""COMPUTED_VALUE"""),11550.0)</f>
        <v>11550</v>
      </c>
      <c r="D1965" s="1">
        <f>IFERROR(__xludf.DUMMYFUNCTION("""COMPUTED_VALUE"""),11100.0)</f>
        <v>11100</v>
      </c>
      <c r="E1965" s="1">
        <f>IFERROR(__xludf.DUMMYFUNCTION("""COMPUTED_VALUE"""),11200.0)</f>
        <v>11200</v>
      </c>
      <c r="F1965" s="1">
        <f>IFERROR(__xludf.DUMMYFUNCTION("""COMPUTED_VALUE"""),88961.0)</f>
        <v>88961</v>
      </c>
    </row>
    <row r="1966">
      <c r="A1966" s="2">
        <f>IFERROR(__xludf.DUMMYFUNCTION("""COMPUTED_VALUE"""),43837.64583333333)</f>
        <v>43837.64583</v>
      </c>
      <c r="B1966" s="1">
        <f>IFERROR(__xludf.DUMMYFUNCTION("""COMPUTED_VALUE"""),11300.0)</f>
        <v>11300</v>
      </c>
      <c r="C1966" s="1">
        <f>IFERROR(__xludf.DUMMYFUNCTION("""COMPUTED_VALUE"""),11500.0)</f>
        <v>11500</v>
      </c>
      <c r="D1966" s="1">
        <f>IFERROR(__xludf.DUMMYFUNCTION("""COMPUTED_VALUE"""),11250.0)</f>
        <v>11250</v>
      </c>
      <c r="E1966" s="1">
        <f>IFERROR(__xludf.DUMMYFUNCTION("""COMPUTED_VALUE"""),11400.0)</f>
        <v>11400</v>
      </c>
      <c r="F1966" s="1">
        <f>IFERROR(__xludf.DUMMYFUNCTION("""COMPUTED_VALUE"""),62744.0)</f>
        <v>62744</v>
      </c>
    </row>
    <row r="1967">
      <c r="A1967" s="2">
        <f>IFERROR(__xludf.DUMMYFUNCTION("""COMPUTED_VALUE"""),43838.64583333333)</f>
        <v>43838.64583</v>
      </c>
      <c r="B1967" s="1">
        <f>IFERROR(__xludf.DUMMYFUNCTION("""COMPUTED_VALUE"""),11400.0)</f>
        <v>11400</v>
      </c>
      <c r="C1967" s="1">
        <f>IFERROR(__xludf.DUMMYFUNCTION("""COMPUTED_VALUE"""),11400.0)</f>
        <v>11400</v>
      </c>
      <c r="D1967" s="1">
        <f>IFERROR(__xludf.DUMMYFUNCTION("""COMPUTED_VALUE"""),10550.0)</f>
        <v>10550</v>
      </c>
      <c r="E1967" s="1">
        <f>IFERROR(__xludf.DUMMYFUNCTION("""COMPUTED_VALUE"""),10800.0)</f>
        <v>10800</v>
      </c>
      <c r="F1967" s="1">
        <f>IFERROR(__xludf.DUMMYFUNCTION("""COMPUTED_VALUE"""),183970.0)</f>
        <v>183970</v>
      </c>
    </row>
    <row r="1968">
      <c r="A1968" s="2">
        <f>IFERROR(__xludf.DUMMYFUNCTION("""COMPUTED_VALUE"""),43839.64583333333)</f>
        <v>43839.64583</v>
      </c>
      <c r="B1968" s="1">
        <f>IFERROR(__xludf.DUMMYFUNCTION("""COMPUTED_VALUE"""),11100.0)</f>
        <v>11100</v>
      </c>
      <c r="C1968" s="1">
        <f>IFERROR(__xludf.DUMMYFUNCTION("""COMPUTED_VALUE"""),11600.0)</f>
        <v>11600</v>
      </c>
      <c r="D1968" s="1">
        <f>IFERROR(__xludf.DUMMYFUNCTION("""COMPUTED_VALUE"""),11000.0)</f>
        <v>11000</v>
      </c>
      <c r="E1968" s="1">
        <f>IFERROR(__xludf.DUMMYFUNCTION("""COMPUTED_VALUE"""),11400.0)</f>
        <v>11400</v>
      </c>
      <c r="F1968" s="1">
        <f>IFERROR(__xludf.DUMMYFUNCTION("""COMPUTED_VALUE"""),135682.0)</f>
        <v>135682</v>
      </c>
    </row>
    <row r="1969">
      <c r="A1969" s="2">
        <f>IFERROR(__xludf.DUMMYFUNCTION("""COMPUTED_VALUE"""),43840.64583333333)</f>
        <v>43840.64583</v>
      </c>
      <c r="B1969" s="1">
        <f>IFERROR(__xludf.DUMMYFUNCTION("""COMPUTED_VALUE"""),11400.0)</f>
        <v>11400</v>
      </c>
      <c r="C1969" s="1">
        <f>IFERROR(__xludf.DUMMYFUNCTION("""COMPUTED_VALUE"""),11800.0)</f>
        <v>11800</v>
      </c>
      <c r="D1969" s="1">
        <f>IFERROR(__xludf.DUMMYFUNCTION("""COMPUTED_VALUE"""),11300.0)</f>
        <v>11300</v>
      </c>
      <c r="E1969" s="1">
        <f>IFERROR(__xludf.DUMMYFUNCTION("""COMPUTED_VALUE"""),11550.0)</f>
        <v>11550</v>
      </c>
      <c r="F1969" s="1">
        <f>IFERROR(__xludf.DUMMYFUNCTION("""COMPUTED_VALUE"""),102816.0)</f>
        <v>102816</v>
      </c>
    </row>
    <row r="1970">
      <c r="A1970" s="2">
        <f>IFERROR(__xludf.DUMMYFUNCTION("""COMPUTED_VALUE"""),43843.64583333333)</f>
        <v>43843.64583</v>
      </c>
      <c r="B1970" s="1">
        <f>IFERROR(__xludf.DUMMYFUNCTION("""COMPUTED_VALUE"""),11400.0)</f>
        <v>11400</v>
      </c>
      <c r="C1970" s="1">
        <f>IFERROR(__xludf.DUMMYFUNCTION("""COMPUTED_VALUE"""),11950.0)</f>
        <v>11950</v>
      </c>
      <c r="D1970" s="1">
        <f>IFERROR(__xludf.DUMMYFUNCTION("""COMPUTED_VALUE"""),11350.0)</f>
        <v>11350</v>
      </c>
      <c r="E1970" s="1">
        <f>IFERROR(__xludf.DUMMYFUNCTION("""COMPUTED_VALUE"""),11800.0)</f>
        <v>11800</v>
      </c>
      <c r="F1970" s="1">
        <f>IFERROR(__xludf.DUMMYFUNCTION("""COMPUTED_VALUE"""),141003.0)</f>
        <v>141003</v>
      </c>
    </row>
    <row r="1971">
      <c r="A1971" s="2">
        <f>IFERROR(__xludf.DUMMYFUNCTION("""COMPUTED_VALUE"""),43844.64583333333)</f>
        <v>43844.64583</v>
      </c>
      <c r="B1971" s="1">
        <f>IFERROR(__xludf.DUMMYFUNCTION("""COMPUTED_VALUE"""),11950.0)</f>
        <v>11950</v>
      </c>
      <c r="C1971" s="1">
        <f>IFERROR(__xludf.DUMMYFUNCTION("""COMPUTED_VALUE"""),11950.0)</f>
        <v>11950</v>
      </c>
      <c r="D1971" s="1">
        <f>IFERROR(__xludf.DUMMYFUNCTION("""COMPUTED_VALUE"""),11550.0)</f>
        <v>11550</v>
      </c>
      <c r="E1971" s="1">
        <f>IFERROR(__xludf.DUMMYFUNCTION("""COMPUTED_VALUE"""),11700.0)</f>
        <v>11700</v>
      </c>
      <c r="F1971" s="1">
        <f>IFERROR(__xludf.DUMMYFUNCTION("""COMPUTED_VALUE"""),70199.0)</f>
        <v>70199</v>
      </c>
    </row>
    <row r="1972">
      <c r="A1972" s="2">
        <f>IFERROR(__xludf.DUMMYFUNCTION("""COMPUTED_VALUE"""),43845.64583333333)</f>
        <v>43845.64583</v>
      </c>
      <c r="B1972" s="1">
        <f>IFERROR(__xludf.DUMMYFUNCTION("""COMPUTED_VALUE"""),11600.0)</f>
        <v>11600</v>
      </c>
      <c r="C1972" s="1">
        <f>IFERROR(__xludf.DUMMYFUNCTION("""COMPUTED_VALUE"""),12200.0)</f>
        <v>12200</v>
      </c>
      <c r="D1972" s="1">
        <f>IFERROR(__xludf.DUMMYFUNCTION("""COMPUTED_VALUE"""),11600.0)</f>
        <v>11600</v>
      </c>
      <c r="E1972" s="1">
        <f>IFERROR(__xludf.DUMMYFUNCTION("""COMPUTED_VALUE"""),12100.0)</f>
        <v>12100</v>
      </c>
      <c r="F1972" s="1">
        <f>IFERROR(__xludf.DUMMYFUNCTION("""COMPUTED_VALUE"""),116040.0)</f>
        <v>116040</v>
      </c>
    </row>
    <row r="1973">
      <c r="A1973" s="2">
        <f>IFERROR(__xludf.DUMMYFUNCTION("""COMPUTED_VALUE"""),43846.64583333333)</f>
        <v>43846.64583</v>
      </c>
      <c r="B1973" s="1">
        <f>IFERROR(__xludf.DUMMYFUNCTION("""COMPUTED_VALUE"""),12200.0)</f>
        <v>12200</v>
      </c>
      <c r="C1973" s="1">
        <f>IFERROR(__xludf.DUMMYFUNCTION("""COMPUTED_VALUE"""),12200.0)</f>
        <v>12200</v>
      </c>
      <c r="D1973" s="1">
        <f>IFERROR(__xludf.DUMMYFUNCTION("""COMPUTED_VALUE"""),11800.0)</f>
        <v>11800</v>
      </c>
      <c r="E1973" s="1">
        <f>IFERROR(__xludf.DUMMYFUNCTION("""COMPUTED_VALUE"""),11900.0)</f>
        <v>11900</v>
      </c>
      <c r="F1973" s="1">
        <f>IFERROR(__xludf.DUMMYFUNCTION("""COMPUTED_VALUE"""),69822.0)</f>
        <v>69822</v>
      </c>
    </row>
    <row r="1974">
      <c r="A1974" s="2">
        <f>IFERROR(__xludf.DUMMYFUNCTION("""COMPUTED_VALUE"""),43847.64583333333)</f>
        <v>43847.64583</v>
      </c>
      <c r="B1974" s="1">
        <f>IFERROR(__xludf.DUMMYFUNCTION("""COMPUTED_VALUE"""),11900.0)</f>
        <v>11900</v>
      </c>
      <c r="C1974" s="1">
        <f>IFERROR(__xludf.DUMMYFUNCTION("""COMPUTED_VALUE"""),12100.0)</f>
        <v>12100</v>
      </c>
      <c r="D1974" s="1">
        <f>IFERROR(__xludf.DUMMYFUNCTION("""COMPUTED_VALUE"""),11750.0)</f>
        <v>11750</v>
      </c>
      <c r="E1974" s="1">
        <f>IFERROR(__xludf.DUMMYFUNCTION("""COMPUTED_VALUE"""),11900.0)</f>
        <v>11900</v>
      </c>
      <c r="F1974" s="1">
        <f>IFERROR(__xludf.DUMMYFUNCTION("""COMPUTED_VALUE"""),73519.0)</f>
        <v>73519</v>
      </c>
    </row>
    <row r="1975">
      <c r="A1975" s="2">
        <f>IFERROR(__xludf.DUMMYFUNCTION("""COMPUTED_VALUE"""),43850.64583333333)</f>
        <v>43850.64583</v>
      </c>
      <c r="B1975" s="1">
        <f>IFERROR(__xludf.DUMMYFUNCTION("""COMPUTED_VALUE"""),12000.0)</f>
        <v>12000</v>
      </c>
      <c r="C1975" s="1">
        <f>IFERROR(__xludf.DUMMYFUNCTION("""COMPUTED_VALUE"""),12000.0)</f>
        <v>12000</v>
      </c>
      <c r="D1975" s="1">
        <f>IFERROR(__xludf.DUMMYFUNCTION("""COMPUTED_VALUE"""),11550.0)</f>
        <v>11550</v>
      </c>
      <c r="E1975" s="1">
        <f>IFERROR(__xludf.DUMMYFUNCTION("""COMPUTED_VALUE"""),11750.0)</f>
        <v>11750</v>
      </c>
      <c r="F1975" s="1">
        <f>IFERROR(__xludf.DUMMYFUNCTION("""COMPUTED_VALUE"""),90544.0)</f>
        <v>90544</v>
      </c>
    </row>
    <row r="1976">
      <c r="A1976" s="2">
        <f>IFERROR(__xludf.DUMMYFUNCTION("""COMPUTED_VALUE"""),43851.64583333333)</f>
        <v>43851.64583</v>
      </c>
      <c r="B1976" s="1">
        <f>IFERROR(__xludf.DUMMYFUNCTION("""COMPUTED_VALUE"""),11800.0)</f>
        <v>11800</v>
      </c>
      <c r="C1976" s="1">
        <f>IFERROR(__xludf.DUMMYFUNCTION("""COMPUTED_VALUE"""),11900.0)</f>
        <v>11900</v>
      </c>
      <c r="D1976" s="1">
        <f>IFERROR(__xludf.DUMMYFUNCTION("""COMPUTED_VALUE"""),11500.0)</f>
        <v>11500</v>
      </c>
      <c r="E1976" s="1">
        <f>IFERROR(__xludf.DUMMYFUNCTION("""COMPUTED_VALUE"""),11600.0)</f>
        <v>11600</v>
      </c>
      <c r="F1976" s="1">
        <f>IFERROR(__xludf.DUMMYFUNCTION("""COMPUTED_VALUE"""),103576.0)</f>
        <v>103576</v>
      </c>
    </row>
    <row r="1977">
      <c r="A1977" s="2">
        <f>IFERROR(__xludf.DUMMYFUNCTION("""COMPUTED_VALUE"""),43852.64583333333)</f>
        <v>43852.64583</v>
      </c>
      <c r="B1977" s="1">
        <f>IFERROR(__xludf.DUMMYFUNCTION("""COMPUTED_VALUE"""),11600.0)</f>
        <v>11600</v>
      </c>
      <c r="C1977" s="1">
        <f>IFERROR(__xludf.DUMMYFUNCTION("""COMPUTED_VALUE"""),11750.0)</f>
        <v>11750</v>
      </c>
      <c r="D1977" s="1">
        <f>IFERROR(__xludf.DUMMYFUNCTION("""COMPUTED_VALUE"""),11500.0)</f>
        <v>11500</v>
      </c>
      <c r="E1977" s="1">
        <f>IFERROR(__xludf.DUMMYFUNCTION("""COMPUTED_VALUE"""),11700.0)</f>
        <v>11700</v>
      </c>
      <c r="F1977" s="1">
        <f>IFERROR(__xludf.DUMMYFUNCTION("""COMPUTED_VALUE"""),41317.0)</f>
        <v>41317</v>
      </c>
    </row>
    <row r="1978">
      <c r="A1978" s="2">
        <f>IFERROR(__xludf.DUMMYFUNCTION("""COMPUTED_VALUE"""),43853.64583333333)</f>
        <v>43853.64583</v>
      </c>
      <c r="B1978" s="1">
        <f>IFERROR(__xludf.DUMMYFUNCTION("""COMPUTED_VALUE"""),11600.0)</f>
        <v>11600</v>
      </c>
      <c r="C1978" s="1">
        <f>IFERROR(__xludf.DUMMYFUNCTION("""COMPUTED_VALUE"""),11700.0)</f>
        <v>11700</v>
      </c>
      <c r="D1978" s="1">
        <f>IFERROR(__xludf.DUMMYFUNCTION("""COMPUTED_VALUE"""),11350.0)</f>
        <v>11350</v>
      </c>
      <c r="E1978" s="1">
        <f>IFERROR(__xludf.DUMMYFUNCTION("""COMPUTED_VALUE"""),11450.0)</f>
        <v>11450</v>
      </c>
      <c r="F1978" s="1">
        <f>IFERROR(__xludf.DUMMYFUNCTION("""COMPUTED_VALUE"""),53017.0)</f>
        <v>53017</v>
      </c>
    </row>
    <row r="1979">
      <c r="A1979" s="2">
        <f>IFERROR(__xludf.DUMMYFUNCTION("""COMPUTED_VALUE"""),43858.64583333333)</f>
        <v>43858.64583</v>
      </c>
      <c r="B1979" s="1">
        <f>IFERROR(__xludf.DUMMYFUNCTION("""COMPUTED_VALUE"""),10900.0)</f>
        <v>10900</v>
      </c>
      <c r="C1979" s="1">
        <f>IFERROR(__xludf.DUMMYFUNCTION("""COMPUTED_VALUE"""),11200.0)</f>
        <v>11200</v>
      </c>
      <c r="D1979" s="1">
        <f>IFERROR(__xludf.DUMMYFUNCTION("""COMPUTED_VALUE"""),10750.0)</f>
        <v>10750</v>
      </c>
      <c r="E1979" s="1">
        <f>IFERROR(__xludf.DUMMYFUNCTION("""COMPUTED_VALUE"""),10950.0)</f>
        <v>10950</v>
      </c>
      <c r="F1979" s="1">
        <f>IFERROR(__xludf.DUMMYFUNCTION("""COMPUTED_VALUE"""),90242.0)</f>
        <v>90242</v>
      </c>
    </row>
    <row r="1980">
      <c r="A1980" s="2">
        <f>IFERROR(__xludf.DUMMYFUNCTION("""COMPUTED_VALUE"""),43859.64583333333)</f>
        <v>43859.64583</v>
      </c>
      <c r="B1980" s="1">
        <f>IFERROR(__xludf.DUMMYFUNCTION("""COMPUTED_VALUE"""),11050.0)</f>
        <v>11050</v>
      </c>
      <c r="C1980" s="1">
        <f>IFERROR(__xludf.DUMMYFUNCTION("""COMPUTED_VALUE"""),11200.0)</f>
        <v>11200</v>
      </c>
      <c r="D1980" s="1">
        <f>IFERROR(__xludf.DUMMYFUNCTION("""COMPUTED_VALUE"""),10850.0)</f>
        <v>10850</v>
      </c>
      <c r="E1980" s="1">
        <f>IFERROR(__xludf.DUMMYFUNCTION("""COMPUTED_VALUE"""),11050.0)</f>
        <v>11050</v>
      </c>
      <c r="F1980" s="1">
        <f>IFERROR(__xludf.DUMMYFUNCTION("""COMPUTED_VALUE"""),51048.0)</f>
        <v>51048</v>
      </c>
    </row>
    <row r="1981">
      <c r="A1981" s="2">
        <f>IFERROR(__xludf.DUMMYFUNCTION("""COMPUTED_VALUE"""),43860.64583333333)</f>
        <v>43860.64583</v>
      </c>
      <c r="B1981" s="1">
        <f>IFERROR(__xludf.DUMMYFUNCTION("""COMPUTED_VALUE"""),11050.0)</f>
        <v>11050</v>
      </c>
      <c r="C1981" s="1">
        <f>IFERROR(__xludf.DUMMYFUNCTION("""COMPUTED_VALUE"""),11200.0)</f>
        <v>11200</v>
      </c>
      <c r="D1981" s="1">
        <f>IFERROR(__xludf.DUMMYFUNCTION("""COMPUTED_VALUE"""),10550.0)</f>
        <v>10550</v>
      </c>
      <c r="E1981" s="1">
        <f>IFERROR(__xludf.DUMMYFUNCTION("""COMPUTED_VALUE"""),10650.0)</f>
        <v>10650</v>
      </c>
      <c r="F1981" s="1">
        <f>IFERROR(__xludf.DUMMYFUNCTION("""COMPUTED_VALUE"""),62945.0)</f>
        <v>62945</v>
      </c>
    </row>
    <row r="1982">
      <c r="A1982" s="2">
        <f>IFERROR(__xludf.DUMMYFUNCTION("""COMPUTED_VALUE"""),43861.64583333333)</f>
        <v>43861.64583</v>
      </c>
      <c r="B1982" s="1">
        <f>IFERROR(__xludf.DUMMYFUNCTION("""COMPUTED_VALUE"""),10500.0)</f>
        <v>10500</v>
      </c>
      <c r="C1982" s="1">
        <f>IFERROR(__xludf.DUMMYFUNCTION("""COMPUTED_VALUE"""),10850.0)</f>
        <v>10850</v>
      </c>
      <c r="D1982" s="1">
        <f>IFERROR(__xludf.DUMMYFUNCTION("""COMPUTED_VALUE"""),10050.0)</f>
        <v>10050</v>
      </c>
      <c r="E1982" s="1">
        <f>IFERROR(__xludf.DUMMYFUNCTION("""COMPUTED_VALUE"""),10300.0)</f>
        <v>10300</v>
      </c>
      <c r="F1982" s="1">
        <f>IFERROR(__xludf.DUMMYFUNCTION("""COMPUTED_VALUE"""),90500.0)</f>
        <v>90500</v>
      </c>
    </row>
    <row r="1983">
      <c r="A1983" s="2">
        <f>IFERROR(__xludf.DUMMYFUNCTION("""COMPUTED_VALUE"""),43864.64583333333)</f>
        <v>43864.64583</v>
      </c>
      <c r="B1983" s="1">
        <f>IFERROR(__xludf.DUMMYFUNCTION("""COMPUTED_VALUE"""),10000.0)</f>
        <v>10000</v>
      </c>
      <c r="C1983" s="1">
        <f>IFERROR(__xludf.DUMMYFUNCTION("""COMPUTED_VALUE"""),10550.0)</f>
        <v>10550</v>
      </c>
      <c r="D1983" s="1">
        <f>IFERROR(__xludf.DUMMYFUNCTION("""COMPUTED_VALUE"""),9740.0)</f>
        <v>9740</v>
      </c>
      <c r="E1983" s="1">
        <f>IFERROR(__xludf.DUMMYFUNCTION("""COMPUTED_VALUE"""),10200.0)</f>
        <v>10200</v>
      </c>
      <c r="F1983" s="1">
        <f>IFERROR(__xludf.DUMMYFUNCTION("""COMPUTED_VALUE"""),101612.0)</f>
        <v>101612</v>
      </c>
    </row>
    <row r="1984">
      <c r="A1984" s="2">
        <f>IFERROR(__xludf.DUMMYFUNCTION("""COMPUTED_VALUE"""),43865.64583333333)</f>
        <v>43865.64583</v>
      </c>
      <c r="B1984" s="1">
        <f>IFERROR(__xludf.DUMMYFUNCTION("""COMPUTED_VALUE"""),10150.0)</f>
        <v>10150</v>
      </c>
      <c r="C1984" s="1">
        <f>IFERROR(__xludf.DUMMYFUNCTION("""COMPUTED_VALUE"""),10700.0)</f>
        <v>10700</v>
      </c>
      <c r="D1984" s="1">
        <f>IFERROR(__xludf.DUMMYFUNCTION("""COMPUTED_VALUE"""),10150.0)</f>
        <v>10150</v>
      </c>
      <c r="E1984" s="1">
        <f>IFERROR(__xludf.DUMMYFUNCTION("""COMPUTED_VALUE"""),10600.0)</f>
        <v>10600</v>
      </c>
      <c r="F1984" s="1">
        <f>IFERROR(__xludf.DUMMYFUNCTION("""COMPUTED_VALUE"""),61015.0)</f>
        <v>61015</v>
      </c>
    </row>
    <row r="1985">
      <c r="A1985" s="2">
        <f>IFERROR(__xludf.DUMMYFUNCTION("""COMPUTED_VALUE"""),43866.64583333333)</f>
        <v>43866.64583</v>
      </c>
      <c r="B1985" s="1">
        <f>IFERROR(__xludf.DUMMYFUNCTION("""COMPUTED_VALUE"""),10700.0)</f>
        <v>10700</v>
      </c>
      <c r="C1985" s="1">
        <f>IFERROR(__xludf.DUMMYFUNCTION("""COMPUTED_VALUE"""),10850.0)</f>
        <v>10850</v>
      </c>
      <c r="D1985" s="1">
        <f>IFERROR(__xludf.DUMMYFUNCTION("""COMPUTED_VALUE"""),10450.0)</f>
        <v>10450</v>
      </c>
      <c r="E1985" s="1">
        <f>IFERROR(__xludf.DUMMYFUNCTION("""COMPUTED_VALUE"""),10600.0)</f>
        <v>10600</v>
      </c>
      <c r="F1985" s="1">
        <f>IFERROR(__xludf.DUMMYFUNCTION("""COMPUTED_VALUE"""),61491.0)</f>
        <v>61491</v>
      </c>
    </row>
    <row r="1986">
      <c r="A1986" s="2">
        <f>IFERROR(__xludf.DUMMYFUNCTION("""COMPUTED_VALUE"""),43867.64583333333)</f>
        <v>43867.64583</v>
      </c>
      <c r="B1986" s="1">
        <f>IFERROR(__xludf.DUMMYFUNCTION("""COMPUTED_VALUE"""),10700.0)</f>
        <v>10700</v>
      </c>
      <c r="C1986" s="1">
        <f>IFERROR(__xludf.DUMMYFUNCTION("""COMPUTED_VALUE"""),10950.0)</f>
        <v>10950</v>
      </c>
      <c r="D1986" s="1">
        <f>IFERROR(__xludf.DUMMYFUNCTION("""COMPUTED_VALUE"""),10700.0)</f>
        <v>10700</v>
      </c>
      <c r="E1986" s="1">
        <f>IFERROR(__xludf.DUMMYFUNCTION("""COMPUTED_VALUE"""),10950.0)</f>
        <v>10950</v>
      </c>
      <c r="F1986" s="1">
        <f>IFERROR(__xludf.DUMMYFUNCTION("""COMPUTED_VALUE"""),42104.0)</f>
        <v>42104</v>
      </c>
    </row>
    <row r="1987">
      <c r="A1987" s="2">
        <f>IFERROR(__xludf.DUMMYFUNCTION("""COMPUTED_VALUE"""),43868.64583333333)</f>
        <v>43868.64583</v>
      </c>
      <c r="B1987" s="1">
        <f>IFERROR(__xludf.DUMMYFUNCTION("""COMPUTED_VALUE"""),10950.0)</f>
        <v>10950</v>
      </c>
      <c r="C1987" s="1">
        <f>IFERROR(__xludf.DUMMYFUNCTION("""COMPUTED_VALUE"""),11050.0)</f>
        <v>11050</v>
      </c>
      <c r="D1987" s="1">
        <f>IFERROR(__xludf.DUMMYFUNCTION("""COMPUTED_VALUE"""),10750.0)</f>
        <v>10750</v>
      </c>
      <c r="E1987" s="1">
        <f>IFERROR(__xludf.DUMMYFUNCTION("""COMPUTED_VALUE"""),11050.0)</f>
        <v>11050</v>
      </c>
      <c r="F1987" s="1">
        <f>IFERROR(__xludf.DUMMYFUNCTION("""COMPUTED_VALUE"""),40503.0)</f>
        <v>40503</v>
      </c>
    </row>
    <row r="1988">
      <c r="A1988" s="2">
        <f>IFERROR(__xludf.DUMMYFUNCTION("""COMPUTED_VALUE"""),43871.64583333333)</f>
        <v>43871.64583</v>
      </c>
      <c r="B1988" s="1">
        <f>IFERROR(__xludf.DUMMYFUNCTION("""COMPUTED_VALUE"""),11150.0)</f>
        <v>11150</v>
      </c>
      <c r="C1988" s="1">
        <f>IFERROR(__xludf.DUMMYFUNCTION("""COMPUTED_VALUE"""),11350.0)</f>
        <v>11350</v>
      </c>
      <c r="D1988" s="1">
        <f>IFERROR(__xludf.DUMMYFUNCTION("""COMPUTED_VALUE"""),10950.0)</f>
        <v>10950</v>
      </c>
      <c r="E1988" s="1">
        <f>IFERROR(__xludf.DUMMYFUNCTION("""COMPUTED_VALUE"""),11300.0)</f>
        <v>11300</v>
      </c>
      <c r="F1988" s="1">
        <f>IFERROR(__xludf.DUMMYFUNCTION("""COMPUTED_VALUE"""),56030.0)</f>
        <v>56030</v>
      </c>
    </row>
    <row r="1989">
      <c r="A1989" s="2">
        <f>IFERROR(__xludf.DUMMYFUNCTION("""COMPUTED_VALUE"""),43872.64583333333)</f>
        <v>43872.64583</v>
      </c>
      <c r="B1989" s="1">
        <f>IFERROR(__xludf.DUMMYFUNCTION("""COMPUTED_VALUE"""),11100.0)</f>
        <v>11100</v>
      </c>
      <c r="C1989" s="1">
        <f>IFERROR(__xludf.DUMMYFUNCTION("""COMPUTED_VALUE"""),11150.0)</f>
        <v>11150</v>
      </c>
      <c r="D1989" s="1">
        <f>IFERROR(__xludf.DUMMYFUNCTION("""COMPUTED_VALUE"""),10750.0)</f>
        <v>10750</v>
      </c>
      <c r="E1989" s="1">
        <f>IFERROR(__xludf.DUMMYFUNCTION("""COMPUTED_VALUE"""),11000.0)</f>
        <v>11000</v>
      </c>
      <c r="F1989" s="1">
        <f>IFERROR(__xludf.DUMMYFUNCTION("""COMPUTED_VALUE"""),75196.0)</f>
        <v>75196</v>
      </c>
    </row>
    <row r="1990">
      <c r="A1990" s="2">
        <f>IFERROR(__xludf.DUMMYFUNCTION("""COMPUTED_VALUE"""),43873.64583333333)</f>
        <v>43873.64583</v>
      </c>
      <c r="B1990" s="1">
        <f>IFERROR(__xludf.DUMMYFUNCTION("""COMPUTED_VALUE"""),11000.0)</f>
        <v>11000</v>
      </c>
      <c r="C1990" s="1">
        <f>IFERROR(__xludf.DUMMYFUNCTION("""COMPUTED_VALUE"""),11050.0)</f>
        <v>11050</v>
      </c>
      <c r="D1990" s="1">
        <f>IFERROR(__xludf.DUMMYFUNCTION("""COMPUTED_VALUE"""),10800.0)</f>
        <v>10800</v>
      </c>
      <c r="E1990" s="1">
        <f>IFERROR(__xludf.DUMMYFUNCTION("""COMPUTED_VALUE"""),10950.0)</f>
        <v>10950</v>
      </c>
      <c r="F1990" s="1">
        <f>IFERROR(__xludf.DUMMYFUNCTION("""COMPUTED_VALUE"""),48824.0)</f>
        <v>48824</v>
      </c>
    </row>
    <row r="1991">
      <c r="A1991" s="2">
        <f>IFERROR(__xludf.DUMMYFUNCTION("""COMPUTED_VALUE"""),43874.64583333333)</f>
        <v>43874.64583</v>
      </c>
      <c r="B1991" s="1">
        <f>IFERROR(__xludf.DUMMYFUNCTION("""COMPUTED_VALUE"""),10950.0)</f>
        <v>10950</v>
      </c>
      <c r="C1991" s="1">
        <f>IFERROR(__xludf.DUMMYFUNCTION("""COMPUTED_VALUE"""),11200.0)</f>
        <v>11200</v>
      </c>
      <c r="D1991" s="1">
        <f>IFERROR(__xludf.DUMMYFUNCTION("""COMPUTED_VALUE"""),10850.0)</f>
        <v>10850</v>
      </c>
      <c r="E1991" s="1">
        <f>IFERROR(__xludf.DUMMYFUNCTION("""COMPUTED_VALUE"""),10950.0)</f>
        <v>10950</v>
      </c>
      <c r="F1991" s="1">
        <f>IFERROR(__xludf.DUMMYFUNCTION("""COMPUTED_VALUE"""),46689.0)</f>
        <v>46689</v>
      </c>
    </row>
    <row r="1992">
      <c r="A1992" s="2">
        <f>IFERROR(__xludf.DUMMYFUNCTION("""COMPUTED_VALUE"""),43875.64583333333)</f>
        <v>43875.64583</v>
      </c>
      <c r="B1992" s="1">
        <f>IFERROR(__xludf.DUMMYFUNCTION("""COMPUTED_VALUE"""),10900.0)</f>
        <v>10900</v>
      </c>
      <c r="C1992" s="1">
        <f>IFERROR(__xludf.DUMMYFUNCTION("""COMPUTED_VALUE"""),11150.0)</f>
        <v>11150</v>
      </c>
      <c r="D1992" s="1">
        <f>IFERROR(__xludf.DUMMYFUNCTION("""COMPUTED_VALUE"""),10900.0)</f>
        <v>10900</v>
      </c>
      <c r="E1992" s="1">
        <f>IFERROR(__xludf.DUMMYFUNCTION("""COMPUTED_VALUE"""),11050.0)</f>
        <v>11050</v>
      </c>
      <c r="F1992" s="1">
        <f>IFERROR(__xludf.DUMMYFUNCTION("""COMPUTED_VALUE"""),20155.0)</f>
        <v>20155</v>
      </c>
    </row>
    <row r="1993">
      <c r="A1993" s="2">
        <f>IFERROR(__xludf.DUMMYFUNCTION("""COMPUTED_VALUE"""),43878.64583333333)</f>
        <v>43878.64583</v>
      </c>
      <c r="B1993" s="1">
        <f>IFERROR(__xludf.DUMMYFUNCTION("""COMPUTED_VALUE"""),10800.0)</f>
        <v>10800</v>
      </c>
      <c r="C1993" s="1">
        <f>IFERROR(__xludf.DUMMYFUNCTION("""COMPUTED_VALUE"""),11000.0)</f>
        <v>11000</v>
      </c>
      <c r="D1993" s="1">
        <f>IFERROR(__xludf.DUMMYFUNCTION("""COMPUTED_VALUE"""),10750.0)</f>
        <v>10750</v>
      </c>
      <c r="E1993" s="1">
        <f>IFERROR(__xludf.DUMMYFUNCTION("""COMPUTED_VALUE"""),10800.0)</f>
        <v>10800</v>
      </c>
      <c r="F1993" s="1">
        <f>IFERROR(__xludf.DUMMYFUNCTION("""COMPUTED_VALUE"""),65639.0)</f>
        <v>65639</v>
      </c>
    </row>
    <row r="1994">
      <c r="A1994" s="2">
        <f>IFERROR(__xludf.DUMMYFUNCTION("""COMPUTED_VALUE"""),43879.64583333333)</f>
        <v>43879.64583</v>
      </c>
      <c r="B1994" s="1">
        <f>IFERROR(__xludf.DUMMYFUNCTION("""COMPUTED_VALUE"""),10850.0)</f>
        <v>10850</v>
      </c>
      <c r="C1994" s="1">
        <f>IFERROR(__xludf.DUMMYFUNCTION("""COMPUTED_VALUE"""),10900.0)</f>
        <v>10900</v>
      </c>
      <c r="D1994" s="1">
        <f>IFERROR(__xludf.DUMMYFUNCTION("""COMPUTED_VALUE"""),10600.0)</f>
        <v>10600</v>
      </c>
      <c r="E1994" s="1">
        <f>IFERROR(__xludf.DUMMYFUNCTION("""COMPUTED_VALUE"""),10600.0)</f>
        <v>10600</v>
      </c>
      <c r="F1994" s="1">
        <f>IFERROR(__xludf.DUMMYFUNCTION("""COMPUTED_VALUE"""),40589.0)</f>
        <v>40589</v>
      </c>
    </row>
    <row r="1995">
      <c r="A1995" s="2">
        <f>IFERROR(__xludf.DUMMYFUNCTION("""COMPUTED_VALUE"""),43880.64583333333)</f>
        <v>43880.64583</v>
      </c>
      <c r="B1995" s="1">
        <f>IFERROR(__xludf.DUMMYFUNCTION("""COMPUTED_VALUE"""),10600.0)</f>
        <v>10600</v>
      </c>
      <c r="C1995" s="1">
        <f>IFERROR(__xludf.DUMMYFUNCTION("""COMPUTED_VALUE"""),10800.0)</f>
        <v>10800</v>
      </c>
      <c r="D1995" s="1">
        <f>IFERROR(__xludf.DUMMYFUNCTION("""COMPUTED_VALUE"""),10350.0)</f>
        <v>10350</v>
      </c>
      <c r="E1995" s="1">
        <f>IFERROR(__xludf.DUMMYFUNCTION("""COMPUTED_VALUE"""),10650.0)</f>
        <v>10650</v>
      </c>
      <c r="F1995" s="1">
        <f>IFERROR(__xludf.DUMMYFUNCTION("""COMPUTED_VALUE"""),77623.0)</f>
        <v>77623</v>
      </c>
    </row>
    <row r="1996">
      <c r="A1996" s="2">
        <f>IFERROR(__xludf.DUMMYFUNCTION("""COMPUTED_VALUE"""),43881.64583333333)</f>
        <v>43881.64583</v>
      </c>
      <c r="B1996" s="1">
        <f>IFERROR(__xludf.DUMMYFUNCTION("""COMPUTED_VALUE"""),10600.0)</f>
        <v>10600</v>
      </c>
      <c r="C1996" s="1">
        <f>IFERROR(__xludf.DUMMYFUNCTION("""COMPUTED_VALUE"""),10750.0)</f>
        <v>10750</v>
      </c>
      <c r="D1996" s="1">
        <f>IFERROR(__xludf.DUMMYFUNCTION("""COMPUTED_VALUE"""),10250.0)</f>
        <v>10250</v>
      </c>
      <c r="E1996" s="1">
        <f>IFERROR(__xludf.DUMMYFUNCTION("""COMPUTED_VALUE"""),10350.0)</f>
        <v>10350</v>
      </c>
      <c r="F1996" s="1">
        <f>IFERROR(__xludf.DUMMYFUNCTION("""COMPUTED_VALUE"""),78675.0)</f>
        <v>78675</v>
      </c>
    </row>
    <row r="1997">
      <c r="A1997" s="2">
        <f>IFERROR(__xludf.DUMMYFUNCTION("""COMPUTED_VALUE"""),43882.64583333333)</f>
        <v>43882.64583</v>
      </c>
      <c r="B1997" s="1">
        <f>IFERROR(__xludf.DUMMYFUNCTION("""COMPUTED_VALUE"""),10100.0)</f>
        <v>10100</v>
      </c>
      <c r="C1997" s="1">
        <f>IFERROR(__xludf.DUMMYFUNCTION("""COMPUTED_VALUE"""),10400.0)</f>
        <v>10400</v>
      </c>
      <c r="D1997" s="1">
        <f>IFERROR(__xludf.DUMMYFUNCTION("""COMPUTED_VALUE"""),10100.0)</f>
        <v>10100</v>
      </c>
      <c r="E1997" s="1">
        <f>IFERROR(__xludf.DUMMYFUNCTION("""COMPUTED_VALUE"""),10150.0)</f>
        <v>10150</v>
      </c>
      <c r="F1997" s="1">
        <f>IFERROR(__xludf.DUMMYFUNCTION("""COMPUTED_VALUE"""),61857.0)</f>
        <v>61857</v>
      </c>
    </row>
    <row r="1998">
      <c r="A1998" s="2">
        <f>IFERROR(__xludf.DUMMYFUNCTION("""COMPUTED_VALUE"""),43885.64583333333)</f>
        <v>43885.64583</v>
      </c>
      <c r="B1998" s="1">
        <f>IFERROR(__xludf.DUMMYFUNCTION("""COMPUTED_VALUE"""),9920.0)</f>
        <v>9920</v>
      </c>
      <c r="C1998" s="1">
        <f>IFERROR(__xludf.DUMMYFUNCTION("""COMPUTED_VALUE"""),9950.0)</f>
        <v>9950</v>
      </c>
      <c r="D1998" s="1">
        <f>IFERROR(__xludf.DUMMYFUNCTION("""COMPUTED_VALUE"""),9600.0)</f>
        <v>9600</v>
      </c>
      <c r="E1998" s="1">
        <f>IFERROR(__xludf.DUMMYFUNCTION("""COMPUTED_VALUE"""),9600.0)</f>
        <v>9600</v>
      </c>
      <c r="F1998" s="1">
        <f>IFERROR(__xludf.DUMMYFUNCTION("""COMPUTED_VALUE"""),164821.0)</f>
        <v>164821</v>
      </c>
    </row>
    <row r="1999">
      <c r="A1999" s="2">
        <f>IFERROR(__xludf.DUMMYFUNCTION("""COMPUTED_VALUE"""),43886.64583333333)</f>
        <v>43886.64583</v>
      </c>
      <c r="B1999" s="1">
        <f>IFERROR(__xludf.DUMMYFUNCTION("""COMPUTED_VALUE"""),9350.0)</f>
        <v>9350</v>
      </c>
      <c r="C1999" s="1">
        <f>IFERROR(__xludf.DUMMYFUNCTION("""COMPUTED_VALUE"""),9870.0)</f>
        <v>9870</v>
      </c>
      <c r="D1999" s="1">
        <f>IFERROR(__xludf.DUMMYFUNCTION("""COMPUTED_VALUE"""),9350.0)</f>
        <v>9350</v>
      </c>
      <c r="E1999" s="1">
        <f>IFERROR(__xludf.DUMMYFUNCTION("""COMPUTED_VALUE"""),9870.0)</f>
        <v>9870</v>
      </c>
      <c r="F1999" s="1">
        <f>IFERROR(__xludf.DUMMYFUNCTION("""COMPUTED_VALUE"""),104679.0)</f>
        <v>104679</v>
      </c>
    </row>
    <row r="2000">
      <c r="A2000" s="2">
        <f>IFERROR(__xludf.DUMMYFUNCTION("""COMPUTED_VALUE"""),43887.64583333333)</f>
        <v>43887.64583</v>
      </c>
      <c r="B2000" s="1">
        <f>IFERROR(__xludf.DUMMYFUNCTION("""COMPUTED_VALUE"""),9750.0)</f>
        <v>9750</v>
      </c>
      <c r="C2000" s="1">
        <f>IFERROR(__xludf.DUMMYFUNCTION("""COMPUTED_VALUE"""),9960.0)</f>
        <v>9960</v>
      </c>
      <c r="D2000" s="1">
        <f>IFERROR(__xludf.DUMMYFUNCTION("""COMPUTED_VALUE"""),9620.0)</f>
        <v>9620</v>
      </c>
      <c r="E2000" s="1">
        <f>IFERROR(__xludf.DUMMYFUNCTION("""COMPUTED_VALUE"""),9880.0)</f>
        <v>9880</v>
      </c>
      <c r="F2000" s="1">
        <f>IFERROR(__xludf.DUMMYFUNCTION("""COMPUTED_VALUE"""),73417.0)</f>
        <v>73417</v>
      </c>
    </row>
    <row r="2001">
      <c r="A2001" s="2">
        <f>IFERROR(__xludf.DUMMYFUNCTION("""COMPUTED_VALUE"""),43888.64583333333)</f>
        <v>43888.64583</v>
      </c>
      <c r="B2001" s="1">
        <f>IFERROR(__xludf.DUMMYFUNCTION("""COMPUTED_VALUE"""),9880.0)</f>
        <v>9880</v>
      </c>
      <c r="C2001" s="1">
        <f>IFERROR(__xludf.DUMMYFUNCTION("""COMPUTED_VALUE"""),9950.0)</f>
        <v>9950</v>
      </c>
      <c r="D2001" s="1">
        <f>IFERROR(__xludf.DUMMYFUNCTION("""COMPUTED_VALUE"""),9530.0)</f>
        <v>9530</v>
      </c>
      <c r="E2001" s="1">
        <f>IFERROR(__xludf.DUMMYFUNCTION("""COMPUTED_VALUE"""),9540.0)</f>
        <v>9540</v>
      </c>
      <c r="F2001" s="1">
        <f>IFERROR(__xludf.DUMMYFUNCTION("""COMPUTED_VALUE"""),74856.0)</f>
        <v>74856</v>
      </c>
    </row>
    <row r="2002">
      <c r="A2002" s="2">
        <f>IFERROR(__xludf.DUMMYFUNCTION("""COMPUTED_VALUE"""),43889.64583333333)</f>
        <v>43889.64583</v>
      </c>
      <c r="B2002" s="1">
        <f>IFERROR(__xludf.DUMMYFUNCTION("""COMPUTED_VALUE"""),9290.0)</f>
        <v>9290</v>
      </c>
      <c r="C2002" s="1">
        <f>IFERROR(__xludf.DUMMYFUNCTION("""COMPUTED_VALUE"""),9350.0)</f>
        <v>9350</v>
      </c>
      <c r="D2002" s="1">
        <f>IFERROR(__xludf.DUMMYFUNCTION("""COMPUTED_VALUE"""),9000.0)</f>
        <v>9000</v>
      </c>
      <c r="E2002" s="1">
        <f>IFERROR(__xludf.DUMMYFUNCTION("""COMPUTED_VALUE"""),9010.0)</f>
        <v>9010</v>
      </c>
      <c r="F2002" s="1">
        <f>IFERROR(__xludf.DUMMYFUNCTION("""COMPUTED_VALUE"""),108680.0)</f>
        <v>108680</v>
      </c>
    </row>
    <row r="2003">
      <c r="A2003" s="2">
        <f>IFERROR(__xludf.DUMMYFUNCTION("""COMPUTED_VALUE"""),43892.64583333333)</f>
        <v>43892.64583</v>
      </c>
      <c r="B2003" s="1">
        <f>IFERROR(__xludf.DUMMYFUNCTION("""COMPUTED_VALUE"""),8950.0)</f>
        <v>8950</v>
      </c>
      <c r="C2003" s="1">
        <f>IFERROR(__xludf.DUMMYFUNCTION("""COMPUTED_VALUE"""),9210.0)</f>
        <v>9210</v>
      </c>
      <c r="D2003" s="1">
        <f>IFERROR(__xludf.DUMMYFUNCTION("""COMPUTED_VALUE"""),8920.0)</f>
        <v>8920</v>
      </c>
      <c r="E2003" s="1">
        <f>IFERROR(__xludf.DUMMYFUNCTION("""COMPUTED_VALUE"""),9170.0)</f>
        <v>9170</v>
      </c>
      <c r="F2003" s="1">
        <f>IFERROR(__xludf.DUMMYFUNCTION("""COMPUTED_VALUE"""),75205.0)</f>
        <v>75205</v>
      </c>
    </row>
    <row r="2004">
      <c r="A2004" s="2">
        <f>IFERROR(__xludf.DUMMYFUNCTION("""COMPUTED_VALUE"""),43893.64583333333)</f>
        <v>43893.64583</v>
      </c>
      <c r="B2004" s="1">
        <f>IFERROR(__xludf.DUMMYFUNCTION("""COMPUTED_VALUE"""),9250.0)</f>
        <v>9250</v>
      </c>
      <c r="C2004" s="1">
        <f>IFERROR(__xludf.DUMMYFUNCTION("""COMPUTED_VALUE"""),9720.0)</f>
        <v>9720</v>
      </c>
      <c r="D2004" s="1">
        <f>IFERROR(__xludf.DUMMYFUNCTION("""COMPUTED_VALUE"""),9250.0)</f>
        <v>9250</v>
      </c>
      <c r="E2004" s="1">
        <f>IFERROR(__xludf.DUMMYFUNCTION("""COMPUTED_VALUE"""),9490.0)</f>
        <v>9490</v>
      </c>
      <c r="F2004" s="1">
        <f>IFERROR(__xludf.DUMMYFUNCTION("""COMPUTED_VALUE"""),62821.0)</f>
        <v>62821</v>
      </c>
    </row>
    <row r="2005">
      <c r="A2005" s="2">
        <f>IFERROR(__xludf.DUMMYFUNCTION("""COMPUTED_VALUE"""),43894.64583333333)</f>
        <v>43894.64583</v>
      </c>
      <c r="B2005" s="1">
        <f>IFERROR(__xludf.DUMMYFUNCTION("""COMPUTED_VALUE"""),9310.0)</f>
        <v>9310</v>
      </c>
      <c r="C2005" s="1">
        <f>IFERROR(__xludf.DUMMYFUNCTION("""COMPUTED_VALUE"""),9650.0)</f>
        <v>9650</v>
      </c>
      <c r="D2005" s="1">
        <f>IFERROR(__xludf.DUMMYFUNCTION("""COMPUTED_VALUE"""),9310.0)</f>
        <v>9310</v>
      </c>
      <c r="E2005" s="1">
        <f>IFERROR(__xludf.DUMMYFUNCTION("""COMPUTED_VALUE"""),9620.0)</f>
        <v>9620</v>
      </c>
      <c r="F2005" s="1">
        <f>IFERROR(__xludf.DUMMYFUNCTION("""COMPUTED_VALUE"""),40901.0)</f>
        <v>40901</v>
      </c>
    </row>
    <row r="2006">
      <c r="A2006" s="2">
        <f>IFERROR(__xludf.DUMMYFUNCTION("""COMPUTED_VALUE"""),43895.64583333333)</f>
        <v>43895.64583</v>
      </c>
      <c r="B2006" s="1">
        <f>IFERROR(__xludf.DUMMYFUNCTION("""COMPUTED_VALUE"""),9640.0)</f>
        <v>9640</v>
      </c>
      <c r="C2006" s="1">
        <f>IFERROR(__xludf.DUMMYFUNCTION("""COMPUTED_VALUE"""),9910.0)</f>
        <v>9910</v>
      </c>
      <c r="D2006" s="1">
        <f>IFERROR(__xludf.DUMMYFUNCTION("""COMPUTED_VALUE"""),9640.0)</f>
        <v>9640</v>
      </c>
      <c r="E2006" s="1">
        <f>IFERROR(__xludf.DUMMYFUNCTION("""COMPUTED_VALUE"""),9850.0)</f>
        <v>9850</v>
      </c>
      <c r="F2006" s="1">
        <f>IFERROR(__xludf.DUMMYFUNCTION("""COMPUTED_VALUE"""),48595.0)</f>
        <v>48595</v>
      </c>
    </row>
    <row r="2007">
      <c r="A2007" s="2">
        <f>IFERROR(__xludf.DUMMYFUNCTION("""COMPUTED_VALUE"""),43896.64583333333)</f>
        <v>43896.64583</v>
      </c>
      <c r="B2007" s="1">
        <f>IFERROR(__xludf.DUMMYFUNCTION("""COMPUTED_VALUE"""),10350.0)</f>
        <v>10350</v>
      </c>
      <c r="C2007" s="1">
        <f>IFERROR(__xludf.DUMMYFUNCTION("""COMPUTED_VALUE"""),10350.0)</f>
        <v>10350</v>
      </c>
      <c r="D2007" s="1">
        <f>IFERROR(__xludf.DUMMYFUNCTION("""COMPUTED_VALUE"""),9700.0)</f>
        <v>9700</v>
      </c>
      <c r="E2007" s="1">
        <f>IFERROR(__xludf.DUMMYFUNCTION("""COMPUTED_VALUE"""),9750.0)</f>
        <v>9750</v>
      </c>
      <c r="F2007" s="1">
        <f>IFERROR(__xludf.DUMMYFUNCTION("""COMPUTED_VALUE"""),105257.0)</f>
        <v>105257</v>
      </c>
    </row>
    <row r="2008">
      <c r="A2008" s="2">
        <f>IFERROR(__xludf.DUMMYFUNCTION("""COMPUTED_VALUE"""),43899.64583333333)</f>
        <v>43899.64583</v>
      </c>
      <c r="B2008" s="1">
        <f>IFERROR(__xludf.DUMMYFUNCTION("""COMPUTED_VALUE"""),9520.0)</f>
        <v>9520</v>
      </c>
      <c r="C2008" s="1">
        <f>IFERROR(__xludf.DUMMYFUNCTION("""COMPUTED_VALUE"""),9710.0)</f>
        <v>9710</v>
      </c>
      <c r="D2008" s="1">
        <f>IFERROR(__xludf.DUMMYFUNCTION("""COMPUTED_VALUE"""),9340.0)</f>
        <v>9340</v>
      </c>
      <c r="E2008" s="1">
        <f>IFERROR(__xludf.DUMMYFUNCTION("""COMPUTED_VALUE"""),9390.0)</f>
        <v>9390</v>
      </c>
      <c r="F2008" s="1">
        <f>IFERROR(__xludf.DUMMYFUNCTION("""COMPUTED_VALUE"""),70801.0)</f>
        <v>70801</v>
      </c>
    </row>
    <row r="2009">
      <c r="A2009" s="2">
        <f>IFERROR(__xludf.DUMMYFUNCTION("""COMPUTED_VALUE"""),43900.64583333333)</f>
        <v>43900.64583</v>
      </c>
      <c r="B2009" s="1">
        <f>IFERROR(__xludf.DUMMYFUNCTION("""COMPUTED_VALUE"""),9170.0)</f>
        <v>9170</v>
      </c>
      <c r="C2009" s="1">
        <f>IFERROR(__xludf.DUMMYFUNCTION("""COMPUTED_VALUE"""),9480.0)</f>
        <v>9480</v>
      </c>
      <c r="D2009" s="1">
        <f>IFERROR(__xludf.DUMMYFUNCTION("""COMPUTED_VALUE"""),9050.0)</f>
        <v>9050</v>
      </c>
      <c r="E2009" s="1">
        <f>IFERROR(__xludf.DUMMYFUNCTION("""COMPUTED_VALUE"""),9320.0)</f>
        <v>9320</v>
      </c>
      <c r="F2009" s="1">
        <f>IFERROR(__xludf.DUMMYFUNCTION("""COMPUTED_VALUE"""),85781.0)</f>
        <v>85781</v>
      </c>
    </row>
    <row r="2010">
      <c r="A2010" s="2">
        <f>IFERROR(__xludf.DUMMYFUNCTION("""COMPUTED_VALUE"""),43901.64583333333)</f>
        <v>43901.64583</v>
      </c>
      <c r="B2010" s="1">
        <f>IFERROR(__xludf.DUMMYFUNCTION("""COMPUTED_VALUE"""),9350.0)</f>
        <v>9350</v>
      </c>
      <c r="C2010" s="1">
        <f>IFERROR(__xludf.DUMMYFUNCTION("""COMPUTED_VALUE"""),9480.0)</f>
        <v>9480</v>
      </c>
      <c r="D2010" s="1">
        <f>IFERROR(__xludf.DUMMYFUNCTION("""COMPUTED_VALUE"""),8950.0)</f>
        <v>8950</v>
      </c>
      <c r="E2010" s="1">
        <f>IFERROR(__xludf.DUMMYFUNCTION("""COMPUTED_VALUE"""),9100.0)</f>
        <v>9100</v>
      </c>
      <c r="F2010" s="1">
        <f>IFERROR(__xludf.DUMMYFUNCTION("""COMPUTED_VALUE"""),97325.0)</f>
        <v>97325</v>
      </c>
    </row>
    <row r="2011">
      <c r="A2011" s="2">
        <f>IFERROR(__xludf.DUMMYFUNCTION("""COMPUTED_VALUE"""),43902.64583333333)</f>
        <v>43902.64583</v>
      </c>
      <c r="B2011" s="1">
        <f>IFERROR(__xludf.DUMMYFUNCTION("""COMPUTED_VALUE"""),8960.0)</f>
        <v>8960</v>
      </c>
      <c r="C2011" s="1">
        <f>IFERROR(__xludf.DUMMYFUNCTION("""COMPUTED_VALUE"""),9040.0)</f>
        <v>9040</v>
      </c>
      <c r="D2011" s="1">
        <f>IFERROR(__xludf.DUMMYFUNCTION("""COMPUTED_VALUE"""),8000.0)</f>
        <v>8000</v>
      </c>
      <c r="E2011" s="1">
        <f>IFERROR(__xludf.DUMMYFUNCTION("""COMPUTED_VALUE"""),8080.0)</f>
        <v>8080</v>
      </c>
      <c r="F2011" s="1">
        <f>IFERROR(__xludf.DUMMYFUNCTION("""COMPUTED_VALUE"""),271718.0)</f>
        <v>271718</v>
      </c>
    </row>
    <row r="2012">
      <c r="A2012" s="2">
        <f>IFERROR(__xludf.DUMMYFUNCTION("""COMPUTED_VALUE"""),43903.64583333333)</f>
        <v>43903.64583</v>
      </c>
      <c r="B2012" s="1">
        <f>IFERROR(__xludf.DUMMYFUNCTION("""COMPUTED_VALUE"""),7360.0)</f>
        <v>7360</v>
      </c>
      <c r="C2012" s="1">
        <f>IFERROR(__xludf.DUMMYFUNCTION("""COMPUTED_VALUE"""),7450.0)</f>
        <v>7450</v>
      </c>
      <c r="D2012" s="1">
        <f>IFERROR(__xludf.DUMMYFUNCTION("""COMPUTED_VALUE"""),6680.0)</f>
        <v>6680</v>
      </c>
      <c r="E2012" s="1">
        <f>IFERROR(__xludf.DUMMYFUNCTION("""COMPUTED_VALUE"""),7280.0)</f>
        <v>7280</v>
      </c>
      <c r="F2012" s="1">
        <f>IFERROR(__xludf.DUMMYFUNCTION("""COMPUTED_VALUE"""),241506.0)</f>
        <v>241506</v>
      </c>
    </row>
    <row r="2013">
      <c r="A2013" s="2">
        <f>IFERROR(__xludf.DUMMYFUNCTION("""COMPUTED_VALUE"""),43906.64583333333)</f>
        <v>43906.64583</v>
      </c>
      <c r="B2013" s="1">
        <f>IFERROR(__xludf.DUMMYFUNCTION("""COMPUTED_VALUE"""),7350.0)</f>
        <v>7350</v>
      </c>
      <c r="C2013" s="1">
        <f>IFERROR(__xludf.DUMMYFUNCTION("""COMPUTED_VALUE"""),7580.0)</f>
        <v>7580</v>
      </c>
      <c r="D2013" s="1">
        <f>IFERROR(__xludf.DUMMYFUNCTION("""COMPUTED_VALUE"""),6880.0)</f>
        <v>6880</v>
      </c>
      <c r="E2013" s="1">
        <f>IFERROR(__xludf.DUMMYFUNCTION("""COMPUTED_VALUE"""),6890.0)</f>
        <v>6890</v>
      </c>
      <c r="F2013" s="1">
        <f>IFERROR(__xludf.DUMMYFUNCTION("""COMPUTED_VALUE"""),139403.0)</f>
        <v>139403</v>
      </c>
    </row>
    <row r="2014">
      <c r="A2014" s="2">
        <f>IFERROR(__xludf.DUMMYFUNCTION("""COMPUTED_VALUE"""),43907.64583333333)</f>
        <v>43907.64583</v>
      </c>
      <c r="B2014" s="1">
        <f>IFERROR(__xludf.DUMMYFUNCTION("""COMPUTED_VALUE"""),6270.0)</f>
        <v>6270</v>
      </c>
      <c r="C2014" s="1">
        <f>IFERROR(__xludf.DUMMYFUNCTION("""COMPUTED_VALUE"""),7120.0)</f>
        <v>7120</v>
      </c>
      <c r="D2014" s="1">
        <f>IFERROR(__xludf.DUMMYFUNCTION("""COMPUTED_VALUE"""),6270.0)</f>
        <v>6270</v>
      </c>
      <c r="E2014" s="1">
        <f>IFERROR(__xludf.DUMMYFUNCTION("""COMPUTED_VALUE"""),6950.0)</f>
        <v>6950</v>
      </c>
      <c r="F2014" s="1">
        <f>IFERROR(__xludf.DUMMYFUNCTION("""COMPUTED_VALUE"""),157649.0)</f>
        <v>157649</v>
      </c>
    </row>
    <row r="2015">
      <c r="A2015" s="2">
        <f>IFERROR(__xludf.DUMMYFUNCTION("""COMPUTED_VALUE"""),43908.64583333333)</f>
        <v>43908.64583</v>
      </c>
      <c r="B2015" s="1">
        <f>IFERROR(__xludf.DUMMYFUNCTION("""COMPUTED_VALUE"""),6950.0)</f>
        <v>6950</v>
      </c>
      <c r="C2015" s="1">
        <f>IFERROR(__xludf.DUMMYFUNCTION("""COMPUTED_VALUE"""),7380.0)</f>
        <v>7380</v>
      </c>
      <c r="D2015" s="1">
        <f>IFERROR(__xludf.DUMMYFUNCTION("""COMPUTED_VALUE"""),6770.0)</f>
        <v>6770</v>
      </c>
      <c r="E2015" s="1">
        <f>IFERROR(__xludf.DUMMYFUNCTION("""COMPUTED_VALUE"""),6800.0)</f>
        <v>6800</v>
      </c>
      <c r="F2015" s="1">
        <f>IFERROR(__xludf.DUMMYFUNCTION("""COMPUTED_VALUE"""),197739.0)</f>
        <v>197739</v>
      </c>
    </row>
    <row r="2016">
      <c r="A2016" s="2">
        <f>IFERROR(__xludf.DUMMYFUNCTION("""COMPUTED_VALUE"""),43909.64583333333)</f>
        <v>43909.64583</v>
      </c>
      <c r="B2016" s="1">
        <f>IFERROR(__xludf.DUMMYFUNCTION("""COMPUTED_VALUE"""),7000.0)</f>
        <v>7000</v>
      </c>
      <c r="C2016" s="1">
        <f>IFERROR(__xludf.DUMMYFUNCTION("""COMPUTED_VALUE"""),7040.0)</f>
        <v>7040</v>
      </c>
      <c r="D2016" s="1">
        <f>IFERROR(__xludf.DUMMYFUNCTION("""COMPUTED_VALUE"""),5840.0)</f>
        <v>5840</v>
      </c>
      <c r="E2016" s="1">
        <f>IFERROR(__xludf.DUMMYFUNCTION("""COMPUTED_VALUE"""),5950.0)</f>
        <v>5950</v>
      </c>
      <c r="F2016" s="1">
        <f>IFERROR(__xludf.DUMMYFUNCTION("""COMPUTED_VALUE"""),323372.0)</f>
        <v>323372</v>
      </c>
    </row>
    <row r="2017">
      <c r="A2017" s="2">
        <f>IFERROR(__xludf.DUMMYFUNCTION("""COMPUTED_VALUE"""),43910.64583333333)</f>
        <v>43910.64583</v>
      </c>
      <c r="B2017" s="1">
        <f>IFERROR(__xludf.DUMMYFUNCTION("""COMPUTED_VALUE"""),5930.0)</f>
        <v>5930</v>
      </c>
      <c r="C2017" s="1">
        <f>IFERROR(__xludf.DUMMYFUNCTION("""COMPUTED_VALUE"""),6400.0)</f>
        <v>6400</v>
      </c>
      <c r="D2017" s="1">
        <f>IFERROR(__xludf.DUMMYFUNCTION("""COMPUTED_VALUE"""),5900.0)</f>
        <v>5900</v>
      </c>
      <c r="E2017" s="1">
        <f>IFERROR(__xludf.DUMMYFUNCTION("""COMPUTED_VALUE"""),6400.0)</f>
        <v>6400</v>
      </c>
      <c r="F2017" s="1">
        <f>IFERROR(__xludf.DUMMYFUNCTION("""COMPUTED_VALUE"""),195357.0)</f>
        <v>195357</v>
      </c>
    </row>
    <row r="2018">
      <c r="A2018" s="2">
        <f>IFERROR(__xludf.DUMMYFUNCTION("""COMPUTED_VALUE"""),43913.64583333333)</f>
        <v>43913.64583</v>
      </c>
      <c r="B2018" s="1">
        <f>IFERROR(__xludf.DUMMYFUNCTION("""COMPUTED_VALUE"""),6010.0)</f>
        <v>6010</v>
      </c>
      <c r="C2018" s="1">
        <f>IFERROR(__xludf.DUMMYFUNCTION("""COMPUTED_VALUE"""),6280.0)</f>
        <v>6280</v>
      </c>
      <c r="D2018" s="1">
        <f>IFERROR(__xludf.DUMMYFUNCTION("""COMPUTED_VALUE"""),5760.0)</f>
        <v>5760</v>
      </c>
      <c r="E2018" s="1">
        <f>IFERROR(__xludf.DUMMYFUNCTION("""COMPUTED_VALUE"""),6090.0)</f>
        <v>6090</v>
      </c>
      <c r="F2018" s="1">
        <f>IFERROR(__xludf.DUMMYFUNCTION("""COMPUTED_VALUE"""),99408.0)</f>
        <v>99408</v>
      </c>
    </row>
    <row r="2019">
      <c r="A2019" s="2">
        <f>IFERROR(__xludf.DUMMYFUNCTION("""COMPUTED_VALUE"""),43914.64583333333)</f>
        <v>43914.64583</v>
      </c>
      <c r="B2019" s="1">
        <f>IFERROR(__xludf.DUMMYFUNCTION("""COMPUTED_VALUE"""),6190.0)</f>
        <v>6190</v>
      </c>
      <c r="C2019" s="1">
        <f>IFERROR(__xludf.DUMMYFUNCTION("""COMPUTED_VALUE"""),6690.0)</f>
        <v>6690</v>
      </c>
      <c r="D2019" s="1">
        <f>IFERROR(__xludf.DUMMYFUNCTION("""COMPUTED_VALUE"""),6160.0)</f>
        <v>6160</v>
      </c>
      <c r="E2019" s="1">
        <f>IFERROR(__xludf.DUMMYFUNCTION("""COMPUTED_VALUE"""),6510.0)</f>
        <v>6510</v>
      </c>
      <c r="F2019" s="1">
        <f>IFERROR(__xludf.DUMMYFUNCTION("""COMPUTED_VALUE"""),118188.0)</f>
        <v>118188</v>
      </c>
    </row>
    <row r="2020">
      <c r="A2020" s="2">
        <f>IFERROR(__xludf.DUMMYFUNCTION("""COMPUTED_VALUE"""),43915.64583333333)</f>
        <v>43915.64583</v>
      </c>
      <c r="B2020" s="1">
        <f>IFERROR(__xludf.DUMMYFUNCTION("""COMPUTED_VALUE"""),6750.0)</f>
        <v>6750</v>
      </c>
      <c r="C2020" s="1">
        <f>IFERROR(__xludf.DUMMYFUNCTION("""COMPUTED_VALUE"""),7100.0)</f>
        <v>7100</v>
      </c>
      <c r="D2020" s="1">
        <f>IFERROR(__xludf.DUMMYFUNCTION("""COMPUTED_VALUE"""),6630.0)</f>
        <v>6630</v>
      </c>
      <c r="E2020" s="1">
        <f>IFERROR(__xludf.DUMMYFUNCTION("""COMPUTED_VALUE"""),7100.0)</f>
        <v>7100</v>
      </c>
      <c r="F2020" s="1">
        <f>IFERROR(__xludf.DUMMYFUNCTION("""COMPUTED_VALUE"""),203348.0)</f>
        <v>203348</v>
      </c>
    </row>
    <row r="2021">
      <c r="A2021" s="2">
        <f>IFERROR(__xludf.DUMMYFUNCTION("""COMPUTED_VALUE"""),43916.64583333333)</f>
        <v>43916.64583</v>
      </c>
      <c r="B2021" s="1">
        <f>IFERROR(__xludf.DUMMYFUNCTION("""COMPUTED_VALUE"""),7260.0)</f>
        <v>7260</v>
      </c>
      <c r="C2021" s="1">
        <f>IFERROR(__xludf.DUMMYFUNCTION("""COMPUTED_VALUE"""),7660.0)</f>
        <v>7660</v>
      </c>
      <c r="D2021" s="1">
        <f>IFERROR(__xludf.DUMMYFUNCTION("""COMPUTED_VALUE"""),7030.0)</f>
        <v>7030</v>
      </c>
      <c r="E2021" s="1">
        <f>IFERROR(__xludf.DUMMYFUNCTION("""COMPUTED_VALUE"""),7370.0)</f>
        <v>7370</v>
      </c>
      <c r="F2021" s="1">
        <f>IFERROR(__xludf.DUMMYFUNCTION("""COMPUTED_VALUE"""),211495.0)</f>
        <v>211495</v>
      </c>
    </row>
    <row r="2022">
      <c r="A2022" s="2">
        <f>IFERROR(__xludf.DUMMYFUNCTION("""COMPUTED_VALUE"""),43917.64583333333)</f>
        <v>43917.64583</v>
      </c>
      <c r="B2022" s="1">
        <f>IFERROR(__xludf.DUMMYFUNCTION("""COMPUTED_VALUE"""),7640.0)</f>
        <v>7640</v>
      </c>
      <c r="C2022" s="1">
        <f>IFERROR(__xludf.DUMMYFUNCTION("""COMPUTED_VALUE"""),7700.0)</f>
        <v>7700</v>
      </c>
      <c r="D2022" s="1">
        <f>IFERROR(__xludf.DUMMYFUNCTION("""COMPUTED_VALUE"""),7050.0)</f>
        <v>7050</v>
      </c>
      <c r="E2022" s="1">
        <f>IFERROR(__xludf.DUMMYFUNCTION("""COMPUTED_VALUE"""),7380.0)</f>
        <v>7380</v>
      </c>
      <c r="F2022" s="1">
        <f>IFERROR(__xludf.DUMMYFUNCTION("""COMPUTED_VALUE"""),161193.0)</f>
        <v>161193</v>
      </c>
    </row>
    <row r="2023">
      <c r="A2023" s="2">
        <f>IFERROR(__xludf.DUMMYFUNCTION("""COMPUTED_VALUE"""),43920.64583333333)</f>
        <v>43920.64583</v>
      </c>
      <c r="B2023" s="1">
        <f>IFERROR(__xludf.DUMMYFUNCTION("""COMPUTED_VALUE"""),7150.0)</f>
        <v>7150</v>
      </c>
      <c r="C2023" s="1">
        <f>IFERROR(__xludf.DUMMYFUNCTION("""COMPUTED_VALUE"""),7390.0)</f>
        <v>7390</v>
      </c>
      <c r="D2023" s="1">
        <f>IFERROR(__xludf.DUMMYFUNCTION("""COMPUTED_VALUE"""),7030.0)</f>
        <v>7030</v>
      </c>
      <c r="E2023" s="1">
        <f>IFERROR(__xludf.DUMMYFUNCTION("""COMPUTED_VALUE"""),7370.0)</f>
        <v>7370</v>
      </c>
      <c r="F2023" s="1">
        <f>IFERROR(__xludf.DUMMYFUNCTION("""COMPUTED_VALUE"""),84594.0)</f>
        <v>84594</v>
      </c>
    </row>
    <row r="2024">
      <c r="A2024" s="2">
        <f>IFERROR(__xludf.DUMMYFUNCTION("""COMPUTED_VALUE"""),43921.64583333333)</f>
        <v>43921.64583</v>
      </c>
      <c r="B2024" s="1">
        <f>IFERROR(__xludf.DUMMYFUNCTION("""COMPUTED_VALUE"""),7440.0)</f>
        <v>7440</v>
      </c>
      <c r="C2024" s="1">
        <f>IFERROR(__xludf.DUMMYFUNCTION("""COMPUTED_VALUE"""),9580.0)</f>
        <v>9580</v>
      </c>
      <c r="D2024" s="1">
        <f>IFERROR(__xludf.DUMMYFUNCTION("""COMPUTED_VALUE"""),7360.0)</f>
        <v>7360</v>
      </c>
      <c r="E2024" s="1">
        <f>IFERROR(__xludf.DUMMYFUNCTION("""COMPUTED_VALUE"""),9580.0)</f>
        <v>9580</v>
      </c>
      <c r="F2024" s="1">
        <f>IFERROR(__xludf.DUMMYFUNCTION("""COMPUTED_VALUE"""),1666322.0)</f>
        <v>1666322</v>
      </c>
    </row>
    <row r="2025">
      <c r="A2025" s="2">
        <f>IFERROR(__xludf.DUMMYFUNCTION("""COMPUTED_VALUE"""),43922.64583333333)</f>
        <v>43922.64583</v>
      </c>
      <c r="B2025" s="1">
        <f>IFERROR(__xludf.DUMMYFUNCTION("""COMPUTED_VALUE"""),9670.0)</f>
        <v>9670</v>
      </c>
      <c r="C2025" s="1">
        <f>IFERROR(__xludf.DUMMYFUNCTION("""COMPUTED_VALUE"""),11200.0)</f>
        <v>11200</v>
      </c>
      <c r="D2025" s="1">
        <f>IFERROR(__xludf.DUMMYFUNCTION("""COMPUTED_VALUE"""),9300.0)</f>
        <v>9300</v>
      </c>
      <c r="E2025" s="1">
        <f>IFERROR(__xludf.DUMMYFUNCTION("""COMPUTED_VALUE"""),9720.0)</f>
        <v>9720</v>
      </c>
      <c r="F2025" s="1">
        <f>IFERROR(__xludf.DUMMYFUNCTION("""COMPUTED_VALUE"""),1459556.0)</f>
        <v>1459556</v>
      </c>
    </row>
    <row r="2026">
      <c r="A2026" s="2">
        <f>IFERROR(__xludf.DUMMYFUNCTION("""COMPUTED_VALUE"""),43923.64583333333)</f>
        <v>43923.64583</v>
      </c>
      <c r="B2026" s="1">
        <f>IFERROR(__xludf.DUMMYFUNCTION("""COMPUTED_VALUE"""),9820.0)</f>
        <v>9820</v>
      </c>
      <c r="C2026" s="1">
        <f>IFERROR(__xludf.DUMMYFUNCTION("""COMPUTED_VALUE"""),11600.0)</f>
        <v>11600</v>
      </c>
      <c r="D2026" s="1">
        <f>IFERROR(__xludf.DUMMYFUNCTION("""COMPUTED_VALUE"""),9600.0)</f>
        <v>9600</v>
      </c>
      <c r="E2026" s="1">
        <f>IFERROR(__xludf.DUMMYFUNCTION("""COMPUTED_VALUE"""),10350.0)</f>
        <v>10350</v>
      </c>
      <c r="F2026" s="1">
        <f>IFERROR(__xludf.DUMMYFUNCTION("""COMPUTED_VALUE"""),1723882.0)</f>
        <v>1723882</v>
      </c>
    </row>
    <row r="2027">
      <c r="A2027" s="2">
        <f>IFERROR(__xludf.DUMMYFUNCTION("""COMPUTED_VALUE"""),43924.64583333333)</f>
        <v>43924.64583</v>
      </c>
      <c r="B2027" s="1">
        <f>IFERROR(__xludf.DUMMYFUNCTION("""COMPUTED_VALUE"""),10350.0)</f>
        <v>10350</v>
      </c>
      <c r="C2027" s="1">
        <f>IFERROR(__xludf.DUMMYFUNCTION("""COMPUTED_VALUE"""),11200.0)</f>
        <v>11200</v>
      </c>
      <c r="D2027" s="1">
        <f>IFERROR(__xludf.DUMMYFUNCTION("""COMPUTED_VALUE"""),10050.0)</f>
        <v>10050</v>
      </c>
      <c r="E2027" s="1">
        <f>IFERROR(__xludf.DUMMYFUNCTION("""COMPUTED_VALUE"""),10900.0)</f>
        <v>10900</v>
      </c>
      <c r="F2027" s="1">
        <f>IFERROR(__xludf.DUMMYFUNCTION("""COMPUTED_VALUE"""),1232179.0)</f>
        <v>1232179</v>
      </c>
    </row>
    <row r="2028">
      <c r="A2028" s="2">
        <f>IFERROR(__xludf.DUMMYFUNCTION("""COMPUTED_VALUE"""),43927.64583333333)</f>
        <v>43927.64583</v>
      </c>
      <c r="B2028" s="1">
        <f>IFERROR(__xludf.DUMMYFUNCTION("""COMPUTED_VALUE"""),11300.0)</f>
        <v>11300</v>
      </c>
      <c r="C2028" s="1">
        <f>IFERROR(__xludf.DUMMYFUNCTION("""COMPUTED_VALUE"""),11900.0)</f>
        <v>11900</v>
      </c>
      <c r="D2028" s="1">
        <f>IFERROR(__xludf.DUMMYFUNCTION("""COMPUTED_VALUE"""),11000.0)</f>
        <v>11000</v>
      </c>
      <c r="E2028" s="1">
        <f>IFERROR(__xludf.DUMMYFUNCTION("""COMPUTED_VALUE"""),11200.0)</f>
        <v>11200</v>
      </c>
      <c r="F2028" s="1">
        <f>IFERROR(__xludf.DUMMYFUNCTION("""COMPUTED_VALUE"""),921445.0)</f>
        <v>921445</v>
      </c>
    </row>
    <row r="2029">
      <c r="A2029" s="2">
        <f>IFERROR(__xludf.DUMMYFUNCTION("""COMPUTED_VALUE"""),43928.64583333333)</f>
        <v>43928.64583</v>
      </c>
      <c r="B2029" s="1">
        <f>IFERROR(__xludf.DUMMYFUNCTION("""COMPUTED_VALUE"""),11300.0)</f>
        <v>11300</v>
      </c>
      <c r="C2029" s="1">
        <f>IFERROR(__xludf.DUMMYFUNCTION("""COMPUTED_VALUE"""),11650.0)</f>
        <v>11650</v>
      </c>
      <c r="D2029" s="1">
        <f>IFERROR(__xludf.DUMMYFUNCTION("""COMPUTED_VALUE"""),10700.0)</f>
        <v>10700</v>
      </c>
      <c r="E2029" s="1">
        <f>IFERROR(__xludf.DUMMYFUNCTION("""COMPUTED_VALUE"""),11000.0)</f>
        <v>11000</v>
      </c>
      <c r="F2029" s="1">
        <f>IFERROR(__xludf.DUMMYFUNCTION("""COMPUTED_VALUE"""),619258.0)</f>
        <v>619258</v>
      </c>
    </row>
    <row r="2030">
      <c r="A2030" s="2">
        <f>IFERROR(__xludf.DUMMYFUNCTION("""COMPUTED_VALUE"""),43929.64583333333)</f>
        <v>43929.64583</v>
      </c>
      <c r="B2030" s="1">
        <f>IFERROR(__xludf.DUMMYFUNCTION("""COMPUTED_VALUE"""),11000.0)</f>
        <v>11000</v>
      </c>
      <c r="C2030" s="1">
        <f>IFERROR(__xludf.DUMMYFUNCTION("""COMPUTED_VALUE"""),11650.0)</f>
        <v>11650</v>
      </c>
      <c r="D2030" s="1">
        <f>IFERROR(__xludf.DUMMYFUNCTION("""COMPUTED_VALUE"""),10600.0)</f>
        <v>10600</v>
      </c>
      <c r="E2030" s="1">
        <f>IFERROR(__xludf.DUMMYFUNCTION("""COMPUTED_VALUE"""),11250.0)</f>
        <v>11250</v>
      </c>
      <c r="F2030" s="1">
        <f>IFERROR(__xludf.DUMMYFUNCTION("""COMPUTED_VALUE"""),640867.0)</f>
        <v>640867</v>
      </c>
    </row>
    <row r="2031">
      <c r="A2031" s="2">
        <f>IFERROR(__xludf.DUMMYFUNCTION("""COMPUTED_VALUE"""),43930.64583333333)</f>
        <v>43930.64583</v>
      </c>
      <c r="B2031" s="1">
        <f>IFERROR(__xludf.DUMMYFUNCTION("""COMPUTED_VALUE"""),11450.0)</f>
        <v>11450</v>
      </c>
      <c r="C2031" s="1">
        <f>IFERROR(__xludf.DUMMYFUNCTION("""COMPUTED_VALUE"""),13700.0)</f>
        <v>13700</v>
      </c>
      <c r="D2031" s="1">
        <f>IFERROR(__xludf.DUMMYFUNCTION("""COMPUTED_VALUE"""),11000.0)</f>
        <v>11000</v>
      </c>
      <c r="E2031" s="1">
        <f>IFERROR(__xludf.DUMMYFUNCTION("""COMPUTED_VALUE"""),12100.0)</f>
        <v>12100</v>
      </c>
      <c r="F2031" s="1">
        <f>IFERROR(__xludf.DUMMYFUNCTION("""COMPUTED_VALUE"""),2857272.0)</f>
        <v>2857272</v>
      </c>
    </row>
    <row r="2032">
      <c r="A2032" s="2">
        <f>IFERROR(__xludf.DUMMYFUNCTION("""COMPUTED_VALUE"""),43931.64583333333)</f>
        <v>43931.64583</v>
      </c>
      <c r="B2032" s="1">
        <f>IFERROR(__xludf.DUMMYFUNCTION("""COMPUTED_VALUE"""),11850.0)</f>
        <v>11850</v>
      </c>
      <c r="C2032" s="1">
        <f>IFERROR(__xludf.DUMMYFUNCTION("""COMPUTED_VALUE"""),11900.0)</f>
        <v>11900</v>
      </c>
      <c r="D2032" s="1">
        <f>IFERROR(__xludf.DUMMYFUNCTION("""COMPUTED_VALUE"""),11000.0)</f>
        <v>11000</v>
      </c>
      <c r="E2032" s="1">
        <f>IFERROR(__xludf.DUMMYFUNCTION("""COMPUTED_VALUE"""),11250.0)</f>
        <v>11250</v>
      </c>
      <c r="F2032" s="1">
        <f>IFERROR(__xludf.DUMMYFUNCTION("""COMPUTED_VALUE"""),496375.0)</f>
        <v>496375</v>
      </c>
    </row>
    <row r="2033">
      <c r="A2033" s="2">
        <f>IFERROR(__xludf.DUMMYFUNCTION("""COMPUTED_VALUE"""),43934.64583333333)</f>
        <v>43934.64583</v>
      </c>
      <c r="B2033" s="1">
        <f>IFERROR(__xludf.DUMMYFUNCTION("""COMPUTED_VALUE"""),11400.0)</f>
        <v>11400</v>
      </c>
      <c r="C2033" s="1">
        <f>IFERROR(__xludf.DUMMYFUNCTION("""COMPUTED_VALUE"""),11950.0)</f>
        <v>11950</v>
      </c>
      <c r="D2033" s="1">
        <f>IFERROR(__xludf.DUMMYFUNCTION("""COMPUTED_VALUE"""),10900.0)</f>
        <v>10900</v>
      </c>
      <c r="E2033" s="1">
        <f>IFERROR(__xludf.DUMMYFUNCTION("""COMPUTED_VALUE"""),11200.0)</f>
        <v>11200</v>
      </c>
      <c r="F2033" s="1">
        <f>IFERROR(__xludf.DUMMYFUNCTION("""COMPUTED_VALUE"""),544735.0)</f>
        <v>544735</v>
      </c>
    </row>
    <row r="2034">
      <c r="A2034" s="2">
        <f>IFERROR(__xludf.DUMMYFUNCTION("""COMPUTED_VALUE"""),43935.64583333333)</f>
        <v>43935.64583</v>
      </c>
      <c r="B2034" s="1">
        <f>IFERROR(__xludf.DUMMYFUNCTION("""COMPUTED_VALUE"""),11600.0)</f>
        <v>11600</v>
      </c>
      <c r="C2034" s="1">
        <f>IFERROR(__xludf.DUMMYFUNCTION("""COMPUTED_VALUE"""),12500.0)</f>
        <v>12500</v>
      </c>
      <c r="D2034" s="1">
        <f>IFERROR(__xludf.DUMMYFUNCTION("""COMPUTED_VALUE"""),11300.0)</f>
        <v>11300</v>
      </c>
      <c r="E2034" s="1">
        <f>IFERROR(__xludf.DUMMYFUNCTION("""COMPUTED_VALUE"""),11950.0)</f>
        <v>11950</v>
      </c>
      <c r="F2034" s="1">
        <f>IFERROR(__xludf.DUMMYFUNCTION("""COMPUTED_VALUE"""),1255772.0)</f>
        <v>1255772</v>
      </c>
    </row>
    <row r="2035">
      <c r="A2035" s="2">
        <f>IFERROR(__xludf.DUMMYFUNCTION("""COMPUTED_VALUE"""),43937.64583333333)</f>
        <v>43937.64583</v>
      </c>
      <c r="B2035" s="1">
        <f>IFERROR(__xludf.DUMMYFUNCTION("""COMPUTED_VALUE"""),12200.0)</f>
        <v>12200</v>
      </c>
      <c r="C2035" s="1">
        <f>IFERROR(__xludf.DUMMYFUNCTION("""COMPUTED_VALUE"""),13650.0)</f>
        <v>13650</v>
      </c>
      <c r="D2035" s="1">
        <f>IFERROR(__xludf.DUMMYFUNCTION("""COMPUTED_VALUE"""),11600.0)</f>
        <v>11600</v>
      </c>
      <c r="E2035" s="1">
        <f>IFERROR(__xludf.DUMMYFUNCTION("""COMPUTED_VALUE"""),13000.0)</f>
        <v>13000</v>
      </c>
      <c r="F2035" s="1">
        <f>IFERROR(__xludf.DUMMYFUNCTION("""COMPUTED_VALUE"""),2217974.0)</f>
        <v>2217974</v>
      </c>
    </row>
    <row r="2036">
      <c r="A2036" s="2">
        <f>IFERROR(__xludf.DUMMYFUNCTION("""COMPUTED_VALUE"""),43938.64583333333)</f>
        <v>43938.64583</v>
      </c>
      <c r="B2036" s="1">
        <f>IFERROR(__xludf.DUMMYFUNCTION("""COMPUTED_VALUE"""),12800.0)</f>
        <v>12800</v>
      </c>
      <c r="C2036" s="1">
        <f>IFERROR(__xludf.DUMMYFUNCTION("""COMPUTED_VALUE"""),12900.0)</f>
        <v>12900</v>
      </c>
      <c r="D2036" s="1">
        <f>IFERROR(__xludf.DUMMYFUNCTION("""COMPUTED_VALUE"""),12100.0)</f>
        <v>12100</v>
      </c>
      <c r="E2036" s="1">
        <f>IFERROR(__xludf.DUMMYFUNCTION("""COMPUTED_VALUE"""),12500.0)</f>
        <v>12500</v>
      </c>
      <c r="F2036" s="1">
        <f>IFERROR(__xludf.DUMMYFUNCTION("""COMPUTED_VALUE"""),637576.0)</f>
        <v>637576</v>
      </c>
    </row>
    <row r="2037">
      <c r="A2037" s="2">
        <f>IFERROR(__xludf.DUMMYFUNCTION("""COMPUTED_VALUE"""),43941.64583333333)</f>
        <v>43941.64583</v>
      </c>
      <c r="B2037" s="1">
        <f>IFERROR(__xludf.DUMMYFUNCTION("""COMPUTED_VALUE"""),12800.0)</f>
        <v>12800</v>
      </c>
      <c r="C2037" s="1">
        <f>IFERROR(__xludf.DUMMYFUNCTION("""COMPUTED_VALUE"""),13850.0)</f>
        <v>13850</v>
      </c>
      <c r="D2037" s="1">
        <f>IFERROR(__xludf.DUMMYFUNCTION("""COMPUTED_VALUE"""),12650.0)</f>
        <v>12650</v>
      </c>
      <c r="E2037" s="1">
        <f>IFERROR(__xludf.DUMMYFUNCTION("""COMPUTED_VALUE"""),13150.0)</f>
        <v>13150</v>
      </c>
      <c r="F2037" s="1">
        <f>IFERROR(__xludf.DUMMYFUNCTION("""COMPUTED_VALUE"""),1600511.0)</f>
        <v>1600511</v>
      </c>
    </row>
    <row r="2038">
      <c r="A2038" s="2">
        <f>IFERROR(__xludf.DUMMYFUNCTION("""COMPUTED_VALUE"""),43942.64583333333)</f>
        <v>43942.64583</v>
      </c>
      <c r="B2038" s="1">
        <f>IFERROR(__xludf.DUMMYFUNCTION("""COMPUTED_VALUE"""),13150.0)</f>
        <v>13150</v>
      </c>
      <c r="C2038" s="1">
        <f>IFERROR(__xludf.DUMMYFUNCTION("""COMPUTED_VALUE"""),13600.0)</f>
        <v>13600</v>
      </c>
      <c r="D2038" s="1">
        <f>IFERROR(__xludf.DUMMYFUNCTION("""COMPUTED_VALUE"""),11100.0)</f>
        <v>11100</v>
      </c>
      <c r="E2038" s="1">
        <f>IFERROR(__xludf.DUMMYFUNCTION("""COMPUTED_VALUE"""),12300.0)</f>
        <v>12300</v>
      </c>
      <c r="F2038" s="1">
        <f>IFERROR(__xludf.DUMMYFUNCTION("""COMPUTED_VALUE"""),1360553.0)</f>
        <v>1360553</v>
      </c>
    </row>
    <row r="2039">
      <c r="A2039" s="2">
        <f>IFERROR(__xludf.DUMMYFUNCTION("""COMPUTED_VALUE"""),43943.64583333333)</f>
        <v>43943.64583</v>
      </c>
      <c r="B2039" s="1">
        <f>IFERROR(__xludf.DUMMYFUNCTION("""COMPUTED_VALUE"""),12250.0)</f>
        <v>12250</v>
      </c>
      <c r="C2039" s="1">
        <f>IFERROR(__xludf.DUMMYFUNCTION("""COMPUTED_VALUE"""),13000.0)</f>
        <v>13000</v>
      </c>
      <c r="D2039" s="1">
        <f>IFERROR(__xludf.DUMMYFUNCTION("""COMPUTED_VALUE"""),11500.0)</f>
        <v>11500</v>
      </c>
      <c r="E2039" s="1">
        <f>IFERROR(__xludf.DUMMYFUNCTION("""COMPUTED_VALUE"""),12700.0)</f>
        <v>12700</v>
      </c>
      <c r="F2039" s="1">
        <f>IFERROR(__xludf.DUMMYFUNCTION("""COMPUTED_VALUE"""),631289.0)</f>
        <v>631289</v>
      </c>
    </row>
    <row r="2040">
      <c r="A2040" s="2">
        <f>IFERROR(__xludf.DUMMYFUNCTION("""COMPUTED_VALUE"""),43944.64583333333)</f>
        <v>43944.64583</v>
      </c>
      <c r="B2040" s="1">
        <f>IFERROR(__xludf.DUMMYFUNCTION("""COMPUTED_VALUE"""),12600.0)</f>
        <v>12600</v>
      </c>
      <c r="C2040" s="1">
        <f>IFERROR(__xludf.DUMMYFUNCTION("""COMPUTED_VALUE"""),13250.0)</f>
        <v>13250</v>
      </c>
      <c r="D2040" s="1">
        <f>IFERROR(__xludf.DUMMYFUNCTION("""COMPUTED_VALUE"""),12400.0)</f>
        <v>12400</v>
      </c>
      <c r="E2040" s="1">
        <f>IFERROR(__xludf.DUMMYFUNCTION("""COMPUTED_VALUE"""),13150.0)</f>
        <v>13150</v>
      </c>
      <c r="F2040" s="1">
        <f>IFERROR(__xludf.DUMMYFUNCTION("""COMPUTED_VALUE"""),794930.0)</f>
        <v>794930</v>
      </c>
    </row>
    <row r="2041">
      <c r="A2041" s="2">
        <f>IFERROR(__xludf.DUMMYFUNCTION("""COMPUTED_VALUE"""),43945.64583333333)</f>
        <v>43945.64583</v>
      </c>
      <c r="B2041" s="1">
        <f>IFERROR(__xludf.DUMMYFUNCTION("""COMPUTED_VALUE"""),13050.0)</f>
        <v>13050</v>
      </c>
      <c r="C2041" s="1">
        <f>IFERROR(__xludf.DUMMYFUNCTION("""COMPUTED_VALUE"""),13400.0)</f>
        <v>13400</v>
      </c>
      <c r="D2041" s="1">
        <f>IFERROR(__xludf.DUMMYFUNCTION("""COMPUTED_VALUE"""),12550.0)</f>
        <v>12550</v>
      </c>
      <c r="E2041" s="1">
        <f>IFERROR(__xludf.DUMMYFUNCTION("""COMPUTED_VALUE"""),12550.0)</f>
        <v>12550</v>
      </c>
      <c r="F2041" s="1">
        <f>IFERROR(__xludf.DUMMYFUNCTION("""COMPUTED_VALUE"""),649987.0)</f>
        <v>649987</v>
      </c>
    </row>
    <row r="2042">
      <c r="A2042" s="2">
        <f>IFERROR(__xludf.DUMMYFUNCTION("""COMPUTED_VALUE"""),43948.64583333333)</f>
        <v>43948.64583</v>
      </c>
      <c r="B2042" s="1">
        <f>IFERROR(__xludf.DUMMYFUNCTION("""COMPUTED_VALUE"""),12700.0)</f>
        <v>12700</v>
      </c>
      <c r="C2042" s="1">
        <f>IFERROR(__xludf.DUMMYFUNCTION("""COMPUTED_VALUE"""),12950.0)</f>
        <v>12950</v>
      </c>
      <c r="D2042" s="1">
        <f>IFERROR(__xludf.DUMMYFUNCTION("""COMPUTED_VALUE"""),12400.0)</f>
        <v>12400</v>
      </c>
      <c r="E2042" s="1">
        <f>IFERROR(__xludf.DUMMYFUNCTION("""COMPUTED_VALUE"""),12500.0)</f>
        <v>12500</v>
      </c>
      <c r="F2042" s="1">
        <f>IFERROR(__xludf.DUMMYFUNCTION("""COMPUTED_VALUE"""),330141.0)</f>
        <v>330141</v>
      </c>
    </row>
    <row r="2043">
      <c r="A2043" s="2">
        <f>IFERROR(__xludf.DUMMYFUNCTION("""COMPUTED_VALUE"""),43949.64583333333)</f>
        <v>43949.64583</v>
      </c>
      <c r="B2043" s="1">
        <f>IFERROR(__xludf.DUMMYFUNCTION("""COMPUTED_VALUE"""),12700.0)</f>
        <v>12700</v>
      </c>
      <c r="C2043" s="1">
        <f>IFERROR(__xludf.DUMMYFUNCTION("""COMPUTED_VALUE"""),12700.0)</f>
        <v>12700</v>
      </c>
      <c r="D2043" s="1">
        <f>IFERROR(__xludf.DUMMYFUNCTION("""COMPUTED_VALUE"""),11850.0)</f>
        <v>11850</v>
      </c>
      <c r="E2043" s="1">
        <f>IFERROR(__xludf.DUMMYFUNCTION("""COMPUTED_VALUE"""),12100.0)</f>
        <v>12100</v>
      </c>
      <c r="F2043" s="1">
        <f>IFERROR(__xludf.DUMMYFUNCTION("""COMPUTED_VALUE"""),265098.0)</f>
        <v>265098</v>
      </c>
    </row>
    <row r="2044">
      <c r="A2044" s="2">
        <f>IFERROR(__xludf.DUMMYFUNCTION("""COMPUTED_VALUE"""),43950.64583333333)</f>
        <v>43950.64583</v>
      </c>
      <c r="B2044" s="1">
        <f>IFERROR(__xludf.DUMMYFUNCTION("""COMPUTED_VALUE"""),12200.0)</f>
        <v>12200</v>
      </c>
      <c r="C2044" s="1">
        <f>IFERROR(__xludf.DUMMYFUNCTION("""COMPUTED_VALUE"""),12350.0)</f>
        <v>12350</v>
      </c>
      <c r="D2044" s="1">
        <f>IFERROR(__xludf.DUMMYFUNCTION("""COMPUTED_VALUE"""),12000.0)</f>
        <v>12000</v>
      </c>
      <c r="E2044" s="1">
        <f>IFERROR(__xludf.DUMMYFUNCTION("""COMPUTED_VALUE"""),12050.0)</f>
        <v>12050</v>
      </c>
      <c r="F2044" s="1">
        <f>IFERROR(__xludf.DUMMYFUNCTION("""COMPUTED_VALUE"""),151757.0)</f>
        <v>151757</v>
      </c>
    </row>
    <row r="2045">
      <c r="A2045" s="2">
        <f>IFERROR(__xludf.DUMMYFUNCTION("""COMPUTED_VALUE"""),43955.64583333333)</f>
        <v>43955.64583</v>
      </c>
      <c r="B2045" s="1">
        <f>IFERROR(__xludf.DUMMYFUNCTION("""COMPUTED_VALUE"""),12900.0)</f>
        <v>12900</v>
      </c>
      <c r="C2045" s="1">
        <f>IFERROR(__xludf.DUMMYFUNCTION("""COMPUTED_VALUE"""),13100.0)</f>
        <v>13100</v>
      </c>
      <c r="D2045" s="1">
        <f>IFERROR(__xludf.DUMMYFUNCTION("""COMPUTED_VALUE"""),12300.0)</f>
        <v>12300</v>
      </c>
      <c r="E2045" s="1">
        <f>IFERROR(__xludf.DUMMYFUNCTION("""COMPUTED_VALUE"""),12650.0)</f>
        <v>12650</v>
      </c>
      <c r="F2045" s="1">
        <f>IFERROR(__xludf.DUMMYFUNCTION("""COMPUTED_VALUE"""),668956.0)</f>
        <v>668956</v>
      </c>
    </row>
    <row r="2046">
      <c r="A2046" s="2">
        <f>IFERROR(__xludf.DUMMYFUNCTION("""COMPUTED_VALUE"""),43957.64583333333)</f>
        <v>43957.64583</v>
      </c>
      <c r="B2046" s="1">
        <f>IFERROR(__xludf.DUMMYFUNCTION("""COMPUTED_VALUE"""),12800.0)</f>
        <v>12800</v>
      </c>
      <c r="C2046" s="1">
        <f>IFERROR(__xludf.DUMMYFUNCTION("""COMPUTED_VALUE"""),13250.0)</f>
        <v>13250</v>
      </c>
      <c r="D2046" s="1">
        <f>IFERROR(__xludf.DUMMYFUNCTION("""COMPUTED_VALUE"""),12500.0)</f>
        <v>12500</v>
      </c>
      <c r="E2046" s="1">
        <f>IFERROR(__xludf.DUMMYFUNCTION("""COMPUTED_VALUE"""),13050.0)</f>
        <v>13050</v>
      </c>
      <c r="F2046" s="1">
        <f>IFERROR(__xludf.DUMMYFUNCTION("""COMPUTED_VALUE"""),597139.0)</f>
        <v>597139</v>
      </c>
    </row>
    <row r="2047">
      <c r="A2047" s="2">
        <f>IFERROR(__xludf.DUMMYFUNCTION("""COMPUTED_VALUE"""),43958.64583333333)</f>
        <v>43958.64583</v>
      </c>
      <c r="B2047" s="1">
        <f>IFERROR(__xludf.DUMMYFUNCTION("""COMPUTED_VALUE"""),13050.0)</f>
        <v>13050</v>
      </c>
      <c r="C2047" s="1">
        <f>IFERROR(__xludf.DUMMYFUNCTION("""COMPUTED_VALUE"""),13450.0)</f>
        <v>13450</v>
      </c>
      <c r="D2047" s="1">
        <f>IFERROR(__xludf.DUMMYFUNCTION("""COMPUTED_VALUE"""),12850.0)</f>
        <v>12850</v>
      </c>
      <c r="E2047" s="1">
        <f>IFERROR(__xludf.DUMMYFUNCTION("""COMPUTED_VALUE"""),13050.0)</f>
        <v>13050</v>
      </c>
      <c r="F2047" s="1">
        <f>IFERROR(__xludf.DUMMYFUNCTION("""COMPUTED_VALUE"""),401786.0)</f>
        <v>401786</v>
      </c>
    </row>
    <row r="2048">
      <c r="A2048" s="2">
        <f>IFERROR(__xludf.DUMMYFUNCTION("""COMPUTED_VALUE"""),43959.64583333333)</f>
        <v>43959.64583</v>
      </c>
      <c r="B2048" s="1">
        <f>IFERROR(__xludf.DUMMYFUNCTION("""COMPUTED_VALUE"""),13300.0)</f>
        <v>13300</v>
      </c>
      <c r="C2048" s="1">
        <f>IFERROR(__xludf.DUMMYFUNCTION("""COMPUTED_VALUE"""),13300.0)</f>
        <v>13300</v>
      </c>
      <c r="D2048" s="1">
        <f>IFERROR(__xludf.DUMMYFUNCTION("""COMPUTED_VALUE"""),12900.0)</f>
        <v>12900</v>
      </c>
      <c r="E2048" s="1">
        <f>IFERROR(__xludf.DUMMYFUNCTION("""COMPUTED_VALUE"""),13150.0)</f>
        <v>13150</v>
      </c>
      <c r="F2048" s="1">
        <f>IFERROR(__xludf.DUMMYFUNCTION("""COMPUTED_VALUE"""),360588.0)</f>
        <v>360588</v>
      </c>
    </row>
    <row r="2049">
      <c r="A2049" s="2">
        <f>IFERROR(__xludf.DUMMYFUNCTION("""COMPUTED_VALUE"""),43962.64583333333)</f>
        <v>43962.64583</v>
      </c>
      <c r="B2049" s="1">
        <f>IFERROR(__xludf.DUMMYFUNCTION("""COMPUTED_VALUE"""),13000.0)</f>
        <v>13000</v>
      </c>
      <c r="C2049" s="1">
        <f>IFERROR(__xludf.DUMMYFUNCTION("""COMPUTED_VALUE"""),13000.0)</f>
        <v>13000</v>
      </c>
      <c r="D2049" s="1">
        <f>IFERROR(__xludf.DUMMYFUNCTION("""COMPUTED_VALUE"""),12450.0)</f>
        <v>12450</v>
      </c>
      <c r="E2049" s="1">
        <f>IFERROR(__xludf.DUMMYFUNCTION("""COMPUTED_VALUE"""),12500.0)</f>
        <v>12500</v>
      </c>
      <c r="F2049" s="1">
        <f>IFERROR(__xludf.DUMMYFUNCTION("""COMPUTED_VALUE"""),347350.0)</f>
        <v>347350</v>
      </c>
    </row>
    <row r="2050">
      <c r="A2050" s="2">
        <f>IFERROR(__xludf.DUMMYFUNCTION("""COMPUTED_VALUE"""),43963.64583333333)</f>
        <v>43963.64583</v>
      </c>
      <c r="B2050" s="1">
        <f>IFERROR(__xludf.DUMMYFUNCTION("""COMPUTED_VALUE"""),12500.0)</f>
        <v>12500</v>
      </c>
      <c r="C2050" s="1">
        <f>IFERROR(__xludf.DUMMYFUNCTION("""COMPUTED_VALUE"""),12600.0)</f>
        <v>12600</v>
      </c>
      <c r="D2050" s="1">
        <f>IFERROR(__xludf.DUMMYFUNCTION("""COMPUTED_VALUE"""),12050.0)</f>
        <v>12050</v>
      </c>
      <c r="E2050" s="1">
        <f>IFERROR(__xludf.DUMMYFUNCTION("""COMPUTED_VALUE"""),12500.0)</f>
        <v>12500</v>
      </c>
      <c r="F2050" s="1">
        <f>IFERROR(__xludf.DUMMYFUNCTION("""COMPUTED_VALUE"""),144013.0)</f>
        <v>144013</v>
      </c>
    </row>
    <row r="2051">
      <c r="A2051" s="2">
        <f>IFERROR(__xludf.DUMMYFUNCTION("""COMPUTED_VALUE"""),43964.64583333333)</f>
        <v>43964.64583</v>
      </c>
      <c r="B2051" s="1">
        <f>IFERROR(__xludf.DUMMYFUNCTION("""COMPUTED_VALUE"""),12100.0)</f>
        <v>12100</v>
      </c>
      <c r="C2051" s="1">
        <f>IFERROR(__xludf.DUMMYFUNCTION("""COMPUTED_VALUE"""),12500.0)</f>
        <v>12500</v>
      </c>
      <c r="D2051" s="1">
        <f>IFERROR(__xludf.DUMMYFUNCTION("""COMPUTED_VALUE"""),12100.0)</f>
        <v>12100</v>
      </c>
      <c r="E2051" s="1">
        <f>IFERROR(__xludf.DUMMYFUNCTION("""COMPUTED_VALUE"""),12200.0)</f>
        <v>12200</v>
      </c>
      <c r="F2051" s="1">
        <f>IFERROR(__xludf.DUMMYFUNCTION("""COMPUTED_VALUE"""),132171.0)</f>
        <v>132171</v>
      </c>
    </row>
    <row r="2052">
      <c r="A2052" s="2">
        <f>IFERROR(__xludf.DUMMYFUNCTION("""COMPUTED_VALUE"""),43965.64583333333)</f>
        <v>43965.64583</v>
      </c>
      <c r="B2052" s="1">
        <f>IFERROR(__xludf.DUMMYFUNCTION("""COMPUTED_VALUE"""),12000.0)</f>
        <v>12000</v>
      </c>
      <c r="C2052" s="1">
        <f>IFERROR(__xludf.DUMMYFUNCTION("""COMPUTED_VALUE"""),12300.0)</f>
        <v>12300</v>
      </c>
      <c r="D2052" s="1">
        <f>IFERROR(__xludf.DUMMYFUNCTION("""COMPUTED_VALUE"""),11950.0)</f>
        <v>11950</v>
      </c>
      <c r="E2052" s="1">
        <f>IFERROR(__xludf.DUMMYFUNCTION("""COMPUTED_VALUE"""),12050.0)</f>
        <v>12050</v>
      </c>
      <c r="F2052" s="1">
        <f>IFERROR(__xludf.DUMMYFUNCTION("""COMPUTED_VALUE"""),126025.0)</f>
        <v>126025</v>
      </c>
    </row>
    <row r="2053">
      <c r="A2053" s="2">
        <f>IFERROR(__xludf.DUMMYFUNCTION("""COMPUTED_VALUE"""),43966.64583333333)</f>
        <v>43966.64583</v>
      </c>
      <c r="B2053" s="1">
        <f>IFERROR(__xludf.DUMMYFUNCTION("""COMPUTED_VALUE"""),12050.0)</f>
        <v>12050</v>
      </c>
      <c r="C2053" s="1">
        <f>IFERROR(__xludf.DUMMYFUNCTION("""COMPUTED_VALUE"""),12150.0)</f>
        <v>12150</v>
      </c>
      <c r="D2053" s="1">
        <f>IFERROR(__xludf.DUMMYFUNCTION("""COMPUTED_VALUE"""),11750.0)</f>
        <v>11750</v>
      </c>
      <c r="E2053" s="1">
        <f>IFERROR(__xludf.DUMMYFUNCTION("""COMPUTED_VALUE"""),11950.0)</f>
        <v>11950</v>
      </c>
      <c r="F2053" s="1">
        <f>IFERROR(__xludf.DUMMYFUNCTION("""COMPUTED_VALUE"""),123535.0)</f>
        <v>123535</v>
      </c>
    </row>
    <row r="2054">
      <c r="A2054" s="2">
        <f>IFERROR(__xludf.DUMMYFUNCTION("""COMPUTED_VALUE"""),43969.64583333333)</f>
        <v>43969.64583</v>
      </c>
      <c r="B2054" s="1">
        <f>IFERROR(__xludf.DUMMYFUNCTION("""COMPUTED_VALUE"""),12000.0)</f>
        <v>12000</v>
      </c>
      <c r="C2054" s="1">
        <f>IFERROR(__xludf.DUMMYFUNCTION("""COMPUTED_VALUE"""),12050.0)</f>
        <v>12050</v>
      </c>
      <c r="D2054" s="1">
        <f>IFERROR(__xludf.DUMMYFUNCTION("""COMPUTED_VALUE"""),11600.0)</f>
        <v>11600</v>
      </c>
      <c r="E2054" s="1">
        <f>IFERROR(__xludf.DUMMYFUNCTION("""COMPUTED_VALUE"""),11750.0)</f>
        <v>11750</v>
      </c>
      <c r="F2054" s="1">
        <f>IFERROR(__xludf.DUMMYFUNCTION("""COMPUTED_VALUE"""),106467.0)</f>
        <v>106467</v>
      </c>
    </row>
    <row r="2055">
      <c r="A2055" s="2">
        <f>IFERROR(__xludf.DUMMYFUNCTION("""COMPUTED_VALUE"""),43970.64583333333)</f>
        <v>43970.64583</v>
      </c>
      <c r="B2055" s="1">
        <f>IFERROR(__xludf.DUMMYFUNCTION("""COMPUTED_VALUE"""),11900.0)</f>
        <v>11900</v>
      </c>
      <c r="C2055" s="1">
        <f>IFERROR(__xludf.DUMMYFUNCTION("""COMPUTED_VALUE"""),12150.0)</f>
        <v>12150</v>
      </c>
      <c r="D2055" s="1">
        <f>IFERROR(__xludf.DUMMYFUNCTION("""COMPUTED_VALUE"""),11800.0)</f>
        <v>11800</v>
      </c>
      <c r="E2055" s="1">
        <f>IFERROR(__xludf.DUMMYFUNCTION("""COMPUTED_VALUE"""),12050.0)</f>
        <v>12050</v>
      </c>
      <c r="F2055" s="1">
        <f>IFERROR(__xludf.DUMMYFUNCTION("""COMPUTED_VALUE"""),170084.0)</f>
        <v>170084</v>
      </c>
    </row>
    <row r="2056">
      <c r="A2056" s="2">
        <f>IFERROR(__xludf.DUMMYFUNCTION("""COMPUTED_VALUE"""),43971.64583333333)</f>
        <v>43971.64583</v>
      </c>
      <c r="B2056" s="1">
        <f>IFERROR(__xludf.DUMMYFUNCTION("""COMPUTED_VALUE"""),12050.0)</f>
        <v>12050</v>
      </c>
      <c r="C2056" s="1">
        <f>IFERROR(__xludf.DUMMYFUNCTION("""COMPUTED_VALUE"""),12350.0)</f>
        <v>12350</v>
      </c>
      <c r="D2056" s="1">
        <f>IFERROR(__xludf.DUMMYFUNCTION("""COMPUTED_VALUE"""),11950.0)</f>
        <v>11950</v>
      </c>
      <c r="E2056" s="1">
        <f>IFERROR(__xludf.DUMMYFUNCTION("""COMPUTED_VALUE"""),12350.0)</f>
        <v>12350</v>
      </c>
      <c r="F2056" s="1">
        <f>IFERROR(__xludf.DUMMYFUNCTION("""COMPUTED_VALUE"""),123457.0)</f>
        <v>123457</v>
      </c>
    </row>
    <row r="2057">
      <c r="A2057" s="2">
        <f>IFERROR(__xludf.DUMMYFUNCTION("""COMPUTED_VALUE"""),43972.64583333333)</f>
        <v>43972.64583</v>
      </c>
      <c r="B2057" s="1">
        <f>IFERROR(__xludf.DUMMYFUNCTION("""COMPUTED_VALUE"""),12400.0)</f>
        <v>12400</v>
      </c>
      <c r="C2057" s="1">
        <f>IFERROR(__xludf.DUMMYFUNCTION("""COMPUTED_VALUE"""),12400.0)</f>
        <v>12400</v>
      </c>
      <c r="D2057" s="1">
        <f>IFERROR(__xludf.DUMMYFUNCTION("""COMPUTED_VALUE"""),12100.0)</f>
        <v>12100</v>
      </c>
      <c r="E2057" s="1">
        <f>IFERROR(__xludf.DUMMYFUNCTION("""COMPUTED_VALUE"""),12100.0)</f>
        <v>12100</v>
      </c>
      <c r="F2057" s="1">
        <f>IFERROR(__xludf.DUMMYFUNCTION("""COMPUTED_VALUE"""),92274.0)</f>
        <v>92274</v>
      </c>
    </row>
    <row r="2058">
      <c r="A2058" s="2">
        <f>IFERROR(__xludf.DUMMYFUNCTION("""COMPUTED_VALUE"""),43973.64583333333)</f>
        <v>43973.64583</v>
      </c>
      <c r="B2058" s="1">
        <f>IFERROR(__xludf.DUMMYFUNCTION("""COMPUTED_VALUE"""),12250.0)</f>
        <v>12250</v>
      </c>
      <c r="C2058" s="1">
        <f>IFERROR(__xludf.DUMMYFUNCTION("""COMPUTED_VALUE"""),12500.0)</f>
        <v>12500</v>
      </c>
      <c r="D2058" s="1">
        <f>IFERROR(__xludf.DUMMYFUNCTION("""COMPUTED_VALUE"""),11850.0)</f>
        <v>11850</v>
      </c>
      <c r="E2058" s="1">
        <f>IFERROR(__xludf.DUMMYFUNCTION("""COMPUTED_VALUE"""),11950.0)</f>
        <v>11950</v>
      </c>
      <c r="F2058" s="1">
        <f>IFERROR(__xludf.DUMMYFUNCTION("""COMPUTED_VALUE"""),194948.0)</f>
        <v>194948</v>
      </c>
    </row>
    <row r="2059">
      <c r="A2059" s="2">
        <f>IFERROR(__xludf.DUMMYFUNCTION("""COMPUTED_VALUE"""),43976.64583333333)</f>
        <v>43976.64583</v>
      </c>
      <c r="B2059" s="1">
        <f>IFERROR(__xludf.DUMMYFUNCTION("""COMPUTED_VALUE"""),12150.0)</f>
        <v>12150</v>
      </c>
      <c r="C2059" s="1">
        <f>IFERROR(__xludf.DUMMYFUNCTION("""COMPUTED_VALUE"""),12200.0)</f>
        <v>12200</v>
      </c>
      <c r="D2059" s="1">
        <f>IFERROR(__xludf.DUMMYFUNCTION("""COMPUTED_VALUE"""),11900.0)</f>
        <v>11900</v>
      </c>
      <c r="E2059" s="1">
        <f>IFERROR(__xludf.DUMMYFUNCTION("""COMPUTED_VALUE"""),11950.0)</f>
        <v>11950</v>
      </c>
      <c r="F2059" s="1">
        <f>IFERROR(__xludf.DUMMYFUNCTION("""COMPUTED_VALUE"""),64828.0)</f>
        <v>64828</v>
      </c>
    </row>
    <row r="2060">
      <c r="A2060" s="2">
        <f>IFERROR(__xludf.DUMMYFUNCTION("""COMPUTED_VALUE"""),43977.64583333333)</f>
        <v>43977.64583</v>
      </c>
      <c r="B2060" s="1">
        <f>IFERROR(__xludf.DUMMYFUNCTION("""COMPUTED_VALUE"""),12050.0)</f>
        <v>12050</v>
      </c>
      <c r="C2060" s="1">
        <f>IFERROR(__xludf.DUMMYFUNCTION("""COMPUTED_VALUE"""),12550.0)</f>
        <v>12550</v>
      </c>
      <c r="D2060" s="1">
        <f>IFERROR(__xludf.DUMMYFUNCTION("""COMPUTED_VALUE"""),11850.0)</f>
        <v>11850</v>
      </c>
      <c r="E2060" s="1">
        <f>IFERROR(__xludf.DUMMYFUNCTION("""COMPUTED_VALUE"""),12350.0)</f>
        <v>12350</v>
      </c>
      <c r="F2060" s="1">
        <f>IFERROR(__xludf.DUMMYFUNCTION("""COMPUTED_VALUE"""),225122.0)</f>
        <v>225122</v>
      </c>
    </row>
    <row r="2061">
      <c r="A2061" s="2">
        <f>IFERROR(__xludf.DUMMYFUNCTION("""COMPUTED_VALUE"""),43978.64583333333)</f>
        <v>43978.64583</v>
      </c>
      <c r="B2061" s="1">
        <f>IFERROR(__xludf.DUMMYFUNCTION("""COMPUTED_VALUE"""),12450.0)</f>
        <v>12450</v>
      </c>
      <c r="C2061" s="1">
        <f>IFERROR(__xludf.DUMMYFUNCTION("""COMPUTED_VALUE"""),12450.0)</f>
        <v>12450</v>
      </c>
      <c r="D2061" s="1">
        <f>IFERROR(__xludf.DUMMYFUNCTION("""COMPUTED_VALUE"""),12050.0)</f>
        <v>12050</v>
      </c>
      <c r="E2061" s="1">
        <f>IFERROR(__xludf.DUMMYFUNCTION("""COMPUTED_VALUE"""),12100.0)</f>
        <v>12100</v>
      </c>
      <c r="F2061" s="1">
        <f>IFERROR(__xludf.DUMMYFUNCTION("""COMPUTED_VALUE"""),88171.0)</f>
        <v>88171</v>
      </c>
    </row>
    <row r="2062">
      <c r="A2062" s="2">
        <f>IFERROR(__xludf.DUMMYFUNCTION("""COMPUTED_VALUE"""),43979.64583333333)</f>
        <v>43979.64583</v>
      </c>
      <c r="B2062" s="1">
        <f>IFERROR(__xludf.DUMMYFUNCTION("""COMPUTED_VALUE"""),12200.0)</f>
        <v>12200</v>
      </c>
      <c r="C2062" s="1">
        <f>IFERROR(__xludf.DUMMYFUNCTION("""COMPUTED_VALUE"""),13350.0)</f>
        <v>13350</v>
      </c>
      <c r="D2062" s="1">
        <f>IFERROR(__xludf.DUMMYFUNCTION("""COMPUTED_VALUE"""),12050.0)</f>
        <v>12050</v>
      </c>
      <c r="E2062" s="1">
        <f>IFERROR(__xludf.DUMMYFUNCTION("""COMPUTED_VALUE"""),12350.0)</f>
        <v>12350</v>
      </c>
      <c r="F2062" s="1">
        <f>IFERROR(__xludf.DUMMYFUNCTION("""COMPUTED_VALUE"""),1545881.0)</f>
        <v>1545881</v>
      </c>
    </row>
    <row r="2063">
      <c r="A2063" s="2">
        <f>IFERROR(__xludf.DUMMYFUNCTION("""COMPUTED_VALUE"""),43980.64583333333)</f>
        <v>43980.64583</v>
      </c>
      <c r="B2063" s="1">
        <f>IFERROR(__xludf.DUMMYFUNCTION("""COMPUTED_VALUE"""),12300.0)</f>
        <v>12300</v>
      </c>
      <c r="C2063" s="1">
        <f>IFERROR(__xludf.DUMMYFUNCTION("""COMPUTED_VALUE"""),12750.0)</f>
        <v>12750</v>
      </c>
      <c r="D2063" s="1">
        <f>IFERROR(__xludf.DUMMYFUNCTION("""COMPUTED_VALUE"""),12200.0)</f>
        <v>12200</v>
      </c>
      <c r="E2063" s="1">
        <f>IFERROR(__xludf.DUMMYFUNCTION("""COMPUTED_VALUE"""),12450.0)</f>
        <v>12450</v>
      </c>
      <c r="F2063" s="1">
        <f>IFERROR(__xludf.DUMMYFUNCTION("""COMPUTED_VALUE"""),326577.0)</f>
        <v>326577</v>
      </c>
    </row>
    <row r="2064">
      <c r="A2064" s="2">
        <f>IFERROR(__xludf.DUMMYFUNCTION("""COMPUTED_VALUE"""),43983.64583333333)</f>
        <v>43983.64583</v>
      </c>
      <c r="B2064" s="1">
        <f>IFERROR(__xludf.DUMMYFUNCTION("""COMPUTED_VALUE"""),12500.0)</f>
        <v>12500</v>
      </c>
      <c r="C2064" s="1">
        <f>IFERROR(__xludf.DUMMYFUNCTION("""COMPUTED_VALUE"""),12750.0)</f>
        <v>12750</v>
      </c>
      <c r="D2064" s="1">
        <f>IFERROR(__xludf.DUMMYFUNCTION("""COMPUTED_VALUE"""),12450.0)</f>
        <v>12450</v>
      </c>
      <c r="E2064" s="1">
        <f>IFERROR(__xludf.DUMMYFUNCTION("""COMPUTED_VALUE"""),12500.0)</f>
        <v>12500</v>
      </c>
      <c r="F2064" s="1">
        <f>IFERROR(__xludf.DUMMYFUNCTION("""COMPUTED_VALUE"""),174625.0)</f>
        <v>174625</v>
      </c>
    </row>
    <row r="2065">
      <c r="A2065" s="2">
        <f>IFERROR(__xludf.DUMMYFUNCTION("""COMPUTED_VALUE"""),43984.64583333333)</f>
        <v>43984.64583</v>
      </c>
      <c r="B2065" s="1">
        <f>IFERROR(__xludf.DUMMYFUNCTION("""COMPUTED_VALUE"""),12550.0)</f>
        <v>12550</v>
      </c>
      <c r="C2065" s="1">
        <f>IFERROR(__xludf.DUMMYFUNCTION("""COMPUTED_VALUE"""),13000.0)</f>
        <v>13000</v>
      </c>
      <c r="D2065" s="1">
        <f>IFERROR(__xludf.DUMMYFUNCTION("""COMPUTED_VALUE"""),12550.0)</f>
        <v>12550</v>
      </c>
      <c r="E2065" s="1">
        <f>IFERROR(__xludf.DUMMYFUNCTION("""COMPUTED_VALUE"""),12750.0)</f>
        <v>12750</v>
      </c>
      <c r="F2065" s="1">
        <f>IFERROR(__xludf.DUMMYFUNCTION("""COMPUTED_VALUE"""),335390.0)</f>
        <v>335390</v>
      </c>
    </row>
    <row r="2066">
      <c r="A2066" s="2">
        <f>IFERROR(__xludf.DUMMYFUNCTION("""COMPUTED_VALUE"""),43985.64583333333)</f>
        <v>43985.64583</v>
      </c>
      <c r="B2066" s="1">
        <f>IFERROR(__xludf.DUMMYFUNCTION("""COMPUTED_VALUE"""),12850.0)</f>
        <v>12850</v>
      </c>
      <c r="C2066" s="1">
        <f>IFERROR(__xludf.DUMMYFUNCTION("""COMPUTED_VALUE"""),12950.0)</f>
        <v>12950</v>
      </c>
      <c r="D2066" s="1">
        <f>IFERROR(__xludf.DUMMYFUNCTION("""COMPUTED_VALUE"""),12350.0)</f>
        <v>12350</v>
      </c>
      <c r="E2066" s="1">
        <f>IFERROR(__xludf.DUMMYFUNCTION("""COMPUTED_VALUE"""),12450.0)</f>
        <v>12450</v>
      </c>
      <c r="F2066" s="1">
        <f>IFERROR(__xludf.DUMMYFUNCTION("""COMPUTED_VALUE"""),209585.0)</f>
        <v>209585</v>
      </c>
    </row>
    <row r="2067">
      <c r="A2067" s="2">
        <f>IFERROR(__xludf.DUMMYFUNCTION("""COMPUTED_VALUE"""),43986.64583333333)</f>
        <v>43986.64583</v>
      </c>
      <c r="B2067" s="1">
        <f>IFERROR(__xludf.DUMMYFUNCTION("""COMPUTED_VALUE"""),12400.0)</f>
        <v>12400</v>
      </c>
      <c r="C2067" s="1">
        <f>IFERROR(__xludf.DUMMYFUNCTION("""COMPUTED_VALUE"""),12700.0)</f>
        <v>12700</v>
      </c>
      <c r="D2067" s="1">
        <f>IFERROR(__xludf.DUMMYFUNCTION("""COMPUTED_VALUE"""),12400.0)</f>
        <v>12400</v>
      </c>
      <c r="E2067" s="1">
        <f>IFERROR(__xludf.DUMMYFUNCTION("""COMPUTED_VALUE"""),12650.0)</f>
        <v>12650</v>
      </c>
      <c r="F2067" s="1">
        <f>IFERROR(__xludf.DUMMYFUNCTION("""COMPUTED_VALUE"""),186471.0)</f>
        <v>186471</v>
      </c>
    </row>
    <row r="2068">
      <c r="A2068" s="2">
        <f>IFERROR(__xludf.DUMMYFUNCTION("""COMPUTED_VALUE"""),43987.64583333333)</f>
        <v>43987.64583</v>
      </c>
      <c r="B2068" s="1">
        <f>IFERROR(__xludf.DUMMYFUNCTION("""COMPUTED_VALUE"""),12700.0)</f>
        <v>12700</v>
      </c>
      <c r="C2068" s="1">
        <f>IFERROR(__xludf.DUMMYFUNCTION("""COMPUTED_VALUE"""),13250.0)</f>
        <v>13250</v>
      </c>
      <c r="D2068" s="1">
        <f>IFERROR(__xludf.DUMMYFUNCTION("""COMPUTED_VALUE"""),12600.0)</f>
        <v>12600</v>
      </c>
      <c r="E2068" s="1">
        <f>IFERROR(__xludf.DUMMYFUNCTION("""COMPUTED_VALUE"""),12800.0)</f>
        <v>12800</v>
      </c>
      <c r="F2068" s="1">
        <f>IFERROR(__xludf.DUMMYFUNCTION("""COMPUTED_VALUE"""),531286.0)</f>
        <v>531286</v>
      </c>
    </row>
    <row r="2069">
      <c r="A2069" s="2">
        <f>IFERROR(__xludf.DUMMYFUNCTION("""COMPUTED_VALUE"""),43990.64583333333)</f>
        <v>43990.64583</v>
      </c>
      <c r="B2069" s="1">
        <f>IFERROR(__xludf.DUMMYFUNCTION("""COMPUTED_VALUE"""),12700.0)</f>
        <v>12700</v>
      </c>
      <c r="C2069" s="1">
        <f>IFERROR(__xludf.DUMMYFUNCTION("""COMPUTED_VALUE"""),12700.0)</f>
        <v>12700</v>
      </c>
      <c r="D2069" s="1">
        <f>IFERROR(__xludf.DUMMYFUNCTION("""COMPUTED_VALUE"""),12400.0)</f>
        <v>12400</v>
      </c>
      <c r="E2069" s="1">
        <f>IFERROR(__xludf.DUMMYFUNCTION("""COMPUTED_VALUE"""),12550.0)</f>
        <v>12550</v>
      </c>
      <c r="F2069" s="1">
        <f>IFERROR(__xludf.DUMMYFUNCTION("""COMPUTED_VALUE"""),247530.0)</f>
        <v>247530</v>
      </c>
    </row>
    <row r="2070">
      <c r="A2070" s="2">
        <f>IFERROR(__xludf.DUMMYFUNCTION("""COMPUTED_VALUE"""),43991.64583333333)</f>
        <v>43991.64583</v>
      </c>
      <c r="B2070" s="1">
        <f>IFERROR(__xludf.DUMMYFUNCTION("""COMPUTED_VALUE"""),12200.0)</f>
        <v>12200</v>
      </c>
      <c r="C2070" s="1">
        <f>IFERROR(__xludf.DUMMYFUNCTION("""COMPUTED_VALUE"""),12300.0)</f>
        <v>12300</v>
      </c>
      <c r="D2070" s="1">
        <f>IFERROR(__xludf.DUMMYFUNCTION("""COMPUTED_VALUE"""),12050.0)</f>
        <v>12050</v>
      </c>
      <c r="E2070" s="1">
        <f>IFERROR(__xludf.DUMMYFUNCTION("""COMPUTED_VALUE"""),12150.0)</f>
        <v>12150</v>
      </c>
      <c r="F2070" s="1">
        <f>IFERROR(__xludf.DUMMYFUNCTION("""COMPUTED_VALUE"""),254926.0)</f>
        <v>254926</v>
      </c>
    </row>
    <row r="2071">
      <c r="A2071" s="2">
        <f>IFERROR(__xludf.DUMMYFUNCTION("""COMPUTED_VALUE"""),43992.64583333333)</f>
        <v>43992.64583</v>
      </c>
      <c r="B2071" s="1">
        <f>IFERROR(__xludf.DUMMYFUNCTION("""COMPUTED_VALUE"""),12150.0)</f>
        <v>12150</v>
      </c>
      <c r="C2071" s="1">
        <f>IFERROR(__xludf.DUMMYFUNCTION("""COMPUTED_VALUE"""),12150.0)</f>
        <v>12150</v>
      </c>
      <c r="D2071" s="1">
        <f>IFERROR(__xludf.DUMMYFUNCTION("""COMPUTED_VALUE"""),11700.0)</f>
        <v>11700</v>
      </c>
      <c r="E2071" s="1">
        <f>IFERROR(__xludf.DUMMYFUNCTION("""COMPUTED_VALUE"""),11900.0)</f>
        <v>11900</v>
      </c>
      <c r="F2071" s="1">
        <f>IFERROR(__xludf.DUMMYFUNCTION("""COMPUTED_VALUE"""),200241.0)</f>
        <v>200241</v>
      </c>
    </row>
    <row r="2072">
      <c r="A2072" s="2">
        <f>IFERROR(__xludf.DUMMYFUNCTION("""COMPUTED_VALUE"""),43993.64583333333)</f>
        <v>43993.64583</v>
      </c>
      <c r="B2072" s="1">
        <f>IFERROR(__xludf.DUMMYFUNCTION("""COMPUTED_VALUE"""),11950.0)</f>
        <v>11950</v>
      </c>
      <c r="C2072" s="1">
        <f>IFERROR(__xludf.DUMMYFUNCTION("""COMPUTED_VALUE"""),12150.0)</f>
        <v>12150</v>
      </c>
      <c r="D2072" s="1">
        <f>IFERROR(__xludf.DUMMYFUNCTION("""COMPUTED_VALUE"""),11700.0)</f>
        <v>11700</v>
      </c>
      <c r="E2072" s="1">
        <f>IFERROR(__xludf.DUMMYFUNCTION("""COMPUTED_VALUE"""),11800.0)</f>
        <v>11800</v>
      </c>
      <c r="F2072" s="1">
        <f>IFERROR(__xludf.DUMMYFUNCTION("""COMPUTED_VALUE"""),140834.0)</f>
        <v>140834</v>
      </c>
    </row>
    <row r="2073">
      <c r="A2073" s="2">
        <f>IFERROR(__xludf.DUMMYFUNCTION("""COMPUTED_VALUE"""),43994.64583333333)</f>
        <v>43994.64583</v>
      </c>
      <c r="B2073" s="1">
        <f>IFERROR(__xludf.DUMMYFUNCTION("""COMPUTED_VALUE"""),10800.0)</f>
        <v>10800</v>
      </c>
      <c r="C2073" s="1">
        <f>IFERROR(__xludf.DUMMYFUNCTION("""COMPUTED_VALUE"""),11700.0)</f>
        <v>11700</v>
      </c>
      <c r="D2073" s="1">
        <f>IFERROR(__xludf.DUMMYFUNCTION("""COMPUTED_VALUE"""),10500.0)</f>
        <v>10500</v>
      </c>
      <c r="E2073" s="1">
        <f>IFERROR(__xludf.DUMMYFUNCTION("""COMPUTED_VALUE"""),11500.0)</f>
        <v>11500</v>
      </c>
      <c r="F2073" s="1">
        <f>IFERROR(__xludf.DUMMYFUNCTION("""COMPUTED_VALUE"""),200792.0)</f>
        <v>200792</v>
      </c>
    </row>
    <row r="2074">
      <c r="A2074" s="2">
        <f>IFERROR(__xludf.DUMMYFUNCTION("""COMPUTED_VALUE"""),43997.64583333333)</f>
        <v>43997.64583</v>
      </c>
      <c r="B2074" s="1">
        <f>IFERROR(__xludf.DUMMYFUNCTION("""COMPUTED_VALUE"""),11250.0)</f>
        <v>11250</v>
      </c>
      <c r="C2074" s="1">
        <f>IFERROR(__xludf.DUMMYFUNCTION("""COMPUTED_VALUE"""),11400.0)</f>
        <v>11400</v>
      </c>
      <c r="D2074" s="1">
        <f>IFERROR(__xludf.DUMMYFUNCTION("""COMPUTED_VALUE"""),10200.0)</f>
        <v>10200</v>
      </c>
      <c r="E2074" s="1">
        <f>IFERROR(__xludf.DUMMYFUNCTION("""COMPUTED_VALUE"""),10300.0)</f>
        <v>10300</v>
      </c>
      <c r="F2074" s="1">
        <f>IFERROR(__xludf.DUMMYFUNCTION("""COMPUTED_VALUE"""),271915.0)</f>
        <v>271915</v>
      </c>
    </row>
    <row r="2075">
      <c r="A2075" s="2">
        <f>IFERROR(__xludf.DUMMYFUNCTION("""COMPUTED_VALUE"""),43998.64583333333)</f>
        <v>43998.64583</v>
      </c>
      <c r="B2075" s="1">
        <f>IFERROR(__xludf.DUMMYFUNCTION("""COMPUTED_VALUE"""),10700.0)</f>
        <v>10700</v>
      </c>
      <c r="C2075" s="1">
        <f>IFERROR(__xludf.DUMMYFUNCTION("""COMPUTED_VALUE"""),11350.0)</f>
        <v>11350</v>
      </c>
      <c r="D2075" s="1">
        <f>IFERROR(__xludf.DUMMYFUNCTION("""COMPUTED_VALUE"""),10550.0)</f>
        <v>10550</v>
      </c>
      <c r="E2075" s="1">
        <f>IFERROR(__xludf.DUMMYFUNCTION("""COMPUTED_VALUE"""),11150.0)</f>
        <v>11150</v>
      </c>
      <c r="F2075" s="1">
        <f>IFERROR(__xludf.DUMMYFUNCTION("""COMPUTED_VALUE"""),221905.0)</f>
        <v>221905</v>
      </c>
    </row>
    <row r="2076">
      <c r="A2076" s="2">
        <f>IFERROR(__xludf.DUMMYFUNCTION("""COMPUTED_VALUE"""),43999.64583333333)</f>
        <v>43999.64583</v>
      </c>
      <c r="B2076" s="1">
        <f>IFERROR(__xludf.DUMMYFUNCTION("""COMPUTED_VALUE"""),10750.0)</f>
        <v>10750</v>
      </c>
      <c r="C2076" s="1">
        <f>IFERROR(__xludf.DUMMYFUNCTION("""COMPUTED_VALUE"""),11050.0)</f>
        <v>11050</v>
      </c>
      <c r="D2076" s="1">
        <f>IFERROR(__xludf.DUMMYFUNCTION("""COMPUTED_VALUE"""),10450.0)</f>
        <v>10450</v>
      </c>
      <c r="E2076" s="1">
        <f>IFERROR(__xludf.DUMMYFUNCTION("""COMPUTED_VALUE"""),10650.0)</f>
        <v>10650</v>
      </c>
      <c r="F2076" s="1">
        <f>IFERROR(__xludf.DUMMYFUNCTION("""COMPUTED_VALUE"""),221413.0)</f>
        <v>221413</v>
      </c>
    </row>
    <row r="2077">
      <c r="A2077" s="2">
        <f>IFERROR(__xludf.DUMMYFUNCTION("""COMPUTED_VALUE"""),44000.64583333333)</f>
        <v>44000.64583</v>
      </c>
      <c r="B2077" s="1">
        <f>IFERROR(__xludf.DUMMYFUNCTION("""COMPUTED_VALUE"""),10750.0)</f>
        <v>10750</v>
      </c>
      <c r="C2077" s="1">
        <f>IFERROR(__xludf.DUMMYFUNCTION("""COMPUTED_VALUE"""),11250.0)</f>
        <v>11250</v>
      </c>
      <c r="D2077" s="1">
        <f>IFERROR(__xludf.DUMMYFUNCTION("""COMPUTED_VALUE"""),10400.0)</f>
        <v>10400</v>
      </c>
      <c r="E2077" s="1">
        <f>IFERROR(__xludf.DUMMYFUNCTION("""COMPUTED_VALUE"""),11200.0)</f>
        <v>11200</v>
      </c>
      <c r="F2077" s="1">
        <f>IFERROR(__xludf.DUMMYFUNCTION("""COMPUTED_VALUE"""),174521.0)</f>
        <v>174521</v>
      </c>
    </row>
    <row r="2078">
      <c r="A2078" s="2">
        <f>IFERROR(__xludf.DUMMYFUNCTION("""COMPUTED_VALUE"""),44001.64583333333)</f>
        <v>44001.64583</v>
      </c>
      <c r="B2078" s="1">
        <f>IFERROR(__xludf.DUMMYFUNCTION("""COMPUTED_VALUE"""),11150.0)</f>
        <v>11150</v>
      </c>
      <c r="C2078" s="1">
        <f>IFERROR(__xludf.DUMMYFUNCTION("""COMPUTED_VALUE"""),12150.0)</f>
        <v>12150</v>
      </c>
      <c r="D2078" s="1">
        <f>IFERROR(__xludf.DUMMYFUNCTION("""COMPUTED_VALUE"""),10850.0)</f>
        <v>10850</v>
      </c>
      <c r="E2078" s="1">
        <f>IFERROR(__xludf.DUMMYFUNCTION("""COMPUTED_VALUE"""),11450.0)</f>
        <v>11450</v>
      </c>
      <c r="F2078" s="1">
        <f>IFERROR(__xludf.DUMMYFUNCTION("""COMPUTED_VALUE"""),531137.0)</f>
        <v>531137</v>
      </c>
    </row>
    <row r="2079">
      <c r="A2079" s="2">
        <f>IFERROR(__xludf.DUMMYFUNCTION("""COMPUTED_VALUE"""),44004.64583333333)</f>
        <v>44004.64583</v>
      </c>
      <c r="B2079" s="1">
        <f>IFERROR(__xludf.DUMMYFUNCTION("""COMPUTED_VALUE"""),11600.0)</f>
        <v>11600</v>
      </c>
      <c r="C2079" s="1">
        <f>IFERROR(__xludf.DUMMYFUNCTION("""COMPUTED_VALUE"""),11600.0)</f>
        <v>11600</v>
      </c>
      <c r="D2079" s="1">
        <f>IFERROR(__xludf.DUMMYFUNCTION("""COMPUTED_VALUE"""),11000.0)</f>
        <v>11000</v>
      </c>
      <c r="E2079" s="1">
        <f>IFERROR(__xludf.DUMMYFUNCTION("""COMPUTED_VALUE"""),11150.0)</f>
        <v>11150</v>
      </c>
      <c r="F2079" s="1">
        <f>IFERROR(__xludf.DUMMYFUNCTION("""COMPUTED_VALUE"""),151723.0)</f>
        <v>151723</v>
      </c>
    </row>
    <row r="2080">
      <c r="A2080" s="2">
        <f>IFERROR(__xludf.DUMMYFUNCTION("""COMPUTED_VALUE"""),44005.64583333333)</f>
        <v>44005.64583</v>
      </c>
      <c r="B2080" s="1">
        <f>IFERROR(__xludf.DUMMYFUNCTION("""COMPUTED_VALUE"""),11200.0)</f>
        <v>11200</v>
      </c>
      <c r="C2080" s="1">
        <f>IFERROR(__xludf.DUMMYFUNCTION("""COMPUTED_VALUE"""),11300.0)</f>
        <v>11300</v>
      </c>
      <c r="D2080" s="1">
        <f>IFERROR(__xludf.DUMMYFUNCTION("""COMPUTED_VALUE"""),10700.0)</f>
        <v>10700</v>
      </c>
      <c r="E2080" s="1">
        <f>IFERROR(__xludf.DUMMYFUNCTION("""COMPUTED_VALUE"""),10850.0)</f>
        <v>10850</v>
      </c>
      <c r="F2080" s="1">
        <f>IFERROR(__xludf.DUMMYFUNCTION("""COMPUTED_VALUE"""),143076.0)</f>
        <v>143076</v>
      </c>
    </row>
    <row r="2081">
      <c r="A2081" s="2">
        <f>IFERROR(__xludf.DUMMYFUNCTION("""COMPUTED_VALUE"""),44006.64583333333)</f>
        <v>44006.64583</v>
      </c>
      <c r="B2081" s="1">
        <f>IFERROR(__xludf.DUMMYFUNCTION("""COMPUTED_VALUE"""),11900.0)</f>
        <v>11900</v>
      </c>
      <c r="C2081" s="1">
        <f>IFERROR(__xludf.DUMMYFUNCTION("""COMPUTED_VALUE"""),11900.0)</f>
        <v>11900</v>
      </c>
      <c r="D2081" s="1">
        <f>IFERROR(__xludf.DUMMYFUNCTION("""COMPUTED_VALUE"""),11250.0)</f>
        <v>11250</v>
      </c>
      <c r="E2081" s="1">
        <f>IFERROR(__xludf.DUMMYFUNCTION("""COMPUTED_VALUE"""),11750.0)</f>
        <v>11750</v>
      </c>
      <c r="F2081" s="1">
        <f>IFERROR(__xludf.DUMMYFUNCTION("""COMPUTED_VALUE"""),404495.0)</f>
        <v>404495</v>
      </c>
    </row>
    <row r="2082">
      <c r="A2082" s="2">
        <f>IFERROR(__xludf.DUMMYFUNCTION("""COMPUTED_VALUE"""),44007.64583333333)</f>
        <v>44007.64583</v>
      </c>
      <c r="B2082" s="1">
        <f>IFERROR(__xludf.DUMMYFUNCTION("""COMPUTED_VALUE"""),11450.0)</f>
        <v>11450</v>
      </c>
      <c r="C2082" s="1">
        <f>IFERROR(__xludf.DUMMYFUNCTION("""COMPUTED_VALUE"""),11650.0)</f>
        <v>11650</v>
      </c>
      <c r="D2082" s="1">
        <f>IFERROR(__xludf.DUMMYFUNCTION("""COMPUTED_VALUE"""),11150.0)</f>
        <v>11150</v>
      </c>
      <c r="E2082" s="1">
        <f>IFERROR(__xludf.DUMMYFUNCTION("""COMPUTED_VALUE"""),11300.0)</f>
        <v>11300</v>
      </c>
      <c r="F2082" s="1">
        <f>IFERROR(__xludf.DUMMYFUNCTION("""COMPUTED_VALUE"""),151251.0)</f>
        <v>151251</v>
      </c>
    </row>
    <row r="2083">
      <c r="A2083" s="2">
        <f>IFERROR(__xludf.DUMMYFUNCTION("""COMPUTED_VALUE"""),44008.64583333333)</f>
        <v>44008.64583</v>
      </c>
      <c r="B2083" s="1">
        <f>IFERROR(__xludf.DUMMYFUNCTION("""COMPUTED_VALUE"""),11600.0)</f>
        <v>11600</v>
      </c>
      <c r="C2083" s="1">
        <f>IFERROR(__xludf.DUMMYFUNCTION("""COMPUTED_VALUE"""),11600.0)</f>
        <v>11600</v>
      </c>
      <c r="D2083" s="1">
        <f>IFERROR(__xludf.DUMMYFUNCTION("""COMPUTED_VALUE"""),11000.0)</f>
        <v>11000</v>
      </c>
      <c r="E2083" s="1">
        <f>IFERROR(__xludf.DUMMYFUNCTION("""COMPUTED_VALUE"""),11250.0)</f>
        <v>11250</v>
      </c>
      <c r="F2083" s="1">
        <f>IFERROR(__xludf.DUMMYFUNCTION("""COMPUTED_VALUE"""),106827.0)</f>
        <v>106827</v>
      </c>
    </row>
    <row r="2084">
      <c r="A2084" s="2">
        <f>IFERROR(__xludf.DUMMYFUNCTION("""COMPUTED_VALUE"""),44011.64583333333)</f>
        <v>44011.64583</v>
      </c>
      <c r="B2084" s="1">
        <f>IFERROR(__xludf.DUMMYFUNCTION("""COMPUTED_VALUE"""),11150.0)</f>
        <v>11150</v>
      </c>
      <c r="C2084" s="1">
        <f>IFERROR(__xludf.DUMMYFUNCTION("""COMPUTED_VALUE"""),12150.0)</f>
        <v>12150</v>
      </c>
      <c r="D2084" s="1">
        <f>IFERROR(__xludf.DUMMYFUNCTION("""COMPUTED_VALUE"""),11150.0)</f>
        <v>11150</v>
      </c>
      <c r="E2084" s="1">
        <f>IFERROR(__xludf.DUMMYFUNCTION("""COMPUTED_VALUE"""),11600.0)</f>
        <v>11600</v>
      </c>
      <c r="F2084" s="1">
        <f>IFERROR(__xludf.DUMMYFUNCTION("""COMPUTED_VALUE"""),557711.0)</f>
        <v>557711</v>
      </c>
    </row>
    <row r="2085">
      <c r="A2085" s="2">
        <f>IFERROR(__xludf.DUMMYFUNCTION("""COMPUTED_VALUE"""),44012.64583333333)</f>
        <v>44012.64583</v>
      </c>
      <c r="B2085" s="1">
        <f>IFERROR(__xludf.DUMMYFUNCTION("""COMPUTED_VALUE"""),11800.0)</f>
        <v>11800</v>
      </c>
      <c r="C2085" s="1">
        <f>IFERROR(__xludf.DUMMYFUNCTION("""COMPUTED_VALUE"""),11900.0)</f>
        <v>11900</v>
      </c>
      <c r="D2085" s="1">
        <f>IFERROR(__xludf.DUMMYFUNCTION("""COMPUTED_VALUE"""),11450.0)</f>
        <v>11450</v>
      </c>
      <c r="E2085" s="1">
        <f>IFERROR(__xludf.DUMMYFUNCTION("""COMPUTED_VALUE"""),11650.0)</f>
        <v>11650</v>
      </c>
      <c r="F2085" s="1">
        <f>IFERROR(__xludf.DUMMYFUNCTION("""COMPUTED_VALUE"""),189671.0)</f>
        <v>189671</v>
      </c>
    </row>
    <row r="2086">
      <c r="A2086" s="2">
        <f>IFERROR(__xludf.DUMMYFUNCTION("""COMPUTED_VALUE"""),44013.64583333333)</f>
        <v>44013.64583</v>
      </c>
      <c r="B2086" s="1">
        <f>IFERROR(__xludf.DUMMYFUNCTION("""COMPUTED_VALUE"""),11850.0)</f>
        <v>11850</v>
      </c>
      <c r="C2086" s="1">
        <f>IFERROR(__xludf.DUMMYFUNCTION("""COMPUTED_VALUE"""),14500.0)</f>
        <v>14500</v>
      </c>
      <c r="D2086" s="1">
        <f>IFERROR(__xludf.DUMMYFUNCTION("""COMPUTED_VALUE"""),11600.0)</f>
        <v>11600</v>
      </c>
      <c r="E2086" s="1">
        <f>IFERROR(__xludf.DUMMYFUNCTION("""COMPUTED_VALUE"""),12300.0)</f>
        <v>12300</v>
      </c>
      <c r="F2086" s="1">
        <f>IFERROR(__xludf.DUMMYFUNCTION("""COMPUTED_VALUE"""),6890639.0)</f>
        <v>6890639</v>
      </c>
    </row>
    <row r="2087">
      <c r="A2087" s="2">
        <f>IFERROR(__xludf.DUMMYFUNCTION("""COMPUTED_VALUE"""),44014.64583333333)</f>
        <v>44014.64583</v>
      </c>
      <c r="B2087" s="1">
        <f>IFERROR(__xludf.DUMMYFUNCTION("""COMPUTED_VALUE"""),12350.0)</f>
        <v>12350</v>
      </c>
      <c r="C2087" s="1">
        <f>IFERROR(__xludf.DUMMYFUNCTION("""COMPUTED_VALUE"""),12700.0)</f>
        <v>12700</v>
      </c>
      <c r="D2087" s="1">
        <f>IFERROR(__xludf.DUMMYFUNCTION("""COMPUTED_VALUE"""),12100.0)</f>
        <v>12100</v>
      </c>
      <c r="E2087" s="1">
        <f>IFERROR(__xludf.DUMMYFUNCTION("""COMPUTED_VALUE"""),12450.0)</f>
        <v>12450</v>
      </c>
      <c r="F2087" s="1">
        <f>IFERROR(__xludf.DUMMYFUNCTION("""COMPUTED_VALUE"""),652651.0)</f>
        <v>652651</v>
      </c>
    </row>
    <row r="2088">
      <c r="A2088" s="2">
        <f>IFERROR(__xludf.DUMMYFUNCTION("""COMPUTED_VALUE"""),44015.64583333333)</f>
        <v>44015.64583</v>
      </c>
      <c r="B2088" s="1">
        <f>IFERROR(__xludf.DUMMYFUNCTION("""COMPUTED_VALUE"""),12650.0)</f>
        <v>12650</v>
      </c>
      <c r="C2088" s="1">
        <f>IFERROR(__xludf.DUMMYFUNCTION("""COMPUTED_VALUE"""),12850.0)</f>
        <v>12850</v>
      </c>
      <c r="D2088" s="1">
        <f>IFERROR(__xludf.DUMMYFUNCTION("""COMPUTED_VALUE"""),12200.0)</f>
        <v>12200</v>
      </c>
      <c r="E2088" s="1">
        <f>IFERROR(__xludf.DUMMYFUNCTION("""COMPUTED_VALUE"""),12850.0)</f>
        <v>12850</v>
      </c>
      <c r="F2088" s="1">
        <f>IFERROR(__xludf.DUMMYFUNCTION("""COMPUTED_VALUE"""),1067742.0)</f>
        <v>1067742</v>
      </c>
    </row>
    <row r="2089">
      <c r="A2089" s="2">
        <f>IFERROR(__xludf.DUMMYFUNCTION("""COMPUTED_VALUE"""),44018.64583333333)</f>
        <v>44018.64583</v>
      </c>
      <c r="B2089" s="1">
        <f>IFERROR(__xludf.DUMMYFUNCTION("""COMPUTED_VALUE"""),13400.0)</f>
        <v>13400</v>
      </c>
      <c r="C2089" s="1">
        <f>IFERROR(__xludf.DUMMYFUNCTION("""COMPUTED_VALUE"""),14700.0)</f>
        <v>14700</v>
      </c>
      <c r="D2089" s="1">
        <f>IFERROR(__xludf.DUMMYFUNCTION("""COMPUTED_VALUE"""),13250.0)</f>
        <v>13250</v>
      </c>
      <c r="E2089" s="1">
        <f>IFERROR(__xludf.DUMMYFUNCTION("""COMPUTED_VALUE"""),13250.0)</f>
        <v>13250</v>
      </c>
      <c r="F2089" s="1">
        <f>IFERROR(__xludf.DUMMYFUNCTION("""COMPUTED_VALUE"""),6124250.0)</f>
        <v>6124250</v>
      </c>
    </row>
    <row r="2090">
      <c r="A2090" s="2">
        <f>IFERROR(__xludf.DUMMYFUNCTION("""COMPUTED_VALUE"""),44019.64583333333)</f>
        <v>44019.64583</v>
      </c>
      <c r="B2090" s="1">
        <f>IFERROR(__xludf.DUMMYFUNCTION("""COMPUTED_VALUE"""),12950.0)</f>
        <v>12950</v>
      </c>
      <c r="C2090" s="1">
        <f>IFERROR(__xludf.DUMMYFUNCTION("""COMPUTED_VALUE"""),13150.0)</f>
        <v>13150</v>
      </c>
      <c r="D2090" s="1">
        <f>IFERROR(__xludf.DUMMYFUNCTION("""COMPUTED_VALUE"""),12450.0)</f>
        <v>12450</v>
      </c>
      <c r="E2090" s="1">
        <f>IFERROR(__xludf.DUMMYFUNCTION("""COMPUTED_VALUE"""),12550.0)</f>
        <v>12550</v>
      </c>
      <c r="F2090" s="1">
        <f>IFERROR(__xludf.DUMMYFUNCTION("""COMPUTED_VALUE"""),534235.0)</f>
        <v>534235</v>
      </c>
    </row>
    <row r="2091">
      <c r="A2091" s="2">
        <f>IFERROR(__xludf.DUMMYFUNCTION("""COMPUTED_VALUE"""),44020.64583333333)</f>
        <v>44020.64583</v>
      </c>
      <c r="B2091" s="1">
        <f>IFERROR(__xludf.DUMMYFUNCTION("""COMPUTED_VALUE"""),12600.0)</f>
        <v>12600</v>
      </c>
      <c r="C2091" s="1">
        <f>IFERROR(__xludf.DUMMYFUNCTION("""COMPUTED_VALUE"""),14200.0)</f>
        <v>14200</v>
      </c>
      <c r="D2091" s="1">
        <f>IFERROR(__xludf.DUMMYFUNCTION("""COMPUTED_VALUE"""),12400.0)</f>
        <v>12400</v>
      </c>
      <c r="E2091" s="1">
        <f>IFERROR(__xludf.DUMMYFUNCTION("""COMPUTED_VALUE"""),13200.0)</f>
        <v>13200</v>
      </c>
      <c r="F2091" s="1">
        <f>IFERROR(__xludf.DUMMYFUNCTION("""COMPUTED_VALUE"""),2321132.0)</f>
        <v>2321132</v>
      </c>
    </row>
    <row r="2092">
      <c r="A2092" s="2">
        <f>IFERROR(__xludf.DUMMYFUNCTION("""COMPUTED_VALUE"""),44021.64583333333)</f>
        <v>44021.64583</v>
      </c>
      <c r="B2092" s="1">
        <f>IFERROR(__xludf.DUMMYFUNCTION("""COMPUTED_VALUE"""),13250.0)</f>
        <v>13250</v>
      </c>
      <c r="C2092" s="1">
        <f>IFERROR(__xludf.DUMMYFUNCTION("""COMPUTED_VALUE"""),13400.0)</f>
        <v>13400</v>
      </c>
      <c r="D2092" s="1">
        <f>IFERROR(__xludf.DUMMYFUNCTION("""COMPUTED_VALUE"""),12800.0)</f>
        <v>12800</v>
      </c>
      <c r="E2092" s="1">
        <f>IFERROR(__xludf.DUMMYFUNCTION("""COMPUTED_VALUE"""),12800.0)</f>
        <v>12800</v>
      </c>
      <c r="F2092" s="1">
        <f>IFERROR(__xludf.DUMMYFUNCTION("""COMPUTED_VALUE"""),504005.0)</f>
        <v>504005</v>
      </c>
    </row>
    <row r="2093">
      <c r="A2093" s="2">
        <f>IFERROR(__xludf.DUMMYFUNCTION("""COMPUTED_VALUE"""),44022.64583333333)</f>
        <v>44022.64583</v>
      </c>
      <c r="B2093" s="1">
        <f>IFERROR(__xludf.DUMMYFUNCTION("""COMPUTED_VALUE"""),12950.0)</f>
        <v>12950</v>
      </c>
      <c r="C2093" s="1">
        <f>IFERROR(__xludf.DUMMYFUNCTION("""COMPUTED_VALUE"""),13350.0)</f>
        <v>13350</v>
      </c>
      <c r="D2093" s="1">
        <f>IFERROR(__xludf.DUMMYFUNCTION("""COMPUTED_VALUE"""),12500.0)</f>
        <v>12500</v>
      </c>
      <c r="E2093" s="1">
        <f>IFERROR(__xludf.DUMMYFUNCTION("""COMPUTED_VALUE"""),12500.0)</f>
        <v>12500</v>
      </c>
      <c r="F2093" s="1">
        <f>IFERROR(__xludf.DUMMYFUNCTION("""COMPUTED_VALUE"""),433516.0)</f>
        <v>433516</v>
      </c>
    </row>
    <row r="2094">
      <c r="A2094" s="2">
        <f>IFERROR(__xludf.DUMMYFUNCTION("""COMPUTED_VALUE"""),44025.64583333333)</f>
        <v>44025.64583</v>
      </c>
      <c r="B2094" s="1">
        <f>IFERROR(__xludf.DUMMYFUNCTION("""COMPUTED_VALUE"""),12650.0)</f>
        <v>12650</v>
      </c>
      <c r="C2094" s="1">
        <f>IFERROR(__xludf.DUMMYFUNCTION("""COMPUTED_VALUE"""),12700.0)</f>
        <v>12700</v>
      </c>
      <c r="D2094" s="1">
        <f>IFERROR(__xludf.DUMMYFUNCTION("""COMPUTED_VALUE"""),12300.0)</f>
        <v>12300</v>
      </c>
      <c r="E2094" s="1">
        <f>IFERROR(__xludf.DUMMYFUNCTION("""COMPUTED_VALUE"""),12500.0)</f>
        <v>12500</v>
      </c>
      <c r="F2094" s="1">
        <f>IFERROR(__xludf.DUMMYFUNCTION("""COMPUTED_VALUE"""),183440.0)</f>
        <v>183440</v>
      </c>
    </row>
    <row r="2095">
      <c r="A2095" s="2">
        <f>IFERROR(__xludf.DUMMYFUNCTION("""COMPUTED_VALUE"""),44026.64583333333)</f>
        <v>44026.64583</v>
      </c>
      <c r="B2095" s="1">
        <f>IFERROR(__xludf.DUMMYFUNCTION("""COMPUTED_VALUE"""),12500.0)</f>
        <v>12500</v>
      </c>
      <c r="C2095" s="1">
        <f>IFERROR(__xludf.DUMMYFUNCTION("""COMPUTED_VALUE"""),12800.0)</f>
        <v>12800</v>
      </c>
      <c r="D2095" s="1">
        <f>IFERROR(__xludf.DUMMYFUNCTION("""COMPUTED_VALUE"""),12350.0)</f>
        <v>12350</v>
      </c>
      <c r="E2095" s="1">
        <f>IFERROR(__xludf.DUMMYFUNCTION("""COMPUTED_VALUE"""),12400.0)</f>
        <v>12400</v>
      </c>
      <c r="F2095" s="1">
        <f>IFERROR(__xludf.DUMMYFUNCTION("""COMPUTED_VALUE"""),253447.0)</f>
        <v>253447</v>
      </c>
    </row>
    <row r="2096">
      <c r="A2096" s="2">
        <f>IFERROR(__xludf.DUMMYFUNCTION("""COMPUTED_VALUE"""),44027.64583333333)</f>
        <v>44027.64583</v>
      </c>
      <c r="B2096" s="1">
        <f>IFERROR(__xludf.DUMMYFUNCTION("""COMPUTED_VALUE"""),12400.0)</f>
        <v>12400</v>
      </c>
      <c r="C2096" s="1">
        <f>IFERROR(__xludf.DUMMYFUNCTION("""COMPUTED_VALUE"""),12900.0)</f>
        <v>12900</v>
      </c>
      <c r="D2096" s="1">
        <f>IFERROR(__xludf.DUMMYFUNCTION("""COMPUTED_VALUE"""),12350.0)</f>
        <v>12350</v>
      </c>
      <c r="E2096" s="1">
        <f>IFERROR(__xludf.DUMMYFUNCTION("""COMPUTED_VALUE"""),12550.0)</f>
        <v>12550</v>
      </c>
      <c r="F2096" s="1">
        <f>IFERROR(__xludf.DUMMYFUNCTION("""COMPUTED_VALUE"""),192124.0)</f>
        <v>192124</v>
      </c>
    </row>
    <row r="2097">
      <c r="A2097" s="2">
        <f>IFERROR(__xludf.DUMMYFUNCTION("""COMPUTED_VALUE"""),44028.64583333333)</f>
        <v>44028.64583</v>
      </c>
      <c r="B2097" s="1">
        <f>IFERROR(__xludf.DUMMYFUNCTION("""COMPUTED_VALUE"""),12550.0)</f>
        <v>12550</v>
      </c>
      <c r="C2097" s="1">
        <f>IFERROR(__xludf.DUMMYFUNCTION("""COMPUTED_VALUE"""),12600.0)</f>
        <v>12600</v>
      </c>
      <c r="D2097" s="1">
        <f>IFERROR(__xludf.DUMMYFUNCTION("""COMPUTED_VALUE"""),12350.0)</f>
        <v>12350</v>
      </c>
      <c r="E2097" s="1">
        <f>IFERROR(__xludf.DUMMYFUNCTION("""COMPUTED_VALUE"""),12350.0)</f>
        <v>12350</v>
      </c>
      <c r="F2097" s="1">
        <f>IFERROR(__xludf.DUMMYFUNCTION("""COMPUTED_VALUE"""),137666.0)</f>
        <v>137666</v>
      </c>
    </row>
    <row r="2098">
      <c r="A2098" s="2">
        <f>IFERROR(__xludf.DUMMYFUNCTION("""COMPUTED_VALUE"""),44029.64583333333)</f>
        <v>44029.64583</v>
      </c>
      <c r="B2098" s="1">
        <f>IFERROR(__xludf.DUMMYFUNCTION("""COMPUTED_VALUE"""),12700.0)</f>
        <v>12700</v>
      </c>
      <c r="C2098" s="1">
        <f>IFERROR(__xludf.DUMMYFUNCTION("""COMPUTED_VALUE"""),12750.0)</f>
        <v>12750</v>
      </c>
      <c r="D2098" s="1">
        <f>IFERROR(__xludf.DUMMYFUNCTION("""COMPUTED_VALUE"""),12450.0)</f>
        <v>12450</v>
      </c>
      <c r="E2098" s="1">
        <f>IFERROR(__xludf.DUMMYFUNCTION("""COMPUTED_VALUE"""),12550.0)</f>
        <v>12550</v>
      </c>
      <c r="F2098" s="1">
        <f>IFERROR(__xludf.DUMMYFUNCTION("""COMPUTED_VALUE"""),147947.0)</f>
        <v>147947</v>
      </c>
    </row>
    <row r="2099">
      <c r="A2099" s="2">
        <f>IFERROR(__xludf.DUMMYFUNCTION("""COMPUTED_VALUE"""),44032.64583333333)</f>
        <v>44032.64583</v>
      </c>
      <c r="B2099" s="1">
        <f>IFERROR(__xludf.DUMMYFUNCTION("""COMPUTED_VALUE"""),12700.0)</f>
        <v>12700</v>
      </c>
      <c r="C2099" s="1">
        <f>IFERROR(__xludf.DUMMYFUNCTION("""COMPUTED_VALUE"""),12850.0)</f>
        <v>12850</v>
      </c>
      <c r="D2099" s="1">
        <f>IFERROR(__xludf.DUMMYFUNCTION("""COMPUTED_VALUE"""),12400.0)</f>
        <v>12400</v>
      </c>
      <c r="E2099" s="1">
        <f>IFERROR(__xludf.DUMMYFUNCTION("""COMPUTED_VALUE"""),12550.0)</f>
        <v>12550</v>
      </c>
      <c r="F2099" s="1">
        <f>IFERROR(__xludf.DUMMYFUNCTION("""COMPUTED_VALUE"""),183708.0)</f>
        <v>183708</v>
      </c>
    </row>
    <row r="2100">
      <c r="A2100" s="2">
        <f>IFERROR(__xludf.DUMMYFUNCTION("""COMPUTED_VALUE"""),44033.64583333333)</f>
        <v>44033.64583</v>
      </c>
      <c r="B2100" s="1">
        <f>IFERROR(__xludf.DUMMYFUNCTION("""COMPUTED_VALUE"""),12700.0)</f>
        <v>12700</v>
      </c>
      <c r="C2100" s="1">
        <f>IFERROR(__xludf.DUMMYFUNCTION("""COMPUTED_VALUE"""),13600.0)</f>
        <v>13600</v>
      </c>
      <c r="D2100" s="1">
        <f>IFERROR(__xludf.DUMMYFUNCTION("""COMPUTED_VALUE"""),12450.0)</f>
        <v>12450</v>
      </c>
      <c r="E2100" s="1">
        <f>IFERROR(__xludf.DUMMYFUNCTION("""COMPUTED_VALUE"""),13350.0)</f>
        <v>13350</v>
      </c>
      <c r="F2100" s="1">
        <f>IFERROR(__xludf.DUMMYFUNCTION("""COMPUTED_VALUE"""),970766.0)</f>
        <v>970766</v>
      </c>
    </row>
    <row r="2101">
      <c r="A2101" s="2">
        <f>IFERROR(__xludf.DUMMYFUNCTION("""COMPUTED_VALUE"""),44034.64583333333)</f>
        <v>44034.64583</v>
      </c>
      <c r="B2101" s="1">
        <f>IFERROR(__xludf.DUMMYFUNCTION("""COMPUTED_VALUE"""),13150.0)</f>
        <v>13150</v>
      </c>
      <c r="C2101" s="1">
        <f>IFERROR(__xludf.DUMMYFUNCTION("""COMPUTED_VALUE"""),13600.0)</f>
        <v>13600</v>
      </c>
      <c r="D2101" s="1">
        <f>IFERROR(__xludf.DUMMYFUNCTION("""COMPUTED_VALUE"""),13000.0)</f>
        <v>13000</v>
      </c>
      <c r="E2101" s="1">
        <f>IFERROR(__xludf.DUMMYFUNCTION("""COMPUTED_VALUE"""),13350.0)</f>
        <v>13350</v>
      </c>
      <c r="F2101" s="1">
        <f>IFERROR(__xludf.DUMMYFUNCTION("""COMPUTED_VALUE"""),351279.0)</f>
        <v>351279</v>
      </c>
    </row>
    <row r="2102">
      <c r="A2102" s="2">
        <f>IFERROR(__xludf.DUMMYFUNCTION("""COMPUTED_VALUE"""),44035.64583333333)</f>
        <v>44035.64583</v>
      </c>
      <c r="B2102" s="1">
        <f>IFERROR(__xludf.DUMMYFUNCTION("""COMPUTED_VALUE"""),13400.0)</f>
        <v>13400</v>
      </c>
      <c r="C2102" s="1">
        <f>IFERROR(__xludf.DUMMYFUNCTION("""COMPUTED_VALUE"""),14400.0)</f>
        <v>14400</v>
      </c>
      <c r="D2102" s="1">
        <f>IFERROR(__xludf.DUMMYFUNCTION("""COMPUTED_VALUE"""),13300.0)</f>
        <v>13300</v>
      </c>
      <c r="E2102" s="1">
        <f>IFERROR(__xludf.DUMMYFUNCTION("""COMPUTED_VALUE"""),13450.0)</f>
        <v>13450</v>
      </c>
      <c r="F2102" s="1">
        <f>IFERROR(__xludf.DUMMYFUNCTION("""COMPUTED_VALUE"""),901915.0)</f>
        <v>901915</v>
      </c>
    </row>
    <row r="2103">
      <c r="A2103" s="2">
        <f>IFERROR(__xludf.DUMMYFUNCTION("""COMPUTED_VALUE"""),44036.64583333333)</f>
        <v>44036.64583</v>
      </c>
      <c r="B2103" s="1">
        <f>IFERROR(__xludf.DUMMYFUNCTION("""COMPUTED_VALUE"""),13650.0)</f>
        <v>13650</v>
      </c>
      <c r="C2103" s="1">
        <f>IFERROR(__xludf.DUMMYFUNCTION("""COMPUTED_VALUE"""),13900.0)</f>
        <v>13900</v>
      </c>
      <c r="D2103" s="1">
        <f>IFERROR(__xludf.DUMMYFUNCTION("""COMPUTED_VALUE"""),13300.0)</f>
        <v>13300</v>
      </c>
      <c r="E2103" s="1">
        <f>IFERROR(__xludf.DUMMYFUNCTION("""COMPUTED_VALUE"""),13550.0)</f>
        <v>13550</v>
      </c>
      <c r="F2103" s="1">
        <f>IFERROR(__xludf.DUMMYFUNCTION("""COMPUTED_VALUE"""),434397.0)</f>
        <v>434397</v>
      </c>
    </row>
    <row r="2104">
      <c r="A2104" s="2">
        <f>IFERROR(__xludf.DUMMYFUNCTION("""COMPUTED_VALUE"""),44039.64583333333)</f>
        <v>44039.64583</v>
      </c>
      <c r="B2104" s="1">
        <f>IFERROR(__xludf.DUMMYFUNCTION("""COMPUTED_VALUE"""),13650.0)</f>
        <v>13650</v>
      </c>
      <c r="C2104" s="1">
        <f>IFERROR(__xludf.DUMMYFUNCTION("""COMPUTED_VALUE"""),14600.0)</f>
        <v>14600</v>
      </c>
      <c r="D2104" s="1">
        <f>IFERROR(__xludf.DUMMYFUNCTION("""COMPUTED_VALUE"""),13500.0)</f>
        <v>13500</v>
      </c>
      <c r="E2104" s="1">
        <f>IFERROR(__xludf.DUMMYFUNCTION("""COMPUTED_VALUE"""),14200.0)</f>
        <v>14200</v>
      </c>
      <c r="F2104" s="1">
        <f>IFERROR(__xludf.DUMMYFUNCTION("""COMPUTED_VALUE"""),1674847.0)</f>
        <v>1674847</v>
      </c>
    </row>
    <row r="2105">
      <c r="A2105" s="2">
        <f>IFERROR(__xludf.DUMMYFUNCTION("""COMPUTED_VALUE"""),44040.64583333333)</f>
        <v>44040.64583</v>
      </c>
      <c r="B2105" s="1">
        <f>IFERROR(__xludf.DUMMYFUNCTION("""COMPUTED_VALUE"""),14000.0)</f>
        <v>14000</v>
      </c>
      <c r="C2105" s="1">
        <f>IFERROR(__xludf.DUMMYFUNCTION("""COMPUTED_VALUE"""),14200.0)</f>
        <v>14200</v>
      </c>
      <c r="D2105" s="1">
        <f>IFERROR(__xludf.DUMMYFUNCTION("""COMPUTED_VALUE"""),13400.0)</f>
        <v>13400</v>
      </c>
      <c r="E2105" s="1">
        <f>IFERROR(__xludf.DUMMYFUNCTION("""COMPUTED_VALUE"""),13550.0)</f>
        <v>13550</v>
      </c>
      <c r="F2105" s="1">
        <f>IFERROR(__xludf.DUMMYFUNCTION("""COMPUTED_VALUE"""),612624.0)</f>
        <v>612624</v>
      </c>
    </row>
    <row r="2106">
      <c r="A2106" s="2">
        <f>IFERROR(__xludf.DUMMYFUNCTION("""COMPUTED_VALUE"""),44041.64583333333)</f>
        <v>44041.64583</v>
      </c>
      <c r="B2106" s="1">
        <f>IFERROR(__xludf.DUMMYFUNCTION("""COMPUTED_VALUE"""),13550.0)</f>
        <v>13550</v>
      </c>
      <c r="C2106" s="1">
        <f>IFERROR(__xludf.DUMMYFUNCTION("""COMPUTED_VALUE"""),13850.0)</f>
        <v>13850</v>
      </c>
      <c r="D2106" s="1">
        <f>IFERROR(__xludf.DUMMYFUNCTION("""COMPUTED_VALUE"""),13450.0)</f>
        <v>13450</v>
      </c>
      <c r="E2106" s="1">
        <f>IFERROR(__xludf.DUMMYFUNCTION("""COMPUTED_VALUE"""),13600.0)</f>
        <v>13600</v>
      </c>
      <c r="F2106" s="1">
        <f>IFERROR(__xludf.DUMMYFUNCTION("""COMPUTED_VALUE"""),241559.0)</f>
        <v>241559</v>
      </c>
    </row>
    <row r="2107">
      <c r="A2107" s="2">
        <f>IFERROR(__xludf.DUMMYFUNCTION("""COMPUTED_VALUE"""),44042.64583333333)</f>
        <v>44042.64583</v>
      </c>
      <c r="B2107" s="1">
        <f>IFERROR(__xludf.DUMMYFUNCTION("""COMPUTED_VALUE"""),13650.0)</f>
        <v>13650</v>
      </c>
      <c r="C2107" s="1">
        <f>IFERROR(__xludf.DUMMYFUNCTION("""COMPUTED_VALUE"""),13850.0)</f>
        <v>13850</v>
      </c>
      <c r="D2107" s="1">
        <f>IFERROR(__xludf.DUMMYFUNCTION("""COMPUTED_VALUE"""),13300.0)</f>
        <v>13300</v>
      </c>
      <c r="E2107" s="1">
        <f>IFERROR(__xludf.DUMMYFUNCTION("""COMPUTED_VALUE"""),13750.0)</f>
        <v>13750</v>
      </c>
      <c r="F2107" s="1">
        <f>IFERROR(__xludf.DUMMYFUNCTION("""COMPUTED_VALUE"""),312684.0)</f>
        <v>312684</v>
      </c>
    </row>
    <row r="2108">
      <c r="A2108" s="2">
        <f>IFERROR(__xludf.DUMMYFUNCTION("""COMPUTED_VALUE"""),44043.64583333333)</f>
        <v>44043.64583</v>
      </c>
      <c r="B2108" s="1">
        <f>IFERROR(__xludf.DUMMYFUNCTION("""COMPUTED_VALUE"""),13800.0)</f>
        <v>13800</v>
      </c>
      <c r="C2108" s="1">
        <f>IFERROR(__xludf.DUMMYFUNCTION("""COMPUTED_VALUE"""),13800.0)</f>
        <v>13800</v>
      </c>
      <c r="D2108" s="1">
        <f>IFERROR(__xludf.DUMMYFUNCTION("""COMPUTED_VALUE"""),13450.0)</f>
        <v>13450</v>
      </c>
      <c r="E2108" s="1">
        <f>IFERROR(__xludf.DUMMYFUNCTION("""COMPUTED_VALUE"""),13450.0)</f>
        <v>13450</v>
      </c>
      <c r="F2108" s="1">
        <f>IFERROR(__xludf.DUMMYFUNCTION("""COMPUTED_VALUE"""),149088.0)</f>
        <v>149088</v>
      </c>
    </row>
    <row r="2109">
      <c r="A2109" s="2">
        <f>IFERROR(__xludf.DUMMYFUNCTION("""COMPUTED_VALUE"""),44046.64583333333)</f>
        <v>44046.64583</v>
      </c>
      <c r="B2109" s="1">
        <f>IFERROR(__xludf.DUMMYFUNCTION("""COMPUTED_VALUE"""),13700.0)</f>
        <v>13700</v>
      </c>
      <c r="C2109" s="1">
        <f>IFERROR(__xludf.DUMMYFUNCTION("""COMPUTED_VALUE"""),14150.0)</f>
        <v>14150</v>
      </c>
      <c r="D2109" s="1">
        <f>IFERROR(__xludf.DUMMYFUNCTION("""COMPUTED_VALUE"""),13600.0)</f>
        <v>13600</v>
      </c>
      <c r="E2109" s="1">
        <f>IFERROR(__xludf.DUMMYFUNCTION("""COMPUTED_VALUE"""),14000.0)</f>
        <v>14000</v>
      </c>
      <c r="F2109" s="1">
        <f>IFERROR(__xludf.DUMMYFUNCTION("""COMPUTED_VALUE"""),594300.0)</f>
        <v>594300</v>
      </c>
    </row>
    <row r="2110">
      <c r="A2110" s="2">
        <f>IFERROR(__xludf.DUMMYFUNCTION("""COMPUTED_VALUE"""),44047.64583333333)</f>
        <v>44047.64583</v>
      </c>
      <c r="B2110" s="1">
        <f>IFERROR(__xludf.DUMMYFUNCTION("""COMPUTED_VALUE"""),14300.0)</f>
        <v>14300</v>
      </c>
      <c r="C2110" s="1">
        <f>IFERROR(__xludf.DUMMYFUNCTION("""COMPUTED_VALUE"""),14650.0)</f>
        <v>14650</v>
      </c>
      <c r="D2110" s="1">
        <f>IFERROR(__xludf.DUMMYFUNCTION("""COMPUTED_VALUE"""),13950.0)</f>
        <v>13950</v>
      </c>
      <c r="E2110" s="1">
        <f>IFERROR(__xludf.DUMMYFUNCTION("""COMPUTED_VALUE"""),14300.0)</f>
        <v>14300</v>
      </c>
      <c r="F2110" s="1">
        <f>IFERROR(__xludf.DUMMYFUNCTION("""COMPUTED_VALUE"""),863323.0)</f>
        <v>863323</v>
      </c>
    </row>
    <row r="2111">
      <c r="A2111" s="2">
        <f>IFERROR(__xludf.DUMMYFUNCTION("""COMPUTED_VALUE"""),44048.64583333333)</f>
        <v>44048.64583</v>
      </c>
      <c r="B2111" s="1">
        <f>IFERROR(__xludf.DUMMYFUNCTION("""COMPUTED_VALUE"""),14300.0)</f>
        <v>14300</v>
      </c>
      <c r="C2111" s="1">
        <f>IFERROR(__xludf.DUMMYFUNCTION("""COMPUTED_VALUE"""),14550.0)</f>
        <v>14550</v>
      </c>
      <c r="D2111" s="1">
        <f>IFERROR(__xludf.DUMMYFUNCTION("""COMPUTED_VALUE"""),14000.0)</f>
        <v>14000</v>
      </c>
      <c r="E2111" s="1">
        <f>IFERROR(__xludf.DUMMYFUNCTION("""COMPUTED_VALUE"""),14200.0)</f>
        <v>14200</v>
      </c>
      <c r="F2111" s="1">
        <f>IFERROR(__xludf.DUMMYFUNCTION("""COMPUTED_VALUE"""),352347.0)</f>
        <v>352347</v>
      </c>
    </row>
    <row r="2112">
      <c r="A2112" s="2">
        <f>IFERROR(__xludf.DUMMYFUNCTION("""COMPUTED_VALUE"""),44049.64583333333)</f>
        <v>44049.64583</v>
      </c>
      <c r="B2112" s="1">
        <f>IFERROR(__xludf.DUMMYFUNCTION("""COMPUTED_VALUE"""),14450.0)</f>
        <v>14450</v>
      </c>
      <c r="C2112" s="1">
        <f>IFERROR(__xludf.DUMMYFUNCTION("""COMPUTED_VALUE"""),17950.0)</f>
        <v>17950</v>
      </c>
      <c r="D2112" s="1">
        <f>IFERROR(__xludf.DUMMYFUNCTION("""COMPUTED_VALUE"""),14350.0)</f>
        <v>14350</v>
      </c>
      <c r="E2112" s="1">
        <f>IFERROR(__xludf.DUMMYFUNCTION("""COMPUTED_VALUE"""),16300.0)</f>
        <v>16300</v>
      </c>
      <c r="F2112" s="1">
        <f>IFERROR(__xludf.DUMMYFUNCTION("""COMPUTED_VALUE"""),1.0942557E7)</f>
        <v>10942557</v>
      </c>
    </row>
    <row r="2113">
      <c r="A2113" s="2">
        <f>IFERROR(__xludf.DUMMYFUNCTION("""COMPUTED_VALUE"""),44050.64583333333)</f>
        <v>44050.64583</v>
      </c>
      <c r="B2113" s="1">
        <f>IFERROR(__xludf.DUMMYFUNCTION("""COMPUTED_VALUE"""),16200.0)</f>
        <v>16200</v>
      </c>
      <c r="C2113" s="1">
        <f>IFERROR(__xludf.DUMMYFUNCTION("""COMPUTED_VALUE"""),16300.0)</f>
        <v>16300</v>
      </c>
      <c r="D2113" s="1">
        <f>IFERROR(__xludf.DUMMYFUNCTION("""COMPUTED_VALUE"""),15600.0)</f>
        <v>15600</v>
      </c>
      <c r="E2113" s="1">
        <f>IFERROR(__xludf.DUMMYFUNCTION("""COMPUTED_VALUE"""),15900.0)</f>
        <v>15900</v>
      </c>
      <c r="F2113" s="1">
        <f>IFERROR(__xludf.DUMMYFUNCTION("""COMPUTED_VALUE"""),988290.0)</f>
        <v>988290</v>
      </c>
    </row>
    <row r="2114">
      <c r="A2114" s="2">
        <f>IFERROR(__xludf.DUMMYFUNCTION("""COMPUTED_VALUE"""),44053.64583333333)</f>
        <v>44053.64583</v>
      </c>
      <c r="B2114" s="1">
        <f>IFERROR(__xludf.DUMMYFUNCTION("""COMPUTED_VALUE"""),16500.0)</f>
        <v>16500</v>
      </c>
      <c r="C2114" s="1">
        <f>IFERROR(__xludf.DUMMYFUNCTION("""COMPUTED_VALUE"""),19800.0)</f>
        <v>19800</v>
      </c>
      <c r="D2114" s="1">
        <f>IFERROR(__xludf.DUMMYFUNCTION("""COMPUTED_VALUE"""),16500.0)</f>
        <v>16500</v>
      </c>
      <c r="E2114" s="1">
        <f>IFERROR(__xludf.DUMMYFUNCTION("""COMPUTED_VALUE"""),18150.0)</f>
        <v>18150</v>
      </c>
      <c r="F2114" s="1">
        <f>IFERROR(__xludf.DUMMYFUNCTION("""COMPUTED_VALUE"""),1.0160877E7)</f>
        <v>10160877</v>
      </c>
    </row>
    <row r="2115">
      <c r="A2115" s="2">
        <f>IFERROR(__xludf.DUMMYFUNCTION("""COMPUTED_VALUE"""),44054.64583333333)</f>
        <v>44054.64583</v>
      </c>
      <c r="B2115" s="1">
        <f>IFERROR(__xludf.DUMMYFUNCTION("""COMPUTED_VALUE"""),18450.0)</f>
        <v>18450</v>
      </c>
      <c r="C2115" s="1">
        <f>IFERROR(__xludf.DUMMYFUNCTION("""COMPUTED_VALUE"""),18700.0)</f>
        <v>18700</v>
      </c>
      <c r="D2115" s="1">
        <f>IFERROR(__xludf.DUMMYFUNCTION("""COMPUTED_VALUE"""),17450.0)</f>
        <v>17450</v>
      </c>
      <c r="E2115" s="1">
        <f>IFERROR(__xludf.DUMMYFUNCTION("""COMPUTED_VALUE"""),18550.0)</f>
        <v>18550</v>
      </c>
      <c r="F2115" s="1">
        <f>IFERROR(__xludf.DUMMYFUNCTION("""COMPUTED_VALUE"""),1488322.0)</f>
        <v>1488322</v>
      </c>
    </row>
    <row r="2116">
      <c r="A2116" s="2">
        <f>IFERROR(__xludf.DUMMYFUNCTION("""COMPUTED_VALUE"""),44055.64583333333)</f>
        <v>44055.64583</v>
      </c>
      <c r="B2116" s="1">
        <f>IFERROR(__xludf.DUMMYFUNCTION("""COMPUTED_VALUE"""),18150.0)</f>
        <v>18150</v>
      </c>
      <c r="C2116" s="1">
        <f>IFERROR(__xludf.DUMMYFUNCTION("""COMPUTED_VALUE"""),18250.0)</f>
        <v>18250</v>
      </c>
      <c r="D2116" s="1">
        <f>IFERROR(__xludf.DUMMYFUNCTION("""COMPUTED_VALUE"""),17100.0)</f>
        <v>17100</v>
      </c>
      <c r="E2116" s="1">
        <f>IFERROR(__xludf.DUMMYFUNCTION("""COMPUTED_VALUE"""),17350.0)</f>
        <v>17350</v>
      </c>
      <c r="F2116" s="1">
        <f>IFERROR(__xludf.DUMMYFUNCTION("""COMPUTED_VALUE"""),820861.0)</f>
        <v>820861</v>
      </c>
    </row>
    <row r="2117">
      <c r="A2117" s="2">
        <f>IFERROR(__xludf.DUMMYFUNCTION("""COMPUTED_VALUE"""),44056.64583333333)</f>
        <v>44056.64583</v>
      </c>
      <c r="B2117" s="1">
        <f>IFERROR(__xludf.DUMMYFUNCTION("""COMPUTED_VALUE"""),17200.0)</f>
        <v>17200</v>
      </c>
      <c r="C2117" s="1">
        <f>IFERROR(__xludf.DUMMYFUNCTION("""COMPUTED_VALUE"""),17550.0)</f>
        <v>17550</v>
      </c>
      <c r="D2117" s="1">
        <f>IFERROR(__xludf.DUMMYFUNCTION("""COMPUTED_VALUE"""),17000.0)</f>
        <v>17000</v>
      </c>
      <c r="E2117" s="1">
        <f>IFERROR(__xludf.DUMMYFUNCTION("""COMPUTED_VALUE"""),17300.0)</f>
        <v>17300</v>
      </c>
      <c r="F2117" s="1">
        <f>IFERROR(__xludf.DUMMYFUNCTION("""COMPUTED_VALUE"""),477326.0)</f>
        <v>477326</v>
      </c>
    </row>
    <row r="2118">
      <c r="A2118" s="2">
        <f>IFERROR(__xludf.DUMMYFUNCTION("""COMPUTED_VALUE"""),44057.64583333333)</f>
        <v>44057.64583</v>
      </c>
      <c r="B2118" s="1">
        <f>IFERROR(__xludf.DUMMYFUNCTION("""COMPUTED_VALUE"""),16850.0)</f>
        <v>16850</v>
      </c>
      <c r="C2118" s="1">
        <f>IFERROR(__xludf.DUMMYFUNCTION("""COMPUTED_VALUE"""),17050.0)</f>
        <v>17050</v>
      </c>
      <c r="D2118" s="1">
        <f>IFERROR(__xludf.DUMMYFUNCTION("""COMPUTED_VALUE"""),16200.0)</f>
        <v>16200</v>
      </c>
      <c r="E2118" s="1">
        <f>IFERROR(__xludf.DUMMYFUNCTION("""COMPUTED_VALUE"""),16750.0)</f>
        <v>16750</v>
      </c>
      <c r="F2118" s="1">
        <f>IFERROR(__xludf.DUMMYFUNCTION("""COMPUTED_VALUE"""),668369.0)</f>
        <v>668369</v>
      </c>
    </row>
    <row r="2119">
      <c r="A2119" s="2">
        <f>IFERROR(__xludf.DUMMYFUNCTION("""COMPUTED_VALUE"""),44061.64583333333)</f>
        <v>44061.64583</v>
      </c>
      <c r="B2119" s="1">
        <f>IFERROR(__xludf.DUMMYFUNCTION("""COMPUTED_VALUE"""),16250.0)</f>
        <v>16250</v>
      </c>
      <c r="C2119" s="1">
        <f>IFERROR(__xludf.DUMMYFUNCTION("""COMPUTED_VALUE"""),16450.0)</f>
        <v>16450</v>
      </c>
      <c r="D2119" s="1">
        <f>IFERROR(__xludf.DUMMYFUNCTION("""COMPUTED_VALUE"""),14700.0)</f>
        <v>14700</v>
      </c>
      <c r="E2119" s="1">
        <f>IFERROR(__xludf.DUMMYFUNCTION("""COMPUTED_VALUE"""),15100.0)</f>
        <v>15100</v>
      </c>
      <c r="F2119" s="1">
        <f>IFERROR(__xludf.DUMMYFUNCTION("""COMPUTED_VALUE"""),669993.0)</f>
        <v>669993</v>
      </c>
    </row>
    <row r="2120">
      <c r="A2120" s="2">
        <f>IFERROR(__xludf.DUMMYFUNCTION("""COMPUTED_VALUE"""),44062.64583333333)</f>
        <v>44062.64583</v>
      </c>
      <c r="B2120" s="1">
        <f>IFERROR(__xludf.DUMMYFUNCTION("""COMPUTED_VALUE"""),15150.0)</f>
        <v>15150</v>
      </c>
      <c r="C2120" s="1">
        <f>IFERROR(__xludf.DUMMYFUNCTION("""COMPUTED_VALUE"""),15400.0)</f>
        <v>15400</v>
      </c>
      <c r="D2120" s="1">
        <f>IFERROR(__xludf.DUMMYFUNCTION("""COMPUTED_VALUE"""),14950.0)</f>
        <v>14950</v>
      </c>
      <c r="E2120" s="1">
        <f>IFERROR(__xludf.DUMMYFUNCTION("""COMPUTED_VALUE"""),15300.0)</f>
        <v>15300</v>
      </c>
      <c r="F2120" s="1">
        <f>IFERROR(__xludf.DUMMYFUNCTION("""COMPUTED_VALUE"""),399928.0)</f>
        <v>399928</v>
      </c>
    </row>
    <row r="2121">
      <c r="A2121" s="2">
        <f>IFERROR(__xludf.DUMMYFUNCTION("""COMPUTED_VALUE"""),44063.64583333333)</f>
        <v>44063.64583</v>
      </c>
      <c r="B2121" s="1">
        <f>IFERROR(__xludf.DUMMYFUNCTION("""COMPUTED_VALUE"""),15100.0)</f>
        <v>15100</v>
      </c>
      <c r="C2121" s="1">
        <f>IFERROR(__xludf.DUMMYFUNCTION("""COMPUTED_VALUE"""),15350.0)</f>
        <v>15350</v>
      </c>
      <c r="D2121" s="1">
        <f>IFERROR(__xludf.DUMMYFUNCTION("""COMPUTED_VALUE"""),14150.0)</f>
        <v>14150</v>
      </c>
      <c r="E2121" s="1">
        <f>IFERROR(__xludf.DUMMYFUNCTION("""COMPUTED_VALUE"""),14650.0)</f>
        <v>14650</v>
      </c>
      <c r="F2121" s="1">
        <f>IFERROR(__xludf.DUMMYFUNCTION("""COMPUTED_VALUE"""),390241.0)</f>
        <v>390241</v>
      </c>
    </row>
    <row r="2122">
      <c r="A2122" s="2">
        <f>IFERROR(__xludf.DUMMYFUNCTION("""COMPUTED_VALUE"""),44064.64583333333)</f>
        <v>44064.64583</v>
      </c>
      <c r="B2122" s="1">
        <f>IFERROR(__xludf.DUMMYFUNCTION("""COMPUTED_VALUE"""),14850.0)</f>
        <v>14850</v>
      </c>
      <c r="C2122" s="1">
        <f>IFERROR(__xludf.DUMMYFUNCTION("""COMPUTED_VALUE"""),15350.0)</f>
        <v>15350</v>
      </c>
      <c r="D2122" s="1">
        <f>IFERROR(__xludf.DUMMYFUNCTION("""COMPUTED_VALUE"""),14400.0)</f>
        <v>14400</v>
      </c>
      <c r="E2122" s="1">
        <f>IFERROR(__xludf.DUMMYFUNCTION("""COMPUTED_VALUE"""),14400.0)</f>
        <v>14400</v>
      </c>
      <c r="F2122" s="1">
        <f>IFERROR(__xludf.DUMMYFUNCTION("""COMPUTED_VALUE"""),569915.0)</f>
        <v>569915</v>
      </c>
    </row>
    <row r="2123">
      <c r="A2123" s="2">
        <f>IFERROR(__xludf.DUMMYFUNCTION("""COMPUTED_VALUE"""),44067.64583333333)</f>
        <v>44067.64583</v>
      </c>
      <c r="B2123" s="1">
        <f>IFERROR(__xludf.DUMMYFUNCTION("""COMPUTED_VALUE"""),14500.0)</f>
        <v>14500</v>
      </c>
      <c r="C2123" s="1">
        <f>IFERROR(__xludf.DUMMYFUNCTION("""COMPUTED_VALUE"""),15750.0)</f>
        <v>15750</v>
      </c>
      <c r="D2123" s="1">
        <f>IFERROR(__xludf.DUMMYFUNCTION("""COMPUTED_VALUE"""),14500.0)</f>
        <v>14500</v>
      </c>
      <c r="E2123" s="1">
        <f>IFERROR(__xludf.DUMMYFUNCTION("""COMPUTED_VALUE"""),15650.0)</f>
        <v>15650</v>
      </c>
      <c r="F2123" s="1">
        <f>IFERROR(__xludf.DUMMYFUNCTION("""COMPUTED_VALUE"""),756365.0)</f>
        <v>756365</v>
      </c>
    </row>
    <row r="2124">
      <c r="A2124" s="2">
        <f>IFERROR(__xludf.DUMMYFUNCTION("""COMPUTED_VALUE"""),44068.64583333333)</f>
        <v>44068.64583</v>
      </c>
      <c r="B2124" s="1">
        <f>IFERROR(__xludf.DUMMYFUNCTION("""COMPUTED_VALUE"""),15850.0)</f>
        <v>15850</v>
      </c>
      <c r="C2124" s="1">
        <f>IFERROR(__xludf.DUMMYFUNCTION("""COMPUTED_VALUE"""),16450.0)</f>
        <v>16450</v>
      </c>
      <c r="D2124" s="1">
        <f>IFERROR(__xludf.DUMMYFUNCTION("""COMPUTED_VALUE"""),15350.0)</f>
        <v>15350</v>
      </c>
      <c r="E2124" s="1">
        <f>IFERROR(__xludf.DUMMYFUNCTION("""COMPUTED_VALUE"""),16450.0)</f>
        <v>16450</v>
      </c>
      <c r="F2124" s="1">
        <f>IFERROR(__xludf.DUMMYFUNCTION("""COMPUTED_VALUE"""),766380.0)</f>
        <v>766380</v>
      </c>
    </row>
    <row r="2125">
      <c r="A2125" s="2">
        <f>IFERROR(__xludf.DUMMYFUNCTION("""COMPUTED_VALUE"""),44069.64583333333)</f>
        <v>44069.64583</v>
      </c>
      <c r="B2125" s="1">
        <f>IFERROR(__xludf.DUMMYFUNCTION("""COMPUTED_VALUE"""),16850.0)</f>
        <v>16850</v>
      </c>
      <c r="C2125" s="1">
        <f>IFERROR(__xludf.DUMMYFUNCTION("""COMPUTED_VALUE"""),17500.0)</f>
        <v>17500</v>
      </c>
      <c r="D2125" s="1">
        <f>IFERROR(__xludf.DUMMYFUNCTION("""COMPUTED_VALUE"""),16000.0)</f>
        <v>16000</v>
      </c>
      <c r="E2125" s="1">
        <f>IFERROR(__xludf.DUMMYFUNCTION("""COMPUTED_VALUE"""),16150.0)</f>
        <v>16150</v>
      </c>
      <c r="F2125" s="1">
        <f>IFERROR(__xludf.DUMMYFUNCTION("""COMPUTED_VALUE"""),1744780.0)</f>
        <v>1744780</v>
      </c>
    </row>
    <row r="2126">
      <c r="A2126" s="2">
        <f>IFERROR(__xludf.DUMMYFUNCTION("""COMPUTED_VALUE"""),44070.64583333333)</f>
        <v>44070.64583</v>
      </c>
      <c r="B2126" s="1">
        <f>IFERROR(__xludf.DUMMYFUNCTION("""COMPUTED_VALUE"""),15550.0)</f>
        <v>15550</v>
      </c>
      <c r="C2126" s="1">
        <f>IFERROR(__xludf.DUMMYFUNCTION("""COMPUTED_VALUE"""),15600.0)</f>
        <v>15600</v>
      </c>
      <c r="D2126" s="1">
        <f>IFERROR(__xludf.DUMMYFUNCTION("""COMPUTED_VALUE"""),14800.0)</f>
        <v>14800</v>
      </c>
      <c r="E2126" s="1">
        <f>IFERROR(__xludf.DUMMYFUNCTION("""COMPUTED_VALUE"""),14900.0)</f>
        <v>14900</v>
      </c>
      <c r="F2126" s="1">
        <f>IFERROR(__xludf.DUMMYFUNCTION("""COMPUTED_VALUE"""),707281.0)</f>
        <v>707281</v>
      </c>
    </row>
    <row r="2127">
      <c r="A2127" s="2">
        <f>IFERROR(__xludf.DUMMYFUNCTION("""COMPUTED_VALUE"""),44071.64583333333)</f>
        <v>44071.64583</v>
      </c>
      <c r="B2127" s="1">
        <f>IFERROR(__xludf.DUMMYFUNCTION("""COMPUTED_VALUE"""),15000.0)</f>
        <v>15000</v>
      </c>
      <c r="C2127" s="1">
        <f>IFERROR(__xludf.DUMMYFUNCTION("""COMPUTED_VALUE"""),15250.0)</f>
        <v>15250</v>
      </c>
      <c r="D2127" s="1">
        <f>IFERROR(__xludf.DUMMYFUNCTION("""COMPUTED_VALUE"""),14800.0)</f>
        <v>14800</v>
      </c>
      <c r="E2127" s="1">
        <f>IFERROR(__xludf.DUMMYFUNCTION("""COMPUTED_VALUE"""),15100.0)</f>
        <v>15100</v>
      </c>
      <c r="F2127" s="1">
        <f>IFERROR(__xludf.DUMMYFUNCTION("""COMPUTED_VALUE"""),334958.0)</f>
        <v>334958</v>
      </c>
    </row>
    <row r="2128">
      <c r="A2128" s="2">
        <f>IFERROR(__xludf.DUMMYFUNCTION("""COMPUTED_VALUE"""),44074.64583333333)</f>
        <v>44074.64583</v>
      </c>
      <c r="B2128" s="1">
        <f>IFERROR(__xludf.DUMMYFUNCTION("""COMPUTED_VALUE"""),15600.0)</f>
        <v>15600</v>
      </c>
      <c r="C2128" s="1">
        <f>IFERROR(__xludf.DUMMYFUNCTION("""COMPUTED_VALUE"""),16150.0)</f>
        <v>16150</v>
      </c>
      <c r="D2128" s="1">
        <f>IFERROR(__xludf.DUMMYFUNCTION("""COMPUTED_VALUE"""),15550.0)</f>
        <v>15550</v>
      </c>
      <c r="E2128" s="1">
        <f>IFERROR(__xludf.DUMMYFUNCTION("""COMPUTED_VALUE"""),16150.0)</f>
        <v>16150</v>
      </c>
      <c r="F2128" s="1">
        <f>IFERROR(__xludf.DUMMYFUNCTION("""COMPUTED_VALUE"""),547821.0)</f>
        <v>547821</v>
      </c>
    </row>
    <row r="2129">
      <c r="A2129" s="2">
        <f>IFERROR(__xludf.DUMMYFUNCTION("""COMPUTED_VALUE"""),44075.64583333333)</f>
        <v>44075.64583</v>
      </c>
      <c r="B2129" s="1">
        <f>IFERROR(__xludf.DUMMYFUNCTION("""COMPUTED_VALUE"""),16100.0)</f>
        <v>16100</v>
      </c>
      <c r="C2129" s="1">
        <f>IFERROR(__xludf.DUMMYFUNCTION("""COMPUTED_VALUE"""),16500.0)</f>
        <v>16500</v>
      </c>
      <c r="D2129" s="1">
        <f>IFERROR(__xludf.DUMMYFUNCTION("""COMPUTED_VALUE"""),15550.0)</f>
        <v>15550</v>
      </c>
      <c r="E2129" s="1">
        <f>IFERROR(__xludf.DUMMYFUNCTION("""COMPUTED_VALUE"""),16100.0)</f>
        <v>16100</v>
      </c>
      <c r="F2129" s="1">
        <f>IFERROR(__xludf.DUMMYFUNCTION("""COMPUTED_VALUE"""),416060.0)</f>
        <v>416060</v>
      </c>
    </row>
    <row r="2130">
      <c r="A2130" s="2">
        <f>IFERROR(__xludf.DUMMYFUNCTION("""COMPUTED_VALUE"""),44076.64583333333)</f>
        <v>44076.64583</v>
      </c>
      <c r="B2130" s="1">
        <f>IFERROR(__xludf.DUMMYFUNCTION("""COMPUTED_VALUE"""),16250.0)</f>
        <v>16250</v>
      </c>
      <c r="C2130" s="1">
        <f>IFERROR(__xludf.DUMMYFUNCTION("""COMPUTED_VALUE"""),16450.0)</f>
        <v>16450</v>
      </c>
      <c r="D2130" s="1">
        <f>IFERROR(__xludf.DUMMYFUNCTION("""COMPUTED_VALUE"""),15800.0)</f>
        <v>15800</v>
      </c>
      <c r="E2130" s="1">
        <f>IFERROR(__xludf.DUMMYFUNCTION("""COMPUTED_VALUE"""),15850.0)</f>
        <v>15850</v>
      </c>
      <c r="F2130" s="1">
        <f>IFERROR(__xludf.DUMMYFUNCTION("""COMPUTED_VALUE"""),397655.0)</f>
        <v>397655</v>
      </c>
    </row>
    <row r="2131">
      <c r="A2131" s="2">
        <f>IFERROR(__xludf.DUMMYFUNCTION("""COMPUTED_VALUE"""),44077.64583333333)</f>
        <v>44077.64583</v>
      </c>
      <c r="B2131" s="1">
        <f>IFERROR(__xludf.DUMMYFUNCTION("""COMPUTED_VALUE"""),15650.0)</f>
        <v>15650</v>
      </c>
      <c r="C2131" s="1">
        <f>IFERROR(__xludf.DUMMYFUNCTION("""COMPUTED_VALUE"""),15700.0)</f>
        <v>15700</v>
      </c>
      <c r="D2131" s="1">
        <f>IFERROR(__xludf.DUMMYFUNCTION("""COMPUTED_VALUE"""),15250.0)</f>
        <v>15250</v>
      </c>
      <c r="E2131" s="1">
        <f>IFERROR(__xludf.DUMMYFUNCTION("""COMPUTED_VALUE"""),15400.0)</f>
        <v>15400</v>
      </c>
      <c r="F2131" s="1">
        <f>IFERROR(__xludf.DUMMYFUNCTION("""COMPUTED_VALUE"""),409375.0)</f>
        <v>409375</v>
      </c>
    </row>
    <row r="2132">
      <c r="A2132" s="2">
        <f>IFERROR(__xludf.DUMMYFUNCTION("""COMPUTED_VALUE"""),44078.64583333333)</f>
        <v>44078.64583</v>
      </c>
      <c r="B2132" s="1">
        <f>IFERROR(__xludf.DUMMYFUNCTION("""COMPUTED_VALUE"""),14700.0)</f>
        <v>14700</v>
      </c>
      <c r="C2132" s="1">
        <f>IFERROR(__xludf.DUMMYFUNCTION("""COMPUTED_VALUE"""),15300.0)</f>
        <v>15300</v>
      </c>
      <c r="D2132" s="1">
        <f>IFERROR(__xludf.DUMMYFUNCTION("""COMPUTED_VALUE"""),14650.0)</f>
        <v>14650</v>
      </c>
      <c r="E2132" s="1">
        <f>IFERROR(__xludf.DUMMYFUNCTION("""COMPUTED_VALUE"""),15300.0)</f>
        <v>15300</v>
      </c>
      <c r="F2132" s="1">
        <f>IFERROR(__xludf.DUMMYFUNCTION("""COMPUTED_VALUE"""),195914.0)</f>
        <v>195914</v>
      </c>
    </row>
    <row r="2133">
      <c r="A2133" s="2">
        <f>IFERROR(__xludf.DUMMYFUNCTION("""COMPUTED_VALUE"""),44081.64583333333)</f>
        <v>44081.64583</v>
      </c>
      <c r="B2133" s="1">
        <f>IFERROR(__xludf.DUMMYFUNCTION("""COMPUTED_VALUE"""),15200.0)</f>
        <v>15200</v>
      </c>
      <c r="C2133" s="1">
        <f>IFERROR(__xludf.DUMMYFUNCTION("""COMPUTED_VALUE"""),15250.0)</f>
        <v>15250</v>
      </c>
      <c r="D2133" s="1">
        <f>IFERROR(__xludf.DUMMYFUNCTION("""COMPUTED_VALUE"""),14700.0)</f>
        <v>14700</v>
      </c>
      <c r="E2133" s="1">
        <f>IFERROR(__xludf.DUMMYFUNCTION("""COMPUTED_VALUE"""),15000.0)</f>
        <v>15000</v>
      </c>
      <c r="F2133" s="1">
        <f>IFERROR(__xludf.DUMMYFUNCTION("""COMPUTED_VALUE"""),255305.0)</f>
        <v>255305</v>
      </c>
    </row>
    <row r="2134">
      <c r="A2134" s="2">
        <f>IFERROR(__xludf.DUMMYFUNCTION("""COMPUTED_VALUE"""),44082.64583333333)</f>
        <v>44082.64583</v>
      </c>
      <c r="B2134" s="1">
        <f>IFERROR(__xludf.DUMMYFUNCTION("""COMPUTED_VALUE"""),15000.0)</f>
        <v>15000</v>
      </c>
      <c r="C2134" s="1">
        <f>IFERROR(__xludf.DUMMYFUNCTION("""COMPUTED_VALUE"""),15050.0)</f>
        <v>15050</v>
      </c>
      <c r="D2134" s="1">
        <f>IFERROR(__xludf.DUMMYFUNCTION("""COMPUTED_VALUE"""),14500.0)</f>
        <v>14500</v>
      </c>
      <c r="E2134" s="1">
        <f>IFERROR(__xludf.DUMMYFUNCTION("""COMPUTED_VALUE"""),14600.0)</f>
        <v>14600</v>
      </c>
      <c r="F2134" s="1">
        <f>IFERROR(__xludf.DUMMYFUNCTION("""COMPUTED_VALUE"""),226788.0)</f>
        <v>226788</v>
      </c>
    </row>
    <row r="2135">
      <c r="A2135" s="2">
        <f>IFERROR(__xludf.DUMMYFUNCTION("""COMPUTED_VALUE"""),44083.64583333333)</f>
        <v>44083.64583</v>
      </c>
      <c r="B2135" s="1">
        <f>IFERROR(__xludf.DUMMYFUNCTION("""COMPUTED_VALUE"""),14100.0)</f>
        <v>14100</v>
      </c>
      <c r="C2135" s="1">
        <f>IFERROR(__xludf.DUMMYFUNCTION("""COMPUTED_VALUE"""),14700.0)</f>
        <v>14700</v>
      </c>
      <c r="D2135" s="1">
        <f>IFERROR(__xludf.DUMMYFUNCTION("""COMPUTED_VALUE"""),14100.0)</f>
        <v>14100</v>
      </c>
      <c r="E2135" s="1">
        <f>IFERROR(__xludf.DUMMYFUNCTION("""COMPUTED_VALUE"""),14400.0)</f>
        <v>14400</v>
      </c>
      <c r="F2135" s="1">
        <f>IFERROR(__xludf.DUMMYFUNCTION("""COMPUTED_VALUE"""),143717.0)</f>
        <v>143717</v>
      </c>
    </row>
    <row r="2136">
      <c r="A2136" s="2">
        <f>IFERROR(__xludf.DUMMYFUNCTION("""COMPUTED_VALUE"""),44084.64583333333)</f>
        <v>44084.64583</v>
      </c>
      <c r="B2136" s="1">
        <f>IFERROR(__xludf.DUMMYFUNCTION("""COMPUTED_VALUE"""),14500.0)</f>
        <v>14500</v>
      </c>
      <c r="C2136" s="1">
        <f>IFERROR(__xludf.DUMMYFUNCTION("""COMPUTED_VALUE"""),14650.0)</f>
        <v>14650</v>
      </c>
      <c r="D2136" s="1">
        <f>IFERROR(__xludf.DUMMYFUNCTION("""COMPUTED_VALUE"""),14250.0)</f>
        <v>14250</v>
      </c>
      <c r="E2136" s="1">
        <f>IFERROR(__xludf.DUMMYFUNCTION("""COMPUTED_VALUE"""),14300.0)</f>
        <v>14300</v>
      </c>
      <c r="F2136" s="1">
        <f>IFERROR(__xludf.DUMMYFUNCTION("""COMPUTED_VALUE"""),111623.0)</f>
        <v>111623</v>
      </c>
    </row>
    <row r="2137">
      <c r="A2137" s="2">
        <f>IFERROR(__xludf.DUMMYFUNCTION("""COMPUTED_VALUE"""),44085.64583333333)</f>
        <v>44085.64583</v>
      </c>
      <c r="B2137" s="1">
        <f>IFERROR(__xludf.DUMMYFUNCTION("""COMPUTED_VALUE"""),15200.0)</f>
        <v>15200</v>
      </c>
      <c r="C2137" s="1">
        <f>IFERROR(__xludf.DUMMYFUNCTION("""COMPUTED_VALUE"""),15300.0)</f>
        <v>15300</v>
      </c>
      <c r="D2137" s="1">
        <f>IFERROR(__xludf.DUMMYFUNCTION("""COMPUTED_VALUE"""),14450.0)</f>
        <v>14450</v>
      </c>
      <c r="E2137" s="1">
        <f>IFERROR(__xludf.DUMMYFUNCTION("""COMPUTED_VALUE"""),14500.0)</f>
        <v>14500</v>
      </c>
      <c r="F2137" s="1">
        <f>IFERROR(__xludf.DUMMYFUNCTION("""COMPUTED_VALUE"""),418112.0)</f>
        <v>418112</v>
      </c>
    </row>
    <row r="2138">
      <c r="A2138" s="2">
        <f>IFERROR(__xludf.DUMMYFUNCTION("""COMPUTED_VALUE"""),44088.64583333333)</f>
        <v>44088.64583</v>
      </c>
      <c r="B2138" s="1">
        <f>IFERROR(__xludf.DUMMYFUNCTION("""COMPUTED_VALUE"""),14400.0)</f>
        <v>14400</v>
      </c>
      <c r="C2138" s="1">
        <f>IFERROR(__xludf.DUMMYFUNCTION("""COMPUTED_VALUE"""),14900.0)</f>
        <v>14900</v>
      </c>
      <c r="D2138" s="1">
        <f>IFERROR(__xludf.DUMMYFUNCTION("""COMPUTED_VALUE"""),14350.0)</f>
        <v>14350</v>
      </c>
      <c r="E2138" s="1">
        <f>IFERROR(__xludf.DUMMYFUNCTION("""COMPUTED_VALUE"""),14800.0)</f>
        <v>14800</v>
      </c>
      <c r="F2138" s="1">
        <f>IFERROR(__xludf.DUMMYFUNCTION("""COMPUTED_VALUE"""),187801.0)</f>
        <v>187801</v>
      </c>
    </row>
    <row r="2139">
      <c r="A2139" s="2">
        <f>IFERROR(__xludf.DUMMYFUNCTION("""COMPUTED_VALUE"""),44089.64583333333)</f>
        <v>44089.64583</v>
      </c>
      <c r="B2139" s="1">
        <f>IFERROR(__xludf.DUMMYFUNCTION("""COMPUTED_VALUE"""),14950.0)</f>
        <v>14950</v>
      </c>
      <c r="C2139" s="1">
        <f>IFERROR(__xludf.DUMMYFUNCTION("""COMPUTED_VALUE"""),15000.0)</f>
        <v>15000</v>
      </c>
      <c r="D2139" s="1">
        <f>IFERROR(__xludf.DUMMYFUNCTION("""COMPUTED_VALUE"""),14450.0)</f>
        <v>14450</v>
      </c>
      <c r="E2139" s="1">
        <f>IFERROR(__xludf.DUMMYFUNCTION("""COMPUTED_VALUE"""),14550.0)</f>
        <v>14550</v>
      </c>
      <c r="F2139" s="1">
        <f>IFERROR(__xludf.DUMMYFUNCTION("""COMPUTED_VALUE"""),236332.0)</f>
        <v>236332</v>
      </c>
    </row>
    <row r="2140">
      <c r="A2140" s="2">
        <f>IFERROR(__xludf.DUMMYFUNCTION("""COMPUTED_VALUE"""),44090.64583333333)</f>
        <v>44090.64583</v>
      </c>
      <c r="B2140" s="1">
        <f>IFERROR(__xludf.DUMMYFUNCTION("""COMPUTED_VALUE"""),15150.0)</f>
        <v>15150</v>
      </c>
      <c r="C2140" s="1">
        <f>IFERROR(__xludf.DUMMYFUNCTION("""COMPUTED_VALUE"""),15550.0)</f>
        <v>15550</v>
      </c>
      <c r="D2140" s="1">
        <f>IFERROR(__xludf.DUMMYFUNCTION("""COMPUTED_VALUE"""),14550.0)</f>
        <v>14550</v>
      </c>
      <c r="E2140" s="1">
        <f>IFERROR(__xludf.DUMMYFUNCTION("""COMPUTED_VALUE"""),14800.0)</f>
        <v>14800</v>
      </c>
      <c r="F2140" s="1">
        <f>IFERROR(__xludf.DUMMYFUNCTION("""COMPUTED_VALUE"""),855338.0)</f>
        <v>855338</v>
      </c>
    </row>
    <row r="2141">
      <c r="A2141" s="2">
        <f>IFERROR(__xludf.DUMMYFUNCTION("""COMPUTED_VALUE"""),44091.64583333333)</f>
        <v>44091.64583</v>
      </c>
      <c r="B2141" s="1">
        <f>IFERROR(__xludf.DUMMYFUNCTION("""COMPUTED_VALUE"""),14850.0)</f>
        <v>14850</v>
      </c>
      <c r="C2141" s="1">
        <f>IFERROR(__xludf.DUMMYFUNCTION("""COMPUTED_VALUE"""),14850.0)</f>
        <v>14850</v>
      </c>
      <c r="D2141" s="1">
        <f>IFERROR(__xludf.DUMMYFUNCTION("""COMPUTED_VALUE"""),14250.0)</f>
        <v>14250</v>
      </c>
      <c r="E2141" s="1">
        <f>IFERROR(__xludf.DUMMYFUNCTION("""COMPUTED_VALUE"""),14350.0)</f>
        <v>14350</v>
      </c>
      <c r="F2141" s="1">
        <f>IFERROR(__xludf.DUMMYFUNCTION("""COMPUTED_VALUE"""),170362.0)</f>
        <v>170362</v>
      </c>
    </row>
    <row r="2142">
      <c r="A2142" s="2">
        <f>IFERROR(__xludf.DUMMYFUNCTION("""COMPUTED_VALUE"""),44092.64583333333)</f>
        <v>44092.64583</v>
      </c>
      <c r="B2142" s="1">
        <f>IFERROR(__xludf.DUMMYFUNCTION("""COMPUTED_VALUE"""),14350.0)</f>
        <v>14350</v>
      </c>
      <c r="C2142" s="1">
        <f>IFERROR(__xludf.DUMMYFUNCTION("""COMPUTED_VALUE"""),14500.0)</f>
        <v>14500</v>
      </c>
      <c r="D2142" s="1">
        <f>IFERROR(__xludf.DUMMYFUNCTION("""COMPUTED_VALUE"""),14200.0)</f>
        <v>14200</v>
      </c>
      <c r="E2142" s="1">
        <f>IFERROR(__xludf.DUMMYFUNCTION("""COMPUTED_VALUE"""),14500.0)</f>
        <v>14500</v>
      </c>
      <c r="F2142" s="1">
        <f>IFERROR(__xludf.DUMMYFUNCTION("""COMPUTED_VALUE"""),93445.0)</f>
        <v>93445</v>
      </c>
    </row>
    <row r="2143">
      <c r="A2143" s="2">
        <f>IFERROR(__xludf.DUMMYFUNCTION("""COMPUTED_VALUE"""),44095.64583333333)</f>
        <v>44095.64583</v>
      </c>
      <c r="B2143" s="1">
        <f>IFERROR(__xludf.DUMMYFUNCTION("""COMPUTED_VALUE"""),14550.0)</f>
        <v>14550</v>
      </c>
      <c r="C2143" s="1">
        <f>IFERROR(__xludf.DUMMYFUNCTION("""COMPUTED_VALUE"""),15800.0)</f>
        <v>15800</v>
      </c>
      <c r="D2143" s="1">
        <f>IFERROR(__xludf.DUMMYFUNCTION("""COMPUTED_VALUE"""),14300.0)</f>
        <v>14300</v>
      </c>
      <c r="E2143" s="1">
        <f>IFERROR(__xludf.DUMMYFUNCTION("""COMPUTED_VALUE"""),14600.0)</f>
        <v>14600</v>
      </c>
      <c r="F2143" s="1">
        <f>IFERROR(__xludf.DUMMYFUNCTION("""COMPUTED_VALUE"""),844905.0)</f>
        <v>844905</v>
      </c>
    </row>
    <row r="2144">
      <c r="A2144" s="2">
        <f>IFERROR(__xludf.DUMMYFUNCTION("""COMPUTED_VALUE"""),44096.64583333333)</f>
        <v>44096.64583</v>
      </c>
      <c r="B2144" s="1">
        <f>IFERROR(__xludf.DUMMYFUNCTION("""COMPUTED_VALUE"""),14400.0)</f>
        <v>14400</v>
      </c>
      <c r="C2144" s="1">
        <f>IFERROR(__xludf.DUMMYFUNCTION("""COMPUTED_VALUE"""),14450.0)</f>
        <v>14450</v>
      </c>
      <c r="D2144" s="1">
        <f>IFERROR(__xludf.DUMMYFUNCTION("""COMPUTED_VALUE"""),13550.0)</f>
        <v>13550</v>
      </c>
      <c r="E2144" s="1">
        <f>IFERROR(__xludf.DUMMYFUNCTION("""COMPUTED_VALUE"""),13600.0)</f>
        <v>13600</v>
      </c>
      <c r="F2144" s="1">
        <f>IFERROR(__xludf.DUMMYFUNCTION("""COMPUTED_VALUE"""),259135.0)</f>
        <v>259135</v>
      </c>
    </row>
    <row r="2145">
      <c r="A2145" s="2">
        <f>IFERROR(__xludf.DUMMYFUNCTION("""COMPUTED_VALUE"""),44097.64583333333)</f>
        <v>44097.64583</v>
      </c>
      <c r="B2145" s="1">
        <f>IFERROR(__xludf.DUMMYFUNCTION("""COMPUTED_VALUE"""),13650.0)</f>
        <v>13650</v>
      </c>
      <c r="C2145" s="1">
        <f>IFERROR(__xludf.DUMMYFUNCTION("""COMPUTED_VALUE"""),13800.0)</f>
        <v>13800</v>
      </c>
      <c r="D2145" s="1">
        <f>IFERROR(__xludf.DUMMYFUNCTION("""COMPUTED_VALUE"""),12750.0)</f>
        <v>12750</v>
      </c>
      <c r="E2145" s="1">
        <f>IFERROR(__xludf.DUMMYFUNCTION("""COMPUTED_VALUE"""),13250.0)</f>
        <v>13250</v>
      </c>
      <c r="F2145" s="1">
        <f>IFERROR(__xludf.DUMMYFUNCTION("""COMPUTED_VALUE"""),167201.0)</f>
        <v>167201</v>
      </c>
    </row>
    <row r="2146">
      <c r="A2146" s="2">
        <f>IFERROR(__xludf.DUMMYFUNCTION("""COMPUTED_VALUE"""),44098.64583333333)</f>
        <v>44098.64583</v>
      </c>
      <c r="B2146" s="1">
        <f>IFERROR(__xludf.DUMMYFUNCTION("""COMPUTED_VALUE"""),13050.0)</f>
        <v>13050</v>
      </c>
      <c r="C2146" s="1">
        <f>IFERROR(__xludf.DUMMYFUNCTION("""COMPUTED_VALUE"""),13550.0)</f>
        <v>13550</v>
      </c>
      <c r="D2146" s="1">
        <f>IFERROR(__xludf.DUMMYFUNCTION("""COMPUTED_VALUE"""),12450.0)</f>
        <v>12450</v>
      </c>
      <c r="E2146" s="1">
        <f>IFERROR(__xludf.DUMMYFUNCTION("""COMPUTED_VALUE"""),12600.0)</f>
        <v>12600</v>
      </c>
      <c r="F2146" s="1">
        <f>IFERROR(__xludf.DUMMYFUNCTION("""COMPUTED_VALUE"""),226108.0)</f>
        <v>226108</v>
      </c>
    </row>
    <row r="2147">
      <c r="A2147" s="2">
        <f>IFERROR(__xludf.DUMMYFUNCTION("""COMPUTED_VALUE"""),44099.64583333333)</f>
        <v>44099.64583</v>
      </c>
      <c r="B2147" s="1">
        <f>IFERROR(__xludf.DUMMYFUNCTION("""COMPUTED_VALUE"""),12450.0)</f>
        <v>12450</v>
      </c>
      <c r="C2147" s="1">
        <f>IFERROR(__xludf.DUMMYFUNCTION("""COMPUTED_VALUE"""),13600.0)</f>
        <v>13600</v>
      </c>
      <c r="D2147" s="1">
        <f>IFERROR(__xludf.DUMMYFUNCTION("""COMPUTED_VALUE"""),12000.0)</f>
        <v>12000</v>
      </c>
      <c r="E2147" s="1">
        <f>IFERROR(__xludf.DUMMYFUNCTION("""COMPUTED_VALUE"""),13300.0)</f>
        <v>13300</v>
      </c>
      <c r="F2147" s="1">
        <f>IFERROR(__xludf.DUMMYFUNCTION("""COMPUTED_VALUE"""),555662.0)</f>
        <v>555662</v>
      </c>
    </row>
    <row r="2148">
      <c r="A2148" s="2">
        <f>IFERROR(__xludf.DUMMYFUNCTION("""COMPUTED_VALUE"""),44102.64583333333)</f>
        <v>44102.64583</v>
      </c>
      <c r="B2148" s="1">
        <f>IFERROR(__xludf.DUMMYFUNCTION("""COMPUTED_VALUE"""),13150.0)</f>
        <v>13150</v>
      </c>
      <c r="C2148" s="1">
        <f>IFERROR(__xludf.DUMMYFUNCTION("""COMPUTED_VALUE"""),13400.0)</f>
        <v>13400</v>
      </c>
      <c r="D2148" s="1">
        <f>IFERROR(__xludf.DUMMYFUNCTION("""COMPUTED_VALUE"""),12500.0)</f>
        <v>12500</v>
      </c>
      <c r="E2148" s="1">
        <f>IFERROR(__xludf.DUMMYFUNCTION("""COMPUTED_VALUE"""),13350.0)</f>
        <v>13350</v>
      </c>
      <c r="F2148" s="1">
        <f>IFERROR(__xludf.DUMMYFUNCTION("""COMPUTED_VALUE"""),220431.0)</f>
        <v>220431</v>
      </c>
    </row>
    <row r="2149">
      <c r="A2149" s="2">
        <f>IFERROR(__xludf.DUMMYFUNCTION("""COMPUTED_VALUE"""),44103.64583333333)</f>
        <v>44103.64583</v>
      </c>
      <c r="B2149" s="1">
        <f>IFERROR(__xludf.DUMMYFUNCTION("""COMPUTED_VALUE"""),13450.0)</f>
        <v>13450</v>
      </c>
      <c r="C2149" s="1">
        <f>IFERROR(__xludf.DUMMYFUNCTION("""COMPUTED_VALUE"""),13550.0)</f>
        <v>13550</v>
      </c>
      <c r="D2149" s="1">
        <f>IFERROR(__xludf.DUMMYFUNCTION("""COMPUTED_VALUE"""),13250.0)</f>
        <v>13250</v>
      </c>
      <c r="E2149" s="1">
        <f>IFERROR(__xludf.DUMMYFUNCTION("""COMPUTED_VALUE"""),13450.0)</f>
        <v>13450</v>
      </c>
      <c r="F2149" s="1">
        <f>IFERROR(__xludf.DUMMYFUNCTION("""COMPUTED_VALUE"""),144087.0)</f>
        <v>144087</v>
      </c>
    </row>
    <row r="2150">
      <c r="A2150" s="2">
        <f>IFERROR(__xludf.DUMMYFUNCTION("""COMPUTED_VALUE"""),44109.64583333333)</f>
        <v>44109.64583</v>
      </c>
      <c r="B2150" s="1">
        <f>IFERROR(__xludf.DUMMYFUNCTION("""COMPUTED_VALUE"""),12950.0)</f>
        <v>12950</v>
      </c>
      <c r="C2150" s="1">
        <f>IFERROR(__xludf.DUMMYFUNCTION("""COMPUTED_VALUE"""),13150.0)</f>
        <v>13150</v>
      </c>
      <c r="D2150" s="1">
        <f>IFERROR(__xludf.DUMMYFUNCTION("""COMPUTED_VALUE"""),12850.0)</f>
        <v>12850</v>
      </c>
      <c r="E2150" s="1">
        <f>IFERROR(__xludf.DUMMYFUNCTION("""COMPUTED_VALUE"""),13050.0)</f>
        <v>13050</v>
      </c>
      <c r="F2150" s="1">
        <f>IFERROR(__xludf.DUMMYFUNCTION("""COMPUTED_VALUE"""),108704.0)</f>
        <v>108704</v>
      </c>
    </row>
    <row r="2151">
      <c r="A2151" s="2">
        <f>IFERROR(__xludf.DUMMYFUNCTION("""COMPUTED_VALUE"""),44110.64583333333)</f>
        <v>44110.64583</v>
      </c>
      <c r="B2151" s="1">
        <f>IFERROR(__xludf.DUMMYFUNCTION("""COMPUTED_VALUE"""),13100.0)</f>
        <v>13100</v>
      </c>
      <c r="C2151" s="1">
        <f>IFERROR(__xludf.DUMMYFUNCTION("""COMPUTED_VALUE"""),13200.0)</f>
        <v>13200</v>
      </c>
      <c r="D2151" s="1">
        <f>IFERROR(__xludf.DUMMYFUNCTION("""COMPUTED_VALUE"""),12850.0)</f>
        <v>12850</v>
      </c>
      <c r="E2151" s="1">
        <f>IFERROR(__xludf.DUMMYFUNCTION("""COMPUTED_VALUE"""),12950.0)</f>
        <v>12950</v>
      </c>
      <c r="F2151" s="1">
        <f>IFERROR(__xludf.DUMMYFUNCTION("""COMPUTED_VALUE"""),85582.0)</f>
        <v>85582</v>
      </c>
    </row>
    <row r="2152">
      <c r="A2152" s="2">
        <f>IFERROR(__xludf.DUMMYFUNCTION("""COMPUTED_VALUE"""),44111.64583333333)</f>
        <v>44111.64583</v>
      </c>
      <c r="B2152" s="1">
        <f>IFERROR(__xludf.DUMMYFUNCTION("""COMPUTED_VALUE"""),12750.0)</f>
        <v>12750</v>
      </c>
      <c r="C2152" s="1">
        <f>IFERROR(__xludf.DUMMYFUNCTION("""COMPUTED_VALUE"""),13100.0)</f>
        <v>13100</v>
      </c>
      <c r="D2152" s="1">
        <f>IFERROR(__xludf.DUMMYFUNCTION("""COMPUTED_VALUE"""),12750.0)</f>
        <v>12750</v>
      </c>
      <c r="E2152" s="1">
        <f>IFERROR(__xludf.DUMMYFUNCTION("""COMPUTED_VALUE"""),12950.0)</f>
        <v>12950</v>
      </c>
      <c r="F2152" s="1">
        <f>IFERROR(__xludf.DUMMYFUNCTION("""COMPUTED_VALUE"""),63187.0)</f>
        <v>63187</v>
      </c>
    </row>
    <row r="2153">
      <c r="A2153" s="2">
        <f>IFERROR(__xludf.DUMMYFUNCTION("""COMPUTED_VALUE"""),44112.64583333333)</f>
        <v>44112.64583</v>
      </c>
      <c r="B2153" s="1">
        <f>IFERROR(__xludf.DUMMYFUNCTION("""COMPUTED_VALUE"""),13100.0)</f>
        <v>13100</v>
      </c>
      <c r="C2153" s="1">
        <f>IFERROR(__xludf.DUMMYFUNCTION("""COMPUTED_VALUE"""),13200.0)</f>
        <v>13200</v>
      </c>
      <c r="D2153" s="1">
        <f>IFERROR(__xludf.DUMMYFUNCTION("""COMPUTED_VALUE"""),12900.0)</f>
        <v>12900</v>
      </c>
      <c r="E2153" s="1">
        <f>IFERROR(__xludf.DUMMYFUNCTION("""COMPUTED_VALUE"""),12950.0)</f>
        <v>12950</v>
      </c>
      <c r="F2153" s="1">
        <f>IFERROR(__xludf.DUMMYFUNCTION("""COMPUTED_VALUE"""),45920.0)</f>
        <v>45920</v>
      </c>
    </row>
    <row r="2154">
      <c r="A2154" s="2">
        <f>IFERROR(__xludf.DUMMYFUNCTION("""COMPUTED_VALUE"""),44116.64583333333)</f>
        <v>44116.64583</v>
      </c>
      <c r="B2154" s="1">
        <f>IFERROR(__xludf.DUMMYFUNCTION("""COMPUTED_VALUE"""),13450.0)</f>
        <v>13450</v>
      </c>
      <c r="C2154" s="1">
        <f>IFERROR(__xludf.DUMMYFUNCTION("""COMPUTED_VALUE"""),13650.0)</f>
        <v>13650</v>
      </c>
      <c r="D2154" s="1">
        <f>IFERROR(__xludf.DUMMYFUNCTION("""COMPUTED_VALUE"""),13300.0)</f>
        <v>13300</v>
      </c>
      <c r="E2154" s="1">
        <f>IFERROR(__xludf.DUMMYFUNCTION("""COMPUTED_VALUE"""),13400.0)</f>
        <v>13400</v>
      </c>
      <c r="F2154" s="1">
        <f>IFERROR(__xludf.DUMMYFUNCTION("""COMPUTED_VALUE"""),190360.0)</f>
        <v>190360</v>
      </c>
    </row>
    <row r="2155">
      <c r="A2155" s="2">
        <f>IFERROR(__xludf.DUMMYFUNCTION("""COMPUTED_VALUE"""),44117.64583333333)</f>
        <v>44117.64583</v>
      </c>
      <c r="B2155" s="1">
        <f>IFERROR(__xludf.DUMMYFUNCTION("""COMPUTED_VALUE"""),13400.0)</f>
        <v>13400</v>
      </c>
      <c r="C2155" s="1">
        <f>IFERROR(__xludf.DUMMYFUNCTION("""COMPUTED_VALUE"""),13400.0)</f>
        <v>13400</v>
      </c>
      <c r="D2155" s="1">
        <f>IFERROR(__xludf.DUMMYFUNCTION("""COMPUTED_VALUE"""),13050.0)</f>
        <v>13050</v>
      </c>
      <c r="E2155" s="1">
        <f>IFERROR(__xludf.DUMMYFUNCTION("""COMPUTED_VALUE"""),13150.0)</f>
        <v>13150</v>
      </c>
      <c r="F2155" s="1">
        <f>IFERROR(__xludf.DUMMYFUNCTION("""COMPUTED_VALUE"""),51402.0)</f>
        <v>51402</v>
      </c>
    </row>
    <row r="2156">
      <c r="A2156" s="2">
        <f>IFERROR(__xludf.DUMMYFUNCTION("""COMPUTED_VALUE"""),44118.64583333333)</f>
        <v>44118.64583</v>
      </c>
      <c r="B2156" s="1">
        <f>IFERROR(__xludf.DUMMYFUNCTION("""COMPUTED_VALUE"""),13150.0)</f>
        <v>13150</v>
      </c>
      <c r="C2156" s="1">
        <f>IFERROR(__xludf.DUMMYFUNCTION("""COMPUTED_VALUE"""),13200.0)</f>
        <v>13200</v>
      </c>
      <c r="D2156" s="1">
        <f>IFERROR(__xludf.DUMMYFUNCTION("""COMPUTED_VALUE"""),12850.0)</f>
        <v>12850</v>
      </c>
      <c r="E2156" s="1">
        <f>IFERROR(__xludf.DUMMYFUNCTION("""COMPUTED_VALUE"""),12950.0)</f>
        <v>12950</v>
      </c>
      <c r="F2156" s="1">
        <f>IFERROR(__xludf.DUMMYFUNCTION("""COMPUTED_VALUE"""),86338.0)</f>
        <v>86338</v>
      </c>
    </row>
    <row r="2157">
      <c r="A2157" s="2">
        <f>IFERROR(__xludf.DUMMYFUNCTION("""COMPUTED_VALUE"""),44119.64583333333)</f>
        <v>44119.64583</v>
      </c>
      <c r="B2157" s="1">
        <f>IFERROR(__xludf.DUMMYFUNCTION("""COMPUTED_VALUE"""),12850.0)</f>
        <v>12850</v>
      </c>
      <c r="C2157" s="1">
        <f>IFERROR(__xludf.DUMMYFUNCTION("""COMPUTED_VALUE"""),13150.0)</f>
        <v>13150</v>
      </c>
      <c r="D2157" s="1">
        <f>IFERROR(__xludf.DUMMYFUNCTION("""COMPUTED_VALUE"""),12600.0)</f>
        <v>12600</v>
      </c>
      <c r="E2157" s="1">
        <f>IFERROR(__xludf.DUMMYFUNCTION("""COMPUTED_VALUE"""),12900.0)</f>
        <v>12900</v>
      </c>
      <c r="F2157" s="1">
        <f>IFERROR(__xludf.DUMMYFUNCTION("""COMPUTED_VALUE"""),133135.0)</f>
        <v>133135</v>
      </c>
    </row>
    <row r="2158">
      <c r="A2158" s="2">
        <f>IFERROR(__xludf.DUMMYFUNCTION("""COMPUTED_VALUE"""),44120.64583333333)</f>
        <v>44120.64583</v>
      </c>
      <c r="B2158" s="1">
        <f>IFERROR(__xludf.DUMMYFUNCTION("""COMPUTED_VALUE"""),12950.0)</f>
        <v>12950</v>
      </c>
      <c r="C2158" s="1">
        <f>IFERROR(__xludf.DUMMYFUNCTION("""COMPUTED_VALUE"""),13050.0)</f>
        <v>13050</v>
      </c>
      <c r="D2158" s="1">
        <f>IFERROR(__xludf.DUMMYFUNCTION("""COMPUTED_VALUE"""),12500.0)</f>
        <v>12500</v>
      </c>
      <c r="E2158" s="1">
        <f>IFERROR(__xludf.DUMMYFUNCTION("""COMPUTED_VALUE"""),12600.0)</f>
        <v>12600</v>
      </c>
      <c r="F2158" s="1">
        <f>IFERROR(__xludf.DUMMYFUNCTION("""COMPUTED_VALUE"""),123982.0)</f>
        <v>123982</v>
      </c>
    </row>
    <row r="2159">
      <c r="A2159" s="2">
        <f>IFERROR(__xludf.DUMMYFUNCTION("""COMPUTED_VALUE"""),44123.64583333333)</f>
        <v>44123.64583</v>
      </c>
      <c r="B2159" s="1">
        <f>IFERROR(__xludf.DUMMYFUNCTION("""COMPUTED_VALUE"""),12550.0)</f>
        <v>12550</v>
      </c>
      <c r="C2159" s="1">
        <f>IFERROR(__xludf.DUMMYFUNCTION("""COMPUTED_VALUE"""),12650.0)</f>
        <v>12650</v>
      </c>
      <c r="D2159" s="1">
        <f>IFERROR(__xludf.DUMMYFUNCTION("""COMPUTED_VALUE"""),12350.0)</f>
        <v>12350</v>
      </c>
      <c r="E2159" s="1">
        <f>IFERROR(__xludf.DUMMYFUNCTION("""COMPUTED_VALUE"""),12450.0)</f>
        <v>12450</v>
      </c>
      <c r="F2159" s="1">
        <f>IFERROR(__xludf.DUMMYFUNCTION("""COMPUTED_VALUE"""),37346.0)</f>
        <v>37346</v>
      </c>
    </row>
    <row r="2160">
      <c r="A2160" s="2">
        <f>IFERROR(__xludf.DUMMYFUNCTION("""COMPUTED_VALUE"""),44124.64583333333)</f>
        <v>44124.64583</v>
      </c>
      <c r="B2160" s="1">
        <f>IFERROR(__xludf.DUMMYFUNCTION("""COMPUTED_VALUE"""),12350.0)</f>
        <v>12350</v>
      </c>
      <c r="C2160" s="1">
        <f>IFERROR(__xludf.DUMMYFUNCTION("""COMPUTED_VALUE"""),12550.0)</f>
        <v>12550</v>
      </c>
      <c r="D2160" s="1">
        <f>IFERROR(__xludf.DUMMYFUNCTION("""COMPUTED_VALUE"""),11950.0)</f>
        <v>11950</v>
      </c>
      <c r="E2160" s="1">
        <f>IFERROR(__xludf.DUMMYFUNCTION("""COMPUTED_VALUE"""),12200.0)</f>
        <v>12200</v>
      </c>
      <c r="F2160" s="1">
        <f>IFERROR(__xludf.DUMMYFUNCTION("""COMPUTED_VALUE"""),86726.0)</f>
        <v>86726</v>
      </c>
    </row>
    <row r="2161">
      <c r="A2161" s="2">
        <f>IFERROR(__xludf.DUMMYFUNCTION("""COMPUTED_VALUE"""),44125.64583333333)</f>
        <v>44125.64583</v>
      </c>
      <c r="B2161" s="1">
        <f>IFERROR(__xludf.DUMMYFUNCTION("""COMPUTED_VALUE"""),12200.0)</f>
        <v>12200</v>
      </c>
      <c r="C2161" s="1">
        <f>IFERROR(__xludf.DUMMYFUNCTION("""COMPUTED_VALUE"""),12350.0)</f>
        <v>12350</v>
      </c>
      <c r="D2161" s="1">
        <f>IFERROR(__xludf.DUMMYFUNCTION("""COMPUTED_VALUE"""),12100.0)</f>
        <v>12100</v>
      </c>
      <c r="E2161" s="1">
        <f>IFERROR(__xludf.DUMMYFUNCTION("""COMPUTED_VALUE"""),12300.0)</f>
        <v>12300</v>
      </c>
      <c r="F2161" s="1">
        <f>IFERROR(__xludf.DUMMYFUNCTION("""COMPUTED_VALUE"""),43424.0)</f>
        <v>43424</v>
      </c>
    </row>
    <row r="2162">
      <c r="A2162" s="2">
        <f>IFERROR(__xludf.DUMMYFUNCTION("""COMPUTED_VALUE"""),44126.64583333333)</f>
        <v>44126.64583</v>
      </c>
      <c r="B2162" s="1">
        <f>IFERROR(__xludf.DUMMYFUNCTION("""COMPUTED_VALUE"""),12250.0)</f>
        <v>12250</v>
      </c>
      <c r="C2162" s="1">
        <f>IFERROR(__xludf.DUMMYFUNCTION("""COMPUTED_VALUE"""),12250.0)</f>
        <v>12250</v>
      </c>
      <c r="D2162" s="1">
        <f>IFERROR(__xludf.DUMMYFUNCTION("""COMPUTED_VALUE"""),11900.0)</f>
        <v>11900</v>
      </c>
      <c r="E2162" s="1">
        <f>IFERROR(__xludf.DUMMYFUNCTION("""COMPUTED_VALUE"""),12000.0)</f>
        <v>12000</v>
      </c>
      <c r="F2162" s="1">
        <f>IFERROR(__xludf.DUMMYFUNCTION("""COMPUTED_VALUE"""),47923.0)</f>
        <v>47923</v>
      </c>
    </row>
    <row r="2163">
      <c r="A2163" s="2">
        <f>IFERROR(__xludf.DUMMYFUNCTION("""COMPUTED_VALUE"""),44127.64583333333)</f>
        <v>44127.64583</v>
      </c>
      <c r="B2163" s="1">
        <f>IFERROR(__xludf.DUMMYFUNCTION("""COMPUTED_VALUE"""),12050.0)</f>
        <v>12050</v>
      </c>
      <c r="C2163" s="1">
        <f>IFERROR(__xludf.DUMMYFUNCTION("""COMPUTED_VALUE"""),12400.0)</f>
        <v>12400</v>
      </c>
      <c r="D2163" s="1">
        <f>IFERROR(__xludf.DUMMYFUNCTION("""COMPUTED_VALUE"""),11950.0)</f>
        <v>11950</v>
      </c>
      <c r="E2163" s="1">
        <f>IFERROR(__xludf.DUMMYFUNCTION("""COMPUTED_VALUE"""),12000.0)</f>
        <v>12000</v>
      </c>
      <c r="F2163" s="1">
        <f>IFERROR(__xludf.DUMMYFUNCTION("""COMPUTED_VALUE"""),52837.0)</f>
        <v>52837</v>
      </c>
    </row>
    <row r="2164">
      <c r="A2164" s="2">
        <f>IFERROR(__xludf.DUMMYFUNCTION("""COMPUTED_VALUE"""),44130.64583333333)</f>
        <v>44130.64583</v>
      </c>
      <c r="B2164" s="1">
        <f>IFERROR(__xludf.DUMMYFUNCTION("""COMPUTED_VALUE"""),11850.0)</f>
        <v>11850</v>
      </c>
      <c r="C2164" s="1">
        <f>IFERROR(__xludf.DUMMYFUNCTION("""COMPUTED_VALUE"""),12000.0)</f>
        <v>12000</v>
      </c>
      <c r="D2164" s="1">
        <f>IFERROR(__xludf.DUMMYFUNCTION("""COMPUTED_VALUE"""),11400.0)</f>
        <v>11400</v>
      </c>
      <c r="E2164" s="1">
        <f>IFERROR(__xludf.DUMMYFUNCTION("""COMPUTED_VALUE"""),11400.0)</f>
        <v>11400</v>
      </c>
      <c r="F2164" s="1">
        <f>IFERROR(__xludf.DUMMYFUNCTION("""COMPUTED_VALUE"""),96962.0)</f>
        <v>96962</v>
      </c>
    </row>
    <row r="2165">
      <c r="A2165" s="2">
        <f>IFERROR(__xludf.DUMMYFUNCTION("""COMPUTED_VALUE"""),44131.64583333333)</f>
        <v>44131.64583</v>
      </c>
      <c r="B2165" s="1">
        <f>IFERROR(__xludf.DUMMYFUNCTION("""COMPUTED_VALUE"""),11300.0)</f>
        <v>11300</v>
      </c>
      <c r="C2165" s="1">
        <f>IFERROR(__xludf.DUMMYFUNCTION("""COMPUTED_VALUE"""),11550.0)</f>
        <v>11550</v>
      </c>
      <c r="D2165" s="1">
        <f>IFERROR(__xludf.DUMMYFUNCTION("""COMPUTED_VALUE"""),10950.0)</f>
        <v>10950</v>
      </c>
      <c r="E2165" s="1">
        <f>IFERROR(__xludf.DUMMYFUNCTION("""COMPUTED_VALUE"""),11200.0)</f>
        <v>11200</v>
      </c>
      <c r="F2165" s="1">
        <f>IFERROR(__xludf.DUMMYFUNCTION("""COMPUTED_VALUE"""),61871.0)</f>
        <v>61871</v>
      </c>
    </row>
    <row r="2166">
      <c r="A2166" s="2">
        <f>IFERROR(__xludf.DUMMYFUNCTION("""COMPUTED_VALUE"""),44132.64583333333)</f>
        <v>44132.64583</v>
      </c>
      <c r="B2166" s="1">
        <f>IFERROR(__xludf.DUMMYFUNCTION("""COMPUTED_VALUE"""),11100.0)</f>
        <v>11100</v>
      </c>
      <c r="C2166" s="1">
        <f>IFERROR(__xludf.DUMMYFUNCTION("""COMPUTED_VALUE"""),11550.0)</f>
        <v>11550</v>
      </c>
      <c r="D2166" s="1">
        <f>IFERROR(__xludf.DUMMYFUNCTION("""COMPUTED_VALUE"""),11100.0)</f>
        <v>11100</v>
      </c>
      <c r="E2166" s="1">
        <f>IFERROR(__xludf.DUMMYFUNCTION("""COMPUTED_VALUE"""),11500.0)</f>
        <v>11500</v>
      </c>
      <c r="F2166" s="1">
        <f>IFERROR(__xludf.DUMMYFUNCTION("""COMPUTED_VALUE"""),29957.0)</f>
        <v>29957</v>
      </c>
    </row>
    <row r="2167">
      <c r="A2167" s="2">
        <f>IFERROR(__xludf.DUMMYFUNCTION("""COMPUTED_VALUE"""),44133.64583333333)</f>
        <v>44133.64583</v>
      </c>
      <c r="B2167" s="1">
        <f>IFERROR(__xludf.DUMMYFUNCTION("""COMPUTED_VALUE"""),11150.0)</f>
        <v>11150</v>
      </c>
      <c r="C2167" s="1">
        <f>IFERROR(__xludf.DUMMYFUNCTION("""COMPUTED_VALUE"""),11400.0)</f>
        <v>11400</v>
      </c>
      <c r="D2167" s="1">
        <f>IFERROR(__xludf.DUMMYFUNCTION("""COMPUTED_VALUE"""),11150.0)</f>
        <v>11150</v>
      </c>
      <c r="E2167" s="1">
        <f>IFERROR(__xludf.DUMMYFUNCTION("""COMPUTED_VALUE"""),11400.0)</f>
        <v>11400</v>
      </c>
      <c r="F2167" s="1">
        <f>IFERROR(__xludf.DUMMYFUNCTION("""COMPUTED_VALUE"""),38139.0)</f>
        <v>38139</v>
      </c>
    </row>
    <row r="2168">
      <c r="A2168" s="2">
        <f>IFERROR(__xludf.DUMMYFUNCTION("""COMPUTED_VALUE"""),44134.64583333333)</f>
        <v>44134.64583</v>
      </c>
      <c r="B2168" s="1">
        <f>IFERROR(__xludf.DUMMYFUNCTION("""COMPUTED_VALUE"""),11400.0)</f>
        <v>11400</v>
      </c>
      <c r="C2168" s="1">
        <f>IFERROR(__xludf.DUMMYFUNCTION("""COMPUTED_VALUE"""),11500.0)</f>
        <v>11500</v>
      </c>
      <c r="D2168" s="1">
        <f>IFERROR(__xludf.DUMMYFUNCTION("""COMPUTED_VALUE"""),11250.0)</f>
        <v>11250</v>
      </c>
      <c r="E2168" s="1">
        <f>IFERROR(__xludf.DUMMYFUNCTION("""COMPUTED_VALUE"""),11450.0)</f>
        <v>11450</v>
      </c>
      <c r="F2168" s="1">
        <f>IFERROR(__xludf.DUMMYFUNCTION("""COMPUTED_VALUE"""),32257.0)</f>
        <v>32257</v>
      </c>
    </row>
    <row r="2169">
      <c r="A2169" s="2">
        <f>IFERROR(__xludf.DUMMYFUNCTION("""COMPUTED_VALUE"""),44137.64583333333)</f>
        <v>44137.64583</v>
      </c>
      <c r="B2169" s="1">
        <f>IFERROR(__xludf.DUMMYFUNCTION("""COMPUTED_VALUE"""),11450.0)</f>
        <v>11450</v>
      </c>
      <c r="C2169" s="1">
        <f>IFERROR(__xludf.DUMMYFUNCTION("""COMPUTED_VALUE"""),11700.0)</f>
        <v>11700</v>
      </c>
      <c r="D2169" s="1">
        <f>IFERROR(__xludf.DUMMYFUNCTION("""COMPUTED_VALUE"""),11350.0)</f>
        <v>11350</v>
      </c>
      <c r="E2169" s="1">
        <f>IFERROR(__xludf.DUMMYFUNCTION("""COMPUTED_VALUE"""),11650.0)</f>
        <v>11650</v>
      </c>
      <c r="F2169" s="1">
        <f>IFERROR(__xludf.DUMMYFUNCTION("""COMPUTED_VALUE"""),35663.0)</f>
        <v>35663</v>
      </c>
    </row>
    <row r="2170">
      <c r="A2170" s="2">
        <f>IFERROR(__xludf.DUMMYFUNCTION("""COMPUTED_VALUE"""),44138.64583333333)</f>
        <v>44138.64583</v>
      </c>
      <c r="B2170" s="1">
        <f>IFERROR(__xludf.DUMMYFUNCTION("""COMPUTED_VALUE"""),11700.0)</f>
        <v>11700</v>
      </c>
      <c r="C2170" s="1">
        <f>IFERROR(__xludf.DUMMYFUNCTION("""COMPUTED_VALUE"""),12050.0)</f>
        <v>12050</v>
      </c>
      <c r="D2170" s="1">
        <f>IFERROR(__xludf.DUMMYFUNCTION("""COMPUTED_VALUE"""),11650.0)</f>
        <v>11650</v>
      </c>
      <c r="E2170" s="1">
        <f>IFERROR(__xludf.DUMMYFUNCTION("""COMPUTED_VALUE"""),11850.0)</f>
        <v>11850</v>
      </c>
      <c r="F2170" s="1">
        <f>IFERROR(__xludf.DUMMYFUNCTION("""COMPUTED_VALUE"""),73718.0)</f>
        <v>73718</v>
      </c>
    </row>
    <row r="2171">
      <c r="A2171" s="2">
        <f>IFERROR(__xludf.DUMMYFUNCTION("""COMPUTED_VALUE"""),44139.64583333333)</f>
        <v>44139.64583</v>
      </c>
      <c r="B2171" s="1">
        <f>IFERROR(__xludf.DUMMYFUNCTION("""COMPUTED_VALUE"""),12000.0)</f>
        <v>12000</v>
      </c>
      <c r="C2171" s="1">
        <f>IFERROR(__xludf.DUMMYFUNCTION("""COMPUTED_VALUE"""),13000.0)</f>
        <v>13000</v>
      </c>
      <c r="D2171" s="1">
        <f>IFERROR(__xludf.DUMMYFUNCTION("""COMPUTED_VALUE"""),11750.0)</f>
        <v>11750</v>
      </c>
      <c r="E2171" s="1">
        <f>IFERROR(__xludf.DUMMYFUNCTION("""COMPUTED_VALUE"""),12800.0)</f>
        <v>12800</v>
      </c>
      <c r="F2171" s="1">
        <f>IFERROR(__xludf.DUMMYFUNCTION("""COMPUTED_VALUE"""),327161.0)</f>
        <v>327161</v>
      </c>
    </row>
    <row r="2172">
      <c r="A2172" s="2">
        <f>IFERROR(__xludf.DUMMYFUNCTION("""COMPUTED_VALUE"""),44140.64583333333)</f>
        <v>44140.64583</v>
      </c>
      <c r="B2172" s="1">
        <f>IFERROR(__xludf.DUMMYFUNCTION("""COMPUTED_VALUE"""),11800.0)</f>
        <v>11800</v>
      </c>
      <c r="C2172" s="1">
        <f>IFERROR(__xludf.DUMMYFUNCTION("""COMPUTED_VALUE"""),12150.0)</f>
        <v>12150</v>
      </c>
      <c r="D2172" s="1">
        <f>IFERROR(__xludf.DUMMYFUNCTION("""COMPUTED_VALUE"""),11750.0)</f>
        <v>11750</v>
      </c>
      <c r="E2172" s="1">
        <f>IFERROR(__xludf.DUMMYFUNCTION("""COMPUTED_VALUE"""),12050.0)</f>
        <v>12050</v>
      </c>
      <c r="F2172" s="1">
        <f>IFERROR(__xludf.DUMMYFUNCTION("""COMPUTED_VALUE"""),153641.0)</f>
        <v>153641</v>
      </c>
    </row>
    <row r="2173">
      <c r="A2173" s="2">
        <f>IFERROR(__xludf.DUMMYFUNCTION("""COMPUTED_VALUE"""),44141.64583333333)</f>
        <v>44141.64583</v>
      </c>
      <c r="B2173" s="1">
        <f>IFERROR(__xludf.DUMMYFUNCTION("""COMPUTED_VALUE"""),12200.0)</f>
        <v>12200</v>
      </c>
      <c r="C2173" s="1">
        <f>IFERROR(__xludf.DUMMYFUNCTION("""COMPUTED_VALUE"""),12200.0)</f>
        <v>12200</v>
      </c>
      <c r="D2173" s="1">
        <f>IFERROR(__xludf.DUMMYFUNCTION("""COMPUTED_VALUE"""),11850.0)</f>
        <v>11850</v>
      </c>
      <c r="E2173" s="1">
        <f>IFERROR(__xludf.DUMMYFUNCTION("""COMPUTED_VALUE"""),11900.0)</f>
        <v>11900</v>
      </c>
      <c r="F2173" s="1">
        <f>IFERROR(__xludf.DUMMYFUNCTION("""COMPUTED_VALUE"""),77939.0)</f>
        <v>77939</v>
      </c>
    </row>
    <row r="2174">
      <c r="A2174" s="2">
        <f>IFERROR(__xludf.DUMMYFUNCTION("""COMPUTED_VALUE"""),44144.64583333333)</f>
        <v>44144.64583</v>
      </c>
      <c r="B2174" s="1">
        <f>IFERROR(__xludf.DUMMYFUNCTION("""COMPUTED_VALUE"""),11900.0)</f>
        <v>11900</v>
      </c>
      <c r="C2174" s="1">
        <f>IFERROR(__xludf.DUMMYFUNCTION("""COMPUTED_VALUE"""),12200.0)</f>
        <v>12200</v>
      </c>
      <c r="D2174" s="1">
        <f>IFERROR(__xludf.DUMMYFUNCTION("""COMPUTED_VALUE"""),11550.0)</f>
        <v>11550</v>
      </c>
      <c r="E2174" s="1">
        <f>IFERROR(__xludf.DUMMYFUNCTION("""COMPUTED_VALUE"""),12000.0)</f>
        <v>12000</v>
      </c>
      <c r="F2174" s="1">
        <f>IFERROR(__xludf.DUMMYFUNCTION("""COMPUTED_VALUE"""),104662.0)</f>
        <v>104662</v>
      </c>
    </row>
    <row r="2175">
      <c r="A2175" s="2">
        <f>IFERROR(__xludf.DUMMYFUNCTION("""COMPUTED_VALUE"""),44145.64583333333)</f>
        <v>44145.64583</v>
      </c>
      <c r="B2175" s="1">
        <f>IFERROR(__xludf.DUMMYFUNCTION("""COMPUTED_VALUE"""),12100.0)</f>
        <v>12100</v>
      </c>
      <c r="C2175" s="1">
        <f>IFERROR(__xludf.DUMMYFUNCTION("""COMPUTED_VALUE"""),12450.0)</f>
        <v>12450</v>
      </c>
      <c r="D2175" s="1">
        <f>IFERROR(__xludf.DUMMYFUNCTION("""COMPUTED_VALUE"""),11850.0)</f>
        <v>11850</v>
      </c>
      <c r="E2175" s="1">
        <f>IFERROR(__xludf.DUMMYFUNCTION("""COMPUTED_VALUE"""),12350.0)</f>
        <v>12350</v>
      </c>
      <c r="F2175" s="1">
        <f>IFERROR(__xludf.DUMMYFUNCTION("""COMPUTED_VALUE"""),111789.0)</f>
        <v>111789</v>
      </c>
    </row>
    <row r="2176">
      <c r="A2176" s="2">
        <f>IFERROR(__xludf.DUMMYFUNCTION("""COMPUTED_VALUE"""),44146.64583333333)</f>
        <v>44146.64583</v>
      </c>
      <c r="B2176" s="1">
        <f>IFERROR(__xludf.DUMMYFUNCTION("""COMPUTED_VALUE"""),12300.0)</f>
        <v>12300</v>
      </c>
      <c r="C2176" s="1">
        <f>IFERROR(__xludf.DUMMYFUNCTION("""COMPUTED_VALUE"""),12750.0)</f>
        <v>12750</v>
      </c>
      <c r="D2176" s="1">
        <f>IFERROR(__xludf.DUMMYFUNCTION("""COMPUTED_VALUE"""),12050.0)</f>
        <v>12050</v>
      </c>
      <c r="E2176" s="1">
        <f>IFERROR(__xludf.DUMMYFUNCTION("""COMPUTED_VALUE"""),12300.0)</f>
        <v>12300</v>
      </c>
      <c r="F2176" s="1">
        <f>IFERROR(__xludf.DUMMYFUNCTION("""COMPUTED_VALUE"""),106347.0)</f>
        <v>106347</v>
      </c>
    </row>
    <row r="2177">
      <c r="A2177" s="2">
        <f>IFERROR(__xludf.DUMMYFUNCTION("""COMPUTED_VALUE"""),44147.64583333333)</f>
        <v>44147.64583</v>
      </c>
      <c r="B2177" s="1">
        <f>IFERROR(__xludf.DUMMYFUNCTION("""COMPUTED_VALUE"""),12250.0)</f>
        <v>12250</v>
      </c>
      <c r="C2177" s="1">
        <f>IFERROR(__xludf.DUMMYFUNCTION("""COMPUTED_VALUE"""),12550.0)</f>
        <v>12550</v>
      </c>
      <c r="D2177" s="1">
        <f>IFERROR(__xludf.DUMMYFUNCTION("""COMPUTED_VALUE"""),12200.0)</f>
        <v>12200</v>
      </c>
      <c r="E2177" s="1">
        <f>IFERROR(__xludf.DUMMYFUNCTION("""COMPUTED_VALUE"""),12350.0)</f>
        <v>12350</v>
      </c>
      <c r="F2177" s="1">
        <f>IFERROR(__xludf.DUMMYFUNCTION("""COMPUTED_VALUE"""),90302.0)</f>
        <v>90302</v>
      </c>
    </row>
    <row r="2178">
      <c r="A2178" s="2">
        <f>IFERROR(__xludf.DUMMYFUNCTION("""COMPUTED_VALUE"""),44148.64583333333)</f>
        <v>44148.64583</v>
      </c>
      <c r="B2178" s="1">
        <f>IFERROR(__xludf.DUMMYFUNCTION("""COMPUTED_VALUE"""),12300.0)</f>
        <v>12300</v>
      </c>
      <c r="C2178" s="1">
        <f>IFERROR(__xludf.DUMMYFUNCTION("""COMPUTED_VALUE"""),12400.0)</f>
        <v>12400</v>
      </c>
      <c r="D2178" s="1">
        <f>IFERROR(__xludf.DUMMYFUNCTION("""COMPUTED_VALUE"""),12050.0)</f>
        <v>12050</v>
      </c>
      <c r="E2178" s="1">
        <f>IFERROR(__xludf.DUMMYFUNCTION("""COMPUTED_VALUE"""),12200.0)</f>
        <v>12200</v>
      </c>
      <c r="F2178" s="1">
        <f>IFERROR(__xludf.DUMMYFUNCTION("""COMPUTED_VALUE"""),46706.0)</f>
        <v>46706</v>
      </c>
    </row>
    <row r="2179">
      <c r="A2179" s="2">
        <f>IFERROR(__xludf.DUMMYFUNCTION("""COMPUTED_VALUE"""),44151.64583333333)</f>
        <v>44151.64583</v>
      </c>
      <c r="B2179" s="1">
        <f>IFERROR(__xludf.DUMMYFUNCTION("""COMPUTED_VALUE"""),12200.0)</f>
        <v>12200</v>
      </c>
      <c r="C2179" s="1">
        <f>IFERROR(__xludf.DUMMYFUNCTION("""COMPUTED_VALUE"""),12450.0)</f>
        <v>12450</v>
      </c>
      <c r="D2179" s="1">
        <f>IFERROR(__xludf.DUMMYFUNCTION("""COMPUTED_VALUE"""),12200.0)</f>
        <v>12200</v>
      </c>
      <c r="E2179" s="1">
        <f>IFERROR(__xludf.DUMMYFUNCTION("""COMPUTED_VALUE"""),12450.0)</f>
        <v>12450</v>
      </c>
      <c r="F2179" s="1">
        <f>IFERROR(__xludf.DUMMYFUNCTION("""COMPUTED_VALUE"""),101282.0)</f>
        <v>101282</v>
      </c>
    </row>
    <row r="2180">
      <c r="A2180" s="2">
        <f>IFERROR(__xludf.DUMMYFUNCTION("""COMPUTED_VALUE"""),44152.64583333333)</f>
        <v>44152.64583</v>
      </c>
      <c r="B2180" s="1">
        <f>IFERROR(__xludf.DUMMYFUNCTION("""COMPUTED_VALUE"""),12450.0)</f>
        <v>12450</v>
      </c>
      <c r="C2180" s="1">
        <f>IFERROR(__xludf.DUMMYFUNCTION("""COMPUTED_VALUE"""),12450.0)</f>
        <v>12450</v>
      </c>
      <c r="D2180" s="1">
        <f>IFERROR(__xludf.DUMMYFUNCTION("""COMPUTED_VALUE"""),12250.0)</f>
        <v>12250</v>
      </c>
      <c r="E2180" s="1">
        <f>IFERROR(__xludf.DUMMYFUNCTION("""COMPUTED_VALUE"""),12300.0)</f>
        <v>12300</v>
      </c>
      <c r="F2180" s="1">
        <f>IFERROR(__xludf.DUMMYFUNCTION("""COMPUTED_VALUE"""),52345.0)</f>
        <v>52345</v>
      </c>
    </row>
    <row r="2181">
      <c r="A2181" s="2">
        <f>IFERROR(__xludf.DUMMYFUNCTION("""COMPUTED_VALUE"""),44153.64583333333)</f>
        <v>44153.64583</v>
      </c>
      <c r="B2181" s="1">
        <f>IFERROR(__xludf.DUMMYFUNCTION("""COMPUTED_VALUE"""),12300.0)</f>
        <v>12300</v>
      </c>
      <c r="C2181" s="1">
        <f>IFERROR(__xludf.DUMMYFUNCTION("""COMPUTED_VALUE"""),12900.0)</f>
        <v>12900</v>
      </c>
      <c r="D2181" s="1">
        <f>IFERROR(__xludf.DUMMYFUNCTION("""COMPUTED_VALUE"""),12250.0)</f>
        <v>12250</v>
      </c>
      <c r="E2181" s="1">
        <f>IFERROR(__xludf.DUMMYFUNCTION("""COMPUTED_VALUE"""),12800.0)</f>
        <v>12800</v>
      </c>
      <c r="F2181" s="1">
        <f>IFERROR(__xludf.DUMMYFUNCTION("""COMPUTED_VALUE"""),242741.0)</f>
        <v>242741</v>
      </c>
    </row>
    <row r="2182">
      <c r="A2182" s="2">
        <f>IFERROR(__xludf.DUMMYFUNCTION("""COMPUTED_VALUE"""),44154.64583333333)</f>
        <v>44154.64583</v>
      </c>
      <c r="B2182" s="1">
        <f>IFERROR(__xludf.DUMMYFUNCTION("""COMPUTED_VALUE"""),12800.0)</f>
        <v>12800</v>
      </c>
      <c r="C2182" s="1">
        <f>IFERROR(__xludf.DUMMYFUNCTION("""COMPUTED_VALUE"""),12800.0)</f>
        <v>12800</v>
      </c>
      <c r="D2182" s="1">
        <f>IFERROR(__xludf.DUMMYFUNCTION("""COMPUTED_VALUE"""),12500.0)</f>
        <v>12500</v>
      </c>
      <c r="E2182" s="1">
        <f>IFERROR(__xludf.DUMMYFUNCTION("""COMPUTED_VALUE"""),12750.0)</f>
        <v>12750</v>
      </c>
      <c r="F2182" s="1">
        <f>IFERROR(__xludf.DUMMYFUNCTION("""COMPUTED_VALUE"""),92182.0)</f>
        <v>92182</v>
      </c>
    </row>
    <row r="2183">
      <c r="A2183" s="2">
        <f>IFERROR(__xludf.DUMMYFUNCTION("""COMPUTED_VALUE"""),44155.64583333333)</f>
        <v>44155.64583</v>
      </c>
      <c r="B2183" s="1">
        <f>IFERROR(__xludf.DUMMYFUNCTION("""COMPUTED_VALUE"""),12750.0)</f>
        <v>12750</v>
      </c>
      <c r="C2183" s="1">
        <f>IFERROR(__xludf.DUMMYFUNCTION("""COMPUTED_VALUE"""),12850.0)</f>
        <v>12850</v>
      </c>
      <c r="D2183" s="1">
        <f>IFERROR(__xludf.DUMMYFUNCTION("""COMPUTED_VALUE"""),12600.0)</f>
        <v>12600</v>
      </c>
      <c r="E2183" s="1">
        <f>IFERROR(__xludf.DUMMYFUNCTION("""COMPUTED_VALUE"""),12700.0)</f>
        <v>12700</v>
      </c>
      <c r="F2183" s="1">
        <f>IFERROR(__xludf.DUMMYFUNCTION("""COMPUTED_VALUE"""),88754.0)</f>
        <v>88754</v>
      </c>
    </row>
    <row r="2184">
      <c r="A2184" s="2">
        <f>IFERROR(__xludf.DUMMYFUNCTION("""COMPUTED_VALUE"""),44158.64583333333)</f>
        <v>44158.64583</v>
      </c>
      <c r="B2184" s="1">
        <f>IFERROR(__xludf.DUMMYFUNCTION("""COMPUTED_VALUE"""),12700.0)</f>
        <v>12700</v>
      </c>
      <c r="C2184" s="1">
        <f>IFERROR(__xludf.DUMMYFUNCTION("""COMPUTED_VALUE"""),12800.0)</f>
        <v>12800</v>
      </c>
      <c r="D2184" s="1">
        <f>IFERROR(__xludf.DUMMYFUNCTION("""COMPUTED_VALUE"""),12600.0)</f>
        <v>12600</v>
      </c>
      <c r="E2184" s="1">
        <f>IFERROR(__xludf.DUMMYFUNCTION("""COMPUTED_VALUE"""),12750.0)</f>
        <v>12750</v>
      </c>
      <c r="F2184" s="1">
        <f>IFERROR(__xludf.DUMMYFUNCTION("""COMPUTED_VALUE"""),87218.0)</f>
        <v>87218</v>
      </c>
    </row>
    <row r="2185">
      <c r="A2185" s="2">
        <f>IFERROR(__xludf.DUMMYFUNCTION("""COMPUTED_VALUE"""),44159.64583333333)</f>
        <v>44159.64583</v>
      </c>
      <c r="B2185" s="1">
        <f>IFERROR(__xludf.DUMMYFUNCTION("""COMPUTED_VALUE"""),12850.0)</f>
        <v>12850</v>
      </c>
      <c r="C2185" s="1">
        <f>IFERROR(__xludf.DUMMYFUNCTION("""COMPUTED_VALUE"""),12900.0)</f>
        <v>12900</v>
      </c>
      <c r="D2185" s="1">
        <f>IFERROR(__xludf.DUMMYFUNCTION("""COMPUTED_VALUE"""),12650.0)</f>
        <v>12650</v>
      </c>
      <c r="E2185" s="1">
        <f>IFERROR(__xludf.DUMMYFUNCTION("""COMPUTED_VALUE"""),12750.0)</f>
        <v>12750</v>
      </c>
      <c r="F2185" s="1">
        <f>IFERROR(__xludf.DUMMYFUNCTION("""COMPUTED_VALUE"""),80319.0)</f>
        <v>80319</v>
      </c>
    </row>
    <row r="2186">
      <c r="A2186" s="2">
        <f>IFERROR(__xludf.DUMMYFUNCTION("""COMPUTED_VALUE"""),44160.64583333333)</f>
        <v>44160.64583</v>
      </c>
      <c r="B2186" s="1">
        <f>IFERROR(__xludf.DUMMYFUNCTION("""COMPUTED_VALUE"""),12750.0)</f>
        <v>12750</v>
      </c>
      <c r="C2186" s="1">
        <f>IFERROR(__xludf.DUMMYFUNCTION("""COMPUTED_VALUE"""),12800.0)</f>
        <v>12800</v>
      </c>
      <c r="D2186" s="1">
        <f>IFERROR(__xludf.DUMMYFUNCTION("""COMPUTED_VALUE"""),12300.0)</f>
        <v>12300</v>
      </c>
      <c r="E2186" s="1">
        <f>IFERROR(__xludf.DUMMYFUNCTION("""COMPUTED_VALUE"""),12450.0)</f>
        <v>12450</v>
      </c>
      <c r="F2186" s="1">
        <f>IFERROR(__xludf.DUMMYFUNCTION("""COMPUTED_VALUE"""),115986.0)</f>
        <v>115986</v>
      </c>
    </row>
    <row r="2187">
      <c r="A2187" s="2">
        <f>IFERROR(__xludf.DUMMYFUNCTION("""COMPUTED_VALUE"""),44161.64583333333)</f>
        <v>44161.64583</v>
      </c>
      <c r="B2187" s="1">
        <f>IFERROR(__xludf.DUMMYFUNCTION("""COMPUTED_VALUE"""),12550.0)</f>
        <v>12550</v>
      </c>
      <c r="C2187" s="1">
        <f>IFERROR(__xludf.DUMMYFUNCTION("""COMPUTED_VALUE"""),12800.0)</f>
        <v>12800</v>
      </c>
      <c r="D2187" s="1">
        <f>IFERROR(__xludf.DUMMYFUNCTION("""COMPUTED_VALUE"""),12400.0)</f>
        <v>12400</v>
      </c>
      <c r="E2187" s="1">
        <f>IFERROR(__xludf.DUMMYFUNCTION("""COMPUTED_VALUE"""),12750.0)</f>
        <v>12750</v>
      </c>
      <c r="F2187" s="1">
        <f>IFERROR(__xludf.DUMMYFUNCTION("""COMPUTED_VALUE"""),93900.0)</f>
        <v>93900</v>
      </c>
    </row>
    <row r="2188">
      <c r="A2188" s="2">
        <f>IFERROR(__xludf.DUMMYFUNCTION("""COMPUTED_VALUE"""),44162.64583333333)</f>
        <v>44162.64583</v>
      </c>
      <c r="B2188" s="1">
        <f>IFERROR(__xludf.DUMMYFUNCTION("""COMPUTED_VALUE"""),12650.0)</f>
        <v>12650</v>
      </c>
      <c r="C2188" s="1">
        <f>IFERROR(__xludf.DUMMYFUNCTION("""COMPUTED_VALUE"""),12750.0)</f>
        <v>12750</v>
      </c>
      <c r="D2188" s="1">
        <f>IFERROR(__xludf.DUMMYFUNCTION("""COMPUTED_VALUE"""),12500.0)</f>
        <v>12500</v>
      </c>
      <c r="E2188" s="1">
        <f>IFERROR(__xludf.DUMMYFUNCTION("""COMPUTED_VALUE"""),12700.0)</f>
        <v>12700</v>
      </c>
      <c r="F2188" s="1">
        <f>IFERROR(__xludf.DUMMYFUNCTION("""COMPUTED_VALUE"""),46600.0)</f>
        <v>46600</v>
      </c>
    </row>
    <row r="2189">
      <c r="A2189" s="2">
        <f>IFERROR(__xludf.DUMMYFUNCTION("""COMPUTED_VALUE"""),44165.64583333333)</f>
        <v>44165.64583</v>
      </c>
      <c r="B2189" s="1">
        <f>IFERROR(__xludf.DUMMYFUNCTION("""COMPUTED_VALUE"""),12700.0)</f>
        <v>12700</v>
      </c>
      <c r="C2189" s="1">
        <f>IFERROR(__xludf.DUMMYFUNCTION("""COMPUTED_VALUE"""),12750.0)</f>
        <v>12750</v>
      </c>
      <c r="D2189" s="1">
        <f>IFERROR(__xludf.DUMMYFUNCTION("""COMPUTED_VALUE"""),12500.0)</f>
        <v>12500</v>
      </c>
      <c r="E2189" s="1">
        <f>IFERROR(__xludf.DUMMYFUNCTION("""COMPUTED_VALUE"""),12650.0)</f>
        <v>12650</v>
      </c>
      <c r="F2189" s="1">
        <f>IFERROR(__xludf.DUMMYFUNCTION("""COMPUTED_VALUE"""),74011.0)</f>
        <v>74011</v>
      </c>
    </row>
    <row r="2190">
      <c r="A2190" s="2">
        <f>IFERROR(__xludf.DUMMYFUNCTION("""COMPUTED_VALUE"""),44166.64583333333)</f>
        <v>44166.64583</v>
      </c>
      <c r="B2190" s="1">
        <f>IFERROR(__xludf.DUMMYFUNCTION("""COMPUTED_VALUE"""),12550.0)</f>
        <v>12550</v>
      </c>
      <c r="C2190" s="1">
        <f>IFERROR(__xludf.DUMMYFUNCTION("""COMPUTED_VALUE"""),12650.0)</f>
        <v>12650</v>
      </c>
      <c r="D2190" s="1">
        <f>IFERROR(__xludf.DUMMYFUNCTION("""COMPUTED_VALUE"""),12400.0)</f>
        <v>12400</v>
      </c>
      <c r="E2190" s="1">
        <f>IFERROR(__xludf.DUMMYFUNCTION("""COMPUTED_VALUE"""),12550.0)</f>
        <v>12550</v>
      </c>
      <c r="F2190" s="1">
        <f>IFERROR(__xludf.DUMMYFUNCTION("""COMPUTED_VALUE"""),65142.0)</f>
        <v>65142</v>
      </c>
    </row>
    <row r="2191">
      <c r="A2191" s="2">
        <f>IFERROR(__xludf.DUMMYFUNCTION("""COMPUTED_VALUE"""),44167.64583333333)</f>
        <v>44167.64583</v>
      </c>
      <c r="B2191" s="1">
        <f>IFERROR(__xludf.DUMMYFUNCTION("""COMPUTED_VALUE"""),12500.0)</f>
        <v>12500</v>
      </c>
      <c r="C2191" s="1">
        <f>IFERROR(__xludf.DUMMYFUNCTION("""COMPUTED_VALUE"""),12600.0)</f>
        <v>12600</v>
      </c>
      <c r="D2191" s="1">
        <f>IFERROR(__xludf.DUMMYFUNCTION("""COMPUTED_VALUE"""),12400.0)</f>
        <v>12400</v>
      </c>
      <c r="E2191" s="1">
        <f>IFERROR(__xludf.DUMMYFUNCTION("""COMPUTED_VALUE"""),12450.0)</f>
        <v>12450</v>
      </c>
      <c r="F2191" s="1">
        <f>IFERROR(__xludf.DUMMYFUNCTION("""COMPUTED_VALUE"""),74789.0)</f>
        <v>74789</v>
      </c>
    </row>
    <row r="2192">
      <c r="A2192" s="2">
        <f>IFERROR(__xludf.DUMMYFUNCTION("""COMPUTED_VALUE"""),44168.64583333333)</f>
        <v>44168.64583</v>
      </c>
      <c r="B2192" s="1">
        <f>IFERROR(__xludf.DUMMYFUNCTION("""COMPUTED_VALUE"""),12450.0)</f>
        <v>12450</v>
      </c>
      <c r="C2192" s="1">
        <f>IFERROR(__xludf.DUMMYFUNCTION("""COMPUTED_VALUE"""),12500.0)</f>
        <v>12500</v>
      </c>
      <c r="D2192" s="1">
        <f>IFERROR(__xludf.DUMMYFUNCTION("""COMPUTED_VALUE"""),12300.0)</f>
        <v>12300</v>
      </c>
      <c r="E2192" s="1">
        <f>IFERROR(__xludf.DUMMYFUNCTION("""COMPUTED_VALUE"""),12400.0)</f>
        <v>12400</v>
      </c>
      <c r="F2192" s="1">
        <f>IFERROR(__xludf.DUMMYFUNCTION("""COMPUTED_VALUE"""),57094.0)</f>
        <v>57094</v>
      </c>
    </row>
    <row r="2193">
      <c r="A2193" s="2">
        <f>IFERROR(__xludf.DUMMYFUNCTION("""COMPUTED_VALUE"""),44169.64583333333)</f>
        <v>44169.64583</v>
      </c>
      <c r="B2193" s="1">
        <f>IFERROR(__xludf.DUMMYFUNCTION("""COMPUTED_VALUE"""),12350.0)</f>
        <v>12350</v>
      </c>
      <c r="C2193" s="1">
        <f>IFERROR(__xludf.DUMMYFUNCTION("""COMPUTED_VALUE"""),12400.0)</f>
        <v>12400</v>
      </c>
      <c r="D2193" s="1">
        <f>IFERROR(__xludf.DUMMYFUNCTION("""COMPUTED_VALUE"""),11950.0)</f>
        <v>11950</v>
      </c>
      <c r="E2193" s="1">
        <f>IFERROR(__xludf.DUMMYFUNCTION("""COMPUTED_VALUE"""),12000.0)</f>
        <v>12000</v>
      </c>
      <c r="F2193" s="1">
        <f>IFERROR(__xludf.DUMMYFUNCTION("""COMPUTED_VALUE"""),144915.0)</f>
        <v>144915</v>
      </c>
    </row>
    <row r="2194">
      <c r="A2194" s="2">
        <f>IFERROR(__xludf.DUMMYFUNCTION("""COMPUTED_VALUE"""),44172.64583333333)</f>
        <v>44172.64583</v>
      </c>
      <c r="B2194" s="1">
        <f>IFERROR(__xludf.DUMMYFUNCTION("""COMPUTED_VALUE"""),12050.0)</f>
        <v>12050</v>
      </c>
      <c r="C2194" s="1">
        <f>IFERROR(__xludf.DUMMYFUNCTION("""COMPUTED_VALUE"""),12100.0)</f>
        <v>12100</v>
      </c>
      <c r="D2194" s="1">
        <f>IFERROR(__xludf.DUMMYFUNCTION("""COMPUTED_VALUE"""),11850.0)</f>
        <v>11850</v>
      </c>
      <c r="E2194" s="1">
        <f>IFERROR(__xludf.DUMMYFUNCTION("""COMPUTED_VALUE"""),11950.0)</f>
        <v>11950</v>
      </c>
      <c r="F2194" s="1">
        <f>IFERROR(__xludf.DUMMYFUNCTION("""COMPUTED_VALUE"""),50496.0)</f>
        <v>50496</v>
      </c>
    </row>
    <row r="2195">
      <c r="A2195" s="2">
        <f>IFERROR(__xludf.DUMMYFUNCTION("""COMPUTED_VALUE"""),44173.64583333333)</f>
        <v>44173.64583</v>
      </c>
      <c r="B2195" s="1">
        <f>IFERROR(__xludf.DUMMYFUNCTION("""COMPUTED_VALUE"""),11950.0)</f>
        <v>11950</v>
      </c>
      <c r="C2195" s="1">
        <f>IFERROR(__xludf.DUMMYFUNCTION("""COMPUTED_VALUE"""),12200.0)</f>
        <v>12200</v>
      </c>
      <c r="D2195" s="1">
        <f>IFERROR(__xludf.DUMMYFUNCTION("""COMPUTED_VALUE"""),11850.0)</f>
        <v>11850</v>
      </c>
      <c r="E2195" s="1">
        <f>IFERROR(__xludf.DUMMYFUNCTION("""COMPUTED_VALUE"""),11900.0)</f>
        <v>11900</v>
      </c>
      <c r="F2195" s="1">
        <f>IFERROR(__xludf.DUMMYFUNCTION("""COMPUTED_VALUE"""),59819.0)</f>
        <v>59819</v>
      </c>
    </row>
    <row r="2196">
      <c r="A2196" s="2">
        <f>IFERROR(__xludf.DUMMYFUNCTION("""COMPUTED_VALUE"""),44174.64583333333)</f>
        <v>44174.64583</v>
      </c>
      <c r="B2196" s="1">
        <f>IFERROR(__xludf.DUMMYFUNCTION("""COMPUTED_VALUE"""),12050.0)</f>
        <v>12050</v>
      </c>
      <c r="C2196" s="1">
        <f>IFERROR(__xludf.DUMMYFUNCTION("""COMPUTED_VALUE"""),12150.0)</f>
        <v>12150</v>
      </c>
      <c r="D2196" s="1">
        <f>IFERROR(__xludf.DUMMYFUNCTION("""COMPUTED_VALUE"""),11900.0)</f>
        <v>11900</v>
      </c>
      <c r="E2196" s="1">
        <f>IFERROR(__xludf.DUMMYFUNCTION("""COMPUTED_VALUE"""),12000.0)</f>
        <v>12000</v>
      </c>
      <c r="F2196" s="1">
        <f>IFERROR(__xludf.DUMMYFUNCTION("""COMPUTED_VALUE"""),64448.0)</f>
        <v>64448</v>
      </c>
    </row>
    <row r="2197">
      <c r="A2197" s="2">
        <f>IFERROR(__xludf.DUMMYFUNCTION("""COMPUTED_VALUE"""),44175.64583333333)</f>
        <v>44175.64583</v>
      </c>
      <c r="B2197" s="1">
        <f>IFERROR(__xludf.DUMMYFUNCTION("""COMPUTED_VALUE"""),12050.0)</f>
        <v>12050</v>
      </c>
      <c r="C2197" s="1">
        <f>IFERROR(__xludf.DUMMYFUNCTION("""COMPUTED_VALUE"""),12050.0)</f>
        <v>12050</v>
      </c>
      <c r="D2197" s="1">
        <f>IFERROR(__xludf.DUMMYFUNCTION("""COMPUTED_VALUE"""),11850.0)</f>
        <v>11850</v>
      </c>
      <c r="E2197" s="1">
        <f>IFERROR(__xludf.DUMMYFUNCTION("""COMPUTED_VALUE"""),12000.0)</f>
        <v>12000</v>
      </c>
      <c r="F2197" s="1">
        <f>IFERROR(__xludf.DUMMYFUNCTION("""COMPUTED_VALUE"""),47569.0)</f>
        <v>47569</v>
      </c>
    </row>
    <row r="2198">
      <c r="A2198" s="2">
        <f>IFERROR(__xludf.DUMMYFUNCTION("""COMPUTED_VALUE"""),44176.64583333333)</f>
        <v>44176.64583</v>
      </c>
      <c r="B2198" s="1">
        <f>IFERROR(__xludf.DUMMYFUNCTION("""COMPUTED_VALUE"""),12000.0)</f>
        <v>12000</v>
      </c>
      <c r="C2198" s="1">
        <f>IFERROR(__xludf.DUMMYFUNCTION("""COMPUTED_VALUE"""),12100.0)</f>
        <v>12100</v>
      </c>
      <c r="D2198" s="1">
        <f>IFERROR(__xludf.DUMMYFUNCTION("""COMPUTED_VALUE"""),11950.0)</f>
        <v>11950</v>
      </c>
      <c r="E2198" s="1">
        <f>IFERROR(__xludf.DUMMYFUNCTION("""COMPUTED_VALUE"""),12100.0)</f>
        <v>12100</v>
      </c>
      <c r="F2198" s="1">
        <f>IFERROR(__xludf.DUMMYFUNCTION("""COMPUTED_VALUE"""),39643.0)</f>
        <v>39643</v>
      </c>
    </row>
    <row r="2199">
      <c r="A2199" s="2">
        <f>IFERROR(__xludf.DUMMYFUNCTION("""COMPUTED_VALUE"""),44179.64583333333)</f>
        <v>44179.64583</v>
      </c>
      <c r="B2199" s="1">
        <f>IFERROR(__xludf.DUMMYFUNCTION("""COMPUTED_VALUE"""),12100.0)</f>
        <v>12100</v>
      </c>
      <c r="C2199" s="1">
        <f>IFERROR(__xludf.DUMMYFUNCTION("""COMPUTED_VALUE"""),12100.0)</f>
        <v>12100</v>
      </c>
      <c r="D2199" s="1">
        <f>IFERROR(__xludf.DUMMYFUNCTION("""COMPUTED_VALUE"""),11900.0)</f>
        <v>11900</v>
      </c>
      <c r="E2199" s="1">
        <f>IFERROR(__xludf.DUMMYFUNCTION("""COMPUTED_VALUE"""),11950.0)</f>
        <v>11950</v>
      </c>
      <c r="F2199" s="1">
        <f>IFERROR(__xludf.DUMMYFUNCTION("""COMPUTED_VALUE"""),50848.0)</f>
        <v>50848</v>
      </c>
    </row>
    <row r="2200">
      <c r="A2200" s="2">
        <f>IFERROR(__xludf.DUMMYFUNCTION("""COMPUTED_VALUE"""),44180.64583333333)</f>
        <v>44180.64583</v>
      </c>
      <c r="B2200" s="1">
        <f>IFERROR(__xludf.DUMMYFUNCTION("""COMPUTED_VALUE"""),11900.0)</f>
        <v>11900</v>
      </c>
      <c r="C2200" s="1">
        <f>IFERROR(__xludf.DUMMYFUNCTION("""COMPUTED_VALUE"""),11950.0)</f>
        <v>11950</v>
      </c>
      <c r="D2200" s="1">
        <f>IFERROR(__xludf.DUMMYFUNCTION("""COMPUTED_VALUE"""),11800.0)</f>
        <v>11800</v>
      </c>
      <c r="E2200" s="1">
        <f>IFERROR(__xludf.DUMMYFUNCTION("""COMPUTED_VALUE"""),11900.0)</f>
        <v>11900</v>
      </c>
      <c r="F2200" s="1">
        <f>IFERROR(__xludf.DUMMYFUNCTION("""COMPUTED_VALUE"""),38545.0)</f>
        <v>38545</v>
      </c>
    </row>
    <row r="2201">
      <c r="A2201" s="2">
        <f>IFERROR(__xludf.DUMMYFUNCTION("""COMPUTED_VALUE"""),44181.64583333333)</f>
        <v>44181.64583</v>
      </c>
      <c r="B2201" s="1">
        <f>IFERROR(__xludf.DUMMYFUNCTION("""COMPUTED_VALUE"""),11900.0)</f>
        <v>11900</v>
      </c>
      <c r="C2201" s="1">
        <f>IFERROR(__xludf.DUMMYFUNCTION("""COMPUTED_VALUE"""),12000.0)</f>
        <v>12000</v>
      </c>
      <c r="D2201" s="1">
        <f>IFERROR(__xludf.DUMMYFUNCTION("""COMPUTED_VALUE"""),11900.0)</f>
        <v>11900</v>
      </c>
      <c r="E2201" s="1">
        <f>IFERROR(__xludf.DUMMYFUNCTION("""COMPUTED_VALUE"""),11950.0)</f>
        <v>11950</v>
      </c>
      <c r="F2201" s="1">
        <f>IFERROR(__xludf.DUMMYFUNCTION("""COMPUTED_VALUE"""),29950.0)</f>
        <v>29950</v>
      </c>
    </row>
    <row r="2202">
      <c r="A2202" s="2">
        <f>IFERROR(__xludf.DUMMYFUNCTION("""COMPUTED_VALUE"""),44182.64583333333)</f>
        <v>44182.64583</v>
      </c>
      <c r="B2202" s="1">
        <f>IFERROR(__xludf.DUMMYFUNCTION("""COMPUTED_VALUE"""),11950.0)</f>
        <v>11950</v>
      </c>
      <c r="C2202" s="1">
        <f>IFERROR(__xludf.DUMMYFUNCTION("""COMPUTED_VALUE"""),12050.0)</f>
        <v>12050</v>
      </c>
      <c r="D2202" s="1">
        <f>IFERROR(__xludf.DUMMYFUNCTION("""COMPUTED_VALUE"""),11850.0)</f>
        <v>11850</v>
      </c>
      <c r="E2202" s="1">
        <f>IFERROR(__xludf.DUMMYFUNCTION("""COMPUTED_VALUE"""),11950.0)</f>
        <v>11950</v>
      </c>
      <c r="F2202" s="1">
        <f>IFERROR(__xludf.DUMMYFUNCTION("""COMPUTED_VALUE"""),50703.0)</f>
        <v>50703</v>
      </c>
    </row>
    <row r="2203">
      <c r="A2203" s="2">
        <f>IFERROR(__xludf.DUMMYFUNCTION("""COMPUTED_VALUE"""),44183.64583333333)</f>
        <v>44183.64583</v>
      </c>
      <c r="B2203" s="1">
        <f>IFERROR(__xludf.DUMMYFUNCTION("""COMPUTED_VALUE"""),12000.0)</f>
        <v>12000</v>
      </c>
      <c r="C2203" s="1">
        <f>IFERROR(__xludf.DUMMYFUNCTION("""COMPUTED_VALUE"""),12050.0)</f>
        <v>12050</v>
      </c>
      <c r="D2203" s="1">
        <f>IFERROR(__xludf.DUMMYFUNCTION("""COMPUTED_VALUE"""),11800.0)</f>
        <v>11800</v>
      </c>
      <c r="E2203" s="1">
        <f>IFERROR(__xludf.DUMMYFUNCTION("""COMPUTED_VALUE"""),11950.0)</f>
        <v>11950</v>
      </c>
      <c r="F2203" s="1">
        <f>IFERROR(__xludf.DUMMYFUNCTION("""COMPUTED_VALUE"""),49771.0)</f>
        <v>49771</v>
      </c>
    </row>
    <row r="2204">
      <c r="A2204" s="2">
        <f>IFERROR(__xludf.DUMMYFUNCTION("""COMPUTED_VALUE"""),44186.64583333333)</f>
        <v>44186.64583</v>
      </c>
      <c r="B2204" s="1">
        <f>IFERROR(__xludf.DUMMYFUNCTION("""COMPUTED_VALUE"""),11950.0)</f>
        <v>11950</v>
      </c>
      <c r="C2204" s="1">
        <f>IFERROR(__xludf.DUMMYFUNCTION("""COMPUTED_VALUE"""),11950.0)</f>
        <v>11950</v>
      </c>
      <c r="D2204" s="1">
        <f>IFERROR(__xludf.DUMMYFUNCTION("""COMPUTED_VALUE"""),11750.0)</f>
        <v>11750</v>
      </c>
      <c r="E2204" s="1">
        <f>IFERROR(__xludf.DUMMYFUNCTION("""COMPUTED_VALUE"""),11850.0)</f>
        <v>11850</v>
      </c>
      <c r="F2204" s="1">
        <f>IFERROR(__xludf.DUMMYFUNCTION("""COMPUTED_VALUE"""),49492.0)</f>
        <v>49492</v>
      </c>
    </row>
    <row r="2205">
      <c r="A2205" s="2">
        <f>IFERROR(__xludf.DUMMYFUNCTION("""COMPUTED_VALUE"""),44187.64583333333)</f>
        <v>44187.64583</v>
      </c>
      <c r="B2205" s="1">
        <f>IFERROR(__xludf.DUMMYFUNCTION("""COMPUTED_VALUE"""),11850.0)</f>
        <v>11850</v>
      </c>
      <c r="C2205" s="1">
        <f>IFERROR(__xludf.DUMMYFUNCTION("""COMPUTED_VALUE"""),11900.0)</f>
        <v>11900</v>
      </c>
      <c r="D2205" s="1">
        <f>IFERROR(__xludf.DUMMYFUNCTION("""COMPUTED_VALUE"""),11600.0)</f>
        <v>11600</v>
      </c>
      <c r="E2205" s="1">
        <f>IFERROR(__xludf.DUMMYFUNCTION("""COMPUTED_VALUE"""),11650.0)</f>
        <v>11650</v>
      </c>
      <c r="F2205" s="1">
        <f>IFERROR(__xludf.DUMMYFUNCTION("""COMPUTED_VALUE"""),69882.0)</f>
        <v>69882</v>
      </c>
    </row>
    <row r="2206">
      <c r="A2206" s="2">
        <f>IFERROR(__xludf.DUMMYFUNCTION("""COMPUTED_VALUE"""),44188.64583333333)</f>
        <v>44188.64583</v>
      </c>
      <c r="B2206" s="1">
        <f>IFERROR(__xludf.DUMMYFUNCTION("""COMPUTED_VALUE"""),11550.0)</f>
        <v>11550</v>
      </c>
      <c r="C2206" s="1">
        <f>IFERROR(__xludf.DUMMYFUNCTION("""COMPUTED_VALUE"""),11750.0)</f>
        <v>11750</v>
      </c>
      <c r="D2206" s="1">
        <f>IFERROR(__xludf.DUMMYFUNCTION("""COMPUTED_VALUE"""),11500.0)</f>
        <v>11500</v>
      </c>
      <c r="E2206" s="1">
        <f>IFERROR(__xludf.DUMMYFUNCTION("""COMPUTED_VALUE"""),11500.0)</f>
        <v>11500</v>
      </c>
      <c r="F2206" s="1">
        <f>IFERROR(__xludf.DUMMYFUNCTION("""COMPUTED_VALUE"""),59370.0)</f>
        <v>59370</v>
      </c>
    </row>
    <row r="2207">
      <c r="A2207" s="2">
        <f>IFERROR(__xludf.DUMMYFUNCTION("""COMPUTED_VALUE"""),44189.64583333333)</f>
        <v>44189.64583</v>
      </c>
      <c r="B2207" s="1">
        <f>IFERROR(__xludf.DUMMYFUNCTION("""COMPUTED_VALUE"""),11500.0)</f>
        <v>11500</v>
      </c>
      <c r="C2207" s="1">
        <f>IFERROR(__xludf.DUMMYFUNCTION("""COMPUTED_VALUE"""),11800.0)</f>
        <v>11800</v>
      </c>
      <c r="D2207" s="1">
        <f>IFERROR(__xludf.DUMMYFUNCTION("""COMPUTED_VALUE"""),11450.0)</f>
        <v>11450</v>
      </c>
      <c r="E2207" s="1">
        <f>IFERROR(__xludf.DUMMYFUNCTION("""COMPUTED_VALUE"""),11700.0)</f>
        <v>11700</v>
      </c>
      <c r="F2207" s="1">
        <f>IFERROR(__xludf.DUMMYFUNCTION("""COMPUTED_VALUE"""),58745.0)</f>
        <v>58745</v>
      </c>
    </row>
    <row r="2208">
      <c r="A2208" s="2">
        <f>IFERROR(__xludf.DUMMYFUNCTION("""COMPUTED_VALUE"""),44193.64583333333)</f>
        <v>44193.64583</v>
      </c>
      <c r="B2208" s="1">
        <f>IFERROR(__xludf.DUMMYFUNCTION("""COMPUTED_VALUE"""),11700.0)</f>
        <v>11700</v>
      </c>
      <c r="C2208" s="1">
        <f>IFERROR(__xludf.DUMMYFUNCTION("""COMPUTED_VALUE"""),11800.0)</f>
        <v>11800</v>
      </c>
      <c r="D2208" s="1">
        <f>IFERROR(__xludf.DUMMYFUNCTION("""COMPUTED_VALUE"""),11550.0)</f>
        <v>11550</v>
      </c>
      <c r="E2208" s="1">
        <f>IFERROR(__xludf.DUMMYFUNCTION("""COMPUTED_VALUE"""),11600.0)</f>
        <v>11600</v>
      </c>
      <c r="F2208" s="1">
        <f>IFERROR(__xludf.DUMMYFUNCTION("""COMPUTED_VALUE"""),39093.0)</f>
        <v>39093</v>
      </c>
    </row>
    <row r="2209">
      <c r="A2209" s="2">
        <f>IFERROR(__xludf.DUMMYFUNCTION("""COMPUTED_VALUE"""),44194.64583333333)</f>
        <v>44194.64583</v>
      </c>
      <c r="B2209" s="1">
        <f>IFERROR(__xludf.DUMMYFUNCTION("""COMPUTED_VALUE"""),11550.0)</f>
        <v>11550</v>
      </c>
      <c r="C2209" s="1">
        <f>IFERROR(__xludf.DUMMYFUNCTION("""COMPUTED_VALUE"""),11750.0)</f>
        <v>11750</v>
      </c>
      <c r="D2209" s="1">
        <f>IFERROR(__xludf.DUMMYFUNCTION("""COMPUTED_VALUE"""),11500.0)</f>
        <v>11500</v>
      </c>
      <c r="E2209" s="1">
        <f>IFERROR(__xludf.DUMMYFUNCTION("""COMPUTED_VALUE"""),11650.0)</f>
        <v>11650</v>
      </c>
      <c r="F2209" s="1">
        <f>IFERROR(__xludf.DUMMYFUNCTION("""COMPUTED_VALUE"""),36844.0)</f>
        <v>36844</v>
      </c>
    </row>
    <row r="2210">
      <c r="A2210" s="2">
        <f>IFERROR(__xludf.DUMMYFUNCTION("""COMPUTED_VALUE"""),44195.64583333333)</f>
        <v>44195.64583</v>
      </c>
      <c r="B2210" s="1">
        <f>IFERROR(__xludf.DUMMYFUNCTION("""COMPUTED_VALUE"""),11700.0)</f>
        <v>11700</v>
      </c>
      <c r="C2210" s="1">
        <f>IFERROR(__xludf.DUMMYFUNCTION("""COMPUTED_VALUE"""),12150.0)</f>
        <v>12150</v>
      </c>
      <c r="D2210" s="1">
        <f>IFERROR(__xludf.DUMMYFUNCTION("""COMPUTED_VALUE"""),11650.0)</f>
        <v>11650</v>
      </c>
      <c r="E2210" s="1">
        <f>IFERROR(__xludf.DUMMYFUNCTION("""COMPUTED_VALUE"""),12000.0)</f>
        <v>12000</v>
      </c>
      <c r="F2210" s="1">
        <f>IFERROR(__xludf.DUMMYFUNCTION("""COMPUTED_VALUE"""),166536.0)</f>
        <v>166536</v>
      </c>
    </row>
    <row r="2211">
      <c r="A2211" s="2">
        <f>IFERROR(__xludf.DUMMYFUNCTION("""COMPUTED_VALUE"""),44200.64583333333)</f>
        <v>44200.64583</v>
      </c>
      <c r="B2211" s="1">
        <f>IFERROR(__xludf.DUMMYFUNCTION("""COMPUTED_VALUE"""),12100.0)</f>
        <v>12100</v>
      </c>
      <c r="C2211" s="1">
        <f>IFERROR(__xludf.DUMMYFUNCTION("""COMPUTED_VALUE"""),12200.0)</f>
        <v>12200</v>
      </c>
      <c r="D2211" s="1">
        <f>IFERROR(__xludf.DUMMYFUNCTION("""COMPUTED_VALUE"""),11950.0)</f>
        <v>11950</v>
      </c>
      <c r="E2211" s="1">
        <f>IFERROR(__xludf.DUMMYFUNCTION("""COMPUTED_VALUE"""),12200.0)</f>
        <v>12200</v>
      </c>
      <c r="F2211" s="1">
        <f>IFERROR(__xludf.DUMMYFUNCTION("""COMPUTED_VALUE"""),92170.0)</f>
        <v>92170</v>
      </c>
    </row>
    <row r="2212">
      <c r="A2212" s="2">
        <f>IFERROR(__xludf.DUMMYFUNCTION("""COMPUTED_VALUE"""),44201.64583333333)</f>
        <v>44201.64583</v>
      </c>
      <c r="B2212" s="1">
        <f>IFERROR(__xludf.DUMMYFUNCTION("""COMPUTED_VALUE"""),12350.0)</f>
        <v>12350</v>
      </c>
      <c r="C2212" s="1">
        <f>IFERROR(__xludf.DUMMYFUNCTION("""COMPUTED_VALUE"""),12350.0)</f>
        <v>12350</v>
      </c>
      <c r="D2212" s="1">
        <f>IFERROR(__xludf.DUMMYFUNCTION("""COMPUTED_VALUE"""),12050.0)</f>
        <v>12050</v>
      </c>
      <c r="E2212" s="1">
        <f>IFERROR(__xludf.DUMMYFUNCTION("""COMPUTED_VALUE"""),12200.0)</f>
        <v>12200</v>
      </c>
      <c r="F2212" s="1">
        <f>IFERROR(__xludf.DUMMYFUNCTION("""COMPUTED_VALUE"""),114100.0)</f>
        <v>114100</v>
      </c>
    </row>
    <row r="2213">
      <c r="A2213" s="2">
        <f>IFERROR(__xludf.DUMMYFUNCTION("""COMPUTED_VALUE"""),44202.64583333333)</f>
        <v>44202.64583</v>
      </c>
      <c r="B2213" s="1">
        <f>IFERROR(__xludf.DUMMYFUNCTION("""COMPUTED_VALUE"""),12250.0)</f>
        <v>12250</v>
      </c>
      <c r="C2213" s="1">
        <f>IFERROR(__xludf.DUMMYFUNCTION("""COMPUTED_VALUE"""),12550.0)</f>
        <v>12550</v>
      </c>
      <c r="D2213" s="1">
        <f>IFERROR(__xludf.DUMMYFUNCTION("""COMPUTED_VALUE"""),12050.0)</f>
        <v>12050</v>
      </c>
      <c r="E2213" s="1">
        <f>IFERROR(__xludf.DUMMYFUNCTION("""COMPUTED_VALUE"""),12400.0)</f>
        <v>12400</v>
      </c>
      <c r="F2213" s="1">
        <f>IFERROR(__xludf.DUMMYFUNCTION("""COMPUTED_VALUE"""),170958.0)</f>
        <v>170958</v>
      </c>
    </row>
    <row r="2214">
      <c r="A2214" s="2">
        <f>IFERROR(__xludf.DUMMYFUNCTION("""COMPUTED_VALUE"""),44203.64583333333)</f>
        <v>44203.64583</v>
      </c>
      <c r="B2214" s="1">
        <f>IFERROR(__xludf.DUMMYFUNCTION("""COMPUTED_VALUE"""),12450.0)</f>
        <v>12450</v>
      </c>
      <c r="C2214" s="1">
        <f>IFERROR(__xludf.DUMMYFUNCTION("""COMPUTED_VALUE"""),12750.0)</f>
        <v>12750</v>
      </c>
      <c r="D2214" s="1">
        <f>IFERROR(__xludf.DUMMYFUNCTION("""COMPUTED_VALUE"""),12400.0)</f>
        <v>12400</v>
      </c>
      <c r="E2214" s="1">
        <f>IFERROR(__xludf.DUMMYFUNCTION("""COMPUTED_VALUE"""),12650.0)</f>
        <v>12650</v>
      </c>
      <c r="F2214" s="1">
        <f>IFERROR(__xludf.DUMMYFUNCTION("""COMPUTED_VALUE"""),202436.0)</f>
        <v>202436</v>
      </c>
    </row>
    <row r="2215">
      <c r="A2215" s="2">
        <f>IFERROR(__xludf.DUMMYFUNCTION("""COMPUTED_VALUE"""),44204.64583333333)</f>
        <v>44204.64583</v>
      </c>
      <c r="B2215" s="1">
        <f>IFERROR(__xludf.DUMMYFUNCTION("""COMPUTED_VALUE"""),12850.0)</f>
        <v>12850</v>
      </c>
      <c r="C2215" s="1">
        <f>IFERROR(__xludf.DUMMYFUNCTION("""COMPUTED_VALUE"""),12900.0)</f>
        <v>12900</v>
      </c>
      <c r="D2215" s="1">
        <f>IFERROR(__xludf.DUMMYFUNCTION("""COMPUTED_VALUE"""),12500.0)</f>
        <v>12500</v>
      </c>
      <c r="E2215" s="1">
        <f>IFERROR(__xludf.DUMMYFUNCTION("""COMPUTED_VALUE"""),12650.0)</f>
        <v>12650</v>
      </c>
      <c r="F2215" s="1">
        <f>IFERROR(__xludf.DUMMYFUNCTION("""COMPUTED_VALUE"""),144965.0)</f>
        <v>144965</v>
      </c>
    </row>
    <row r="2216">
      <c r="A2216" s="2">
        <f>IFERROR(__xludf.DUMMYFUNCTION("""COMPUTED_VALUE"""),44207.64583333333)</f>
        <v>44207.64583</v>
      </c>
      <c r="B2216" s="1">
        <f>IFERROR(__xludf.DUMMYFUNCTION("""COMPUTED_VALUE"""),12550.0)</f>
        <v>12550</v>
      </c>
      <c r="C2216" s="1">
        <f>IFERROR(__xludf.DUMMYFUNCTION("""COMPUTED_VALUE"""),12700.0)</f>
        <v>12700</v>
      </c>
      <c r="D2216" s="1">
        <f>IFERROR(__xludf.DUMMYFUNCTION("""COMPUTED_VALUE"""),12100.0)</f>
        <v>12100</v>
      </c>
      <c r="E2216" s="1">
        <f>IFERROR(__xludf.DUMMYFUNCTION("""COMPUTED_VALUE"""),12500.0)</f>
        <v>12500</v>
      </c>
      <c r="F2216" s="1">
        <f>IFERROR(__xludf.DUMMYFUNCTION("""COMPUTED_VALUE"""),164437.0)</f>
        <v>164437</v>
      </c>
    </row>
    <row r="2217">
      <c r="A2217" s="2">
        <f>IFERROR(__xludf.DUMMYFUNCTION("""COMPUTED_VALUE"""),44208.64583333333)</f>
        <v>44208.64583</v>
      </c>
      <c r="B2217" s="1">
        <f>IFERROR(__xludf.DUMMYFUNCTION("""COMPUTED_VALUE"""),12500.0)</f>
        <v>12500</v>
      </c>
      <c r="C2217" s="1">
        <f>IFERROR(__xludf.DUMMYFUNCTION("""COMPUTED_VALUE"""),12500.0)</f>
        <v>12500</v>
      </c>
      <c r="D2217" s="1">
        <f>IFERROR(__xludf.DUMMYFUNCTION("""COMPUTED_VALUE"""),12150.0)</f>
        <v>12150</v>
      </c>
      <c r="E2217" s="1">
        <f>IFERROR(__xludf.DUMMYFUNCTION("""COMPUTED_VALUE"""),12250.0)</f>
        <v>12250</v>
      </c>
      <c r="F2217" s="1">
        <f>IFERROR(__xludf.DUMMYFUNCTION("""COMPUTED_VALUE"""),89135.0)</f>
        <v>89135</v>
      </c>
    </row>
    <row r="2218">
      <c r="A2218" s="2">
        <f>IFERROR(__xludf.DUMMYFUNCTION("""COMPUTED_VALUE"""),44209.64583333333)</f>
        <v>44209.64583</v>
      </c>
      <c r="B2218" s="1">
        <f>IFERROR(__xludf.DUMMYFUNCTION("""COMPUTED_VALUE"""),12350.0)</f>
        <v>12350</v>
      </c>
      <c r="C2218" s="1">
        <f>IFERROR(__xludf.DUMMYFUNCTION("""COMPUTED_VALUE"""),12400.0)</f>
        <v>12400</v>
      </c>
      <c r="D2218" s="1">
        <f>IFERROR(__xludf.DUMMYFUNCTION("""COMPUTED_VALUE"""),12200.0)</f>
        <v>12200</v>
      </c>
      <c r="E2218" s="1">
        <f>IFERROR(__xludf.DUMMYFUNCTION("""COMPUTED_VALUE"""),12250.0)</f>
        <v>12250</v>
      </c>
      <c r="F2218" s="1">
        <f>IFERROR(__xludf.DUMMYFUNCTION("""COMPUTED_VALUE"""),104657.0)</f>
        <v>104657</v>
      </c>
    </row>
    <row r="2219">
      <c r="A2219" s="2">
        <f>IFERROR(__xludf.DUMMYFUNCTION("""COMPUTED_VALUE"""),44210.64583333333)</f>
        <v>44210.64583</v>
      </c>
      <c r="B2219" s="1">
        <f>IFERROR(__xludf.DUMMYFUNCTION("""COMPUTED_VALUE"""),12200.0)</f>
        <v>12200</v>
      </c>
      <c r="C2219" s="1">
        <f>IFERROR(__xludf.DUMMYFUNCTION("""COMPUTED_VALUE"""),13850.0)</f>
        <v>13850</v>
      </c>
      <c r="D2219" s="1">
        <f>IFERROR(__xludf.DUMMYFUNCTION("""COMPUTED_VALUE"""),12200.0)</f>
        <v>12200</v>
      </c>
      <c r="E2219" s="1">
        <f>IFERROR(__xludf.DUMMYFUNCTION("""COMPUTED_VALUE"""),13250.0)</f>
        <v>13250</v>
      </c>
      <c r="F2219" s="1">
        <f>IFERROR(__xludf.DUMMYFUNCTION("""COMPUTED_VALUE"""),2016520.0)</f>
        <v>2016520</v>
      </c>
    </row>
    <row r="2220">
      <c r="A2220" s="2">
        <f>IFERROR(__xludf.DUMMYFUNCTION("""COMPUTED_VALUE"""),44211.64583333333)</f>
        <v>44211.64583</v>
      </c>
      <c r="B2220" s="1">
        <f>IFERROR(__xludf.DUMMYFUNCTION("""COMPUTED_VALUE"""),13250.0)</f>
        <v>13250</v>
      </c>
      <c r="C2220" s="1">
        <f>IFERROR(__xludf.DUMMYFUNCTION("""COMPUTED_VALUE"""),13300.0)</f>
        <v>13300</v>
      </c>
      <c r="D2220" s="1">
        <f>IFERROR(__xludf.DUMMYFUNCTION("""COMPUTED_VALUE"""),12800.0)</f>
        <v>12800</v>
      </c>
      <c r="E2220" s="1">
        <f>IFERROR(__xludf.DUMMYFUNCTION("""COMPUTED_VALUE"""),13100.0)</f>
        <v>13100</v>
      </c>
      <c r="F2220" s="1">
        <f>IFERROR(__xludf.DUMMYFUNCTION("""COMPUTED_VALUE"""),322802.0)</f>
        <v>322802</v>
      </c>
    </row>
    <row r="2221">
      <c r="A2221" s="2">
        <f>IFERROR(__xludf.DUMMYFUNCTION("""COMPUTED_VALUE"""),44214.64583333333)</f>
        <v>44214.64583</v>
      </c>
      <c r="B2221" s="1">
        <f>IFERROR(__xludf.DUMMYFUNCTION("""COMPUTED_VALUE"""),13100.0)</f>
        <v>13100</v>
      </c>
      <c r="C2221" s="1">
        <f>IFERROR(__xludf.DUMMYFUNCTION("""COMPUTED_VALUE"""),14000.0)</f>
        <v>14000</v>
      </c>
      <c r="D2221" s="1">
        <f>IFERROR(__xludf.DUMMYFUNCTION("""COMPUTED_VALUE"""),13100.0)</f>
        <v>13100</v>
      </c>
      <c r="E2221" s="1">
        <f>IFERROR(__xludf.DUMMYFUNCTION("""COMPUTED_VALUE"""),13350.0)</f>
        <v>13350</v>
      </c>
      <c r="F2221" s="1">
        <f>IFERROR(__xludf.DUMMYFUNCTION("""COMPUTED_VALUE"""),827954.0)</f>
        <v>827954</v>
      </c>
    </row>
    <row r="2222">
      <c r="A2222" s="2">
        <f>IFERROR(__xludf.DUMMYFUNCTION("""COMPUTED_VALUE"""),44215.64583333333)</f>
        <v>44215.64583</v>
      </c>
      <c r="B2222" s="1">
        <f>IFERROR(__xludf.DUMMYFUNCTION("""COMPUTED_VALUE"""),13650.0)</f>
        <v>13650</v>
      </c>
      <c r="C2222" s="1">
        <f>IFERROR(__xludf.DUMMYFUNCTION("""COMPUTED_VALUE"""),13800.0)</f>
        <v>13800</v>
      </c>
      <c r="D2222" s="1">
        <f>IFERROR(__xludf.DUMMYFUNCTION("""COMPUTED_VALUE"""),13300.0)</f>
        <v>13300</v>
      </c>
      <c r="E2222" s="1">
        <f>IFERROR(__xludf.DUMMYFUNCTION("""COMPUTED_VALUE"""),13450.0)</f>
        <v>13450</v>
      </c>
      <c r="F2222" s="1">
        <f>IFERROR(__xludf.DUMMYFUNCTION("""COMPUTED_VALUE"""),272512.0)</f>
        <v>272512</v>
      </c>
    </row>
    <row r="2223">
      <c r="A2223" s="2">
        <f>IFERROR(__xludf.DUMMYFUNCTION("""COMPUTED_VALUE"""),44216.64583333333)</f>
        <v>44216.64583</v>
      </c>
      <c r="B2223" s="1">
        <f>IFERROR(__xludf.DUMMYFUNCTION("""COMPUTED_VALUE"""),13500.0)</f>
        <v>13500</v>
      </c>
      <c r="C2223" s="1">
        <f>IFERROR(__xludf.DUMMYFUNCTION("""COMPUTED_VALUE"""),13550.0)</f>
        <v>13550</v>
      </c>
      <c r="D2223" s="1">
        <f>IFERROR(__xludf.DUMMYFUNCTION("""COMPUTED_VALUE"""),13050.0)</f>
        <v>13050</v>
      </c>
      <c r="E2223" s="1">
        <f>IFERROR(__xludf.DUMMYFUNCTION("""COMPUTED_VALUE"""),13400.0)</f>
        <v>13400</v>
      </c>
      <c r="F2223" s="1">
        <f>IFERROR(__xludf.DUMMYFUNCTION("""COMPUTED_VALUE"""),176784.0)</f>
        <v>176784</v>
      </c>
    </row>
    <row r="2224">
      <c r="A2224" s="2">
        <f>IFERROR(__xludf.DUMMYFUNCTION("""COMPUTED_VALUE"""),44217.64583333333)</f>
        <v>44217.64583</v>
      </c>
      <c r="B2224" s="1">
        <f>IFERROR(__xludf.DUMMYFUNCTION("""COMPUTED_VALUE"""),13400.0)</f>
        <v>13400</v>
      </c>
      <c r="C2224" s="1">
        <f>IFERROR(__xludf.DUMMYFUNCTION("""COMPUTED_VALUE"""),13500.0)</f>
        <v>13500</v>
      </c>
      <c r="D2224" s="1">
        <f>IFERROR(__xludf.DUMMYFUNCTION("""COMPUTED_VALUE"""),13000.0)</f>
        <v>13000</v>
      </c>
      <c r="E2224" s="1">
        <f>IFERROR(__xludf.DUMMYFUNCTION("""COMPUTED_VALUE"""),13400.0)</f>
        <v>13400</v>
      </c>
      <c r="F2224" s="1">
        <f>IFERROR(__xludf.DUMMYFUNCTION("""COMPUTED_VALUE"""),160764.0)</f>
        <v>160764</v>
      </c>
    </row>
    <row r="2225">
      <c r="A2225" s="2">
        <f>IFERROR(__xludf.DUMMYFUNCTION("""COMPUTED_VALUE"""),44218.64583333333)</f>
        <v>44218.64583</v>
      </c>
      <c r="B2225" s="1">
        <f>IFERROR(__xludf.DUMMYFUNCTION("""COMPUTED_VALUE"""),13500.0)</f>
        <v>13500</v>
      </c>
      <c r="C2225" s="1">
        <f>IFERROR(__xludf.DUMMYFUNCTION("""COMPUTED_VALUE"""),13500.0)</f>
        <v>13500</v>
      </c>
      <c r="D2225" s="1">
        <f>IFERROR(__xludf.DUMMYFUNCTION("""COMPUTED_VALUE"""),13100.0)</f>
        <v>13100</v>
      </c>
      <c r="E2225" s="1">
        <f>IFERROR(__xludf.DUMMYFUNCTION("""COMPUTED_VALUE"""),13200.0)</f>
        <v>13200</v>
      </c>
      <c r="F2225" s="1">
        <f>IFERROR(__xludf.DUMMYFUNCTION("""COMPUTED_VALUE"""),192241.0)</f>
        <v>192241</v>
      </c>
    </row>
    <row r="2226">
      <c r="A2226" s="2">
        <f>IFERROR(__xludf.DUMMYFUNCTION("""COMPUTED_VALUE"""),44221.64583333333)</f>
        <v>44221.64583</v>
      </c>
      <c r="B2226" s="1">
        <f>IFERROR(__xludf.DUMMYFUNCTION("""COMPUTED_VALUE"""),13350.0)</f>
        <v>13350</v>
      </c>
      <c r="C2226" s="1">
        <f>IFERROR(__xludf.DUMMYFUNCTION("""COMPUTED_VALUE"""),13600.0)</f>
        <v>13600</v>
      </c>
      <c r="D2226" s="1">
        <f>IFERROR(__xludf.DUMMYFUNCTION("""COMPUTED_VALUE"""),13200.0)</f>
        <v>13200</v>
      </c>
      <c r="E2226" s="1">
        <f>IFERROR(__xludf.DUMMYFUNCTION("""COMPUTED_VALUE"""),13550.0)</f>
        <v>13550</v>
      </c>
      <c r="F2226" s="1">
        <f>IFERROR(__xludf.DUMMYFUNCTION("""COMPUTED_VALUE"""),166825.0)</f>
        <v>166825</v>
      </c>
    </row>
    <row r="2227">
      <c r="A2227" s="2">
        <f>IFERROR(__xludf.DUMMYFUNCTION("""COMPUTED_VALUE"""),44222.64583333333)</f>
        <v>44222.64583</v>
      </c>
      <c r="B2227" s="1">
        <f>IFERROR(__xludf.DUMMYFUNCTION("""COMPUTED_VALUE"""),13500.0)</f>
        <v>13500</v>
      </c>
      <c r="C2227" s="1">
        <f>IFERROR(__xludf.DUMMYFUNCTION("""COMPUTED_VALUE"""),13500.0)</f>
        <v>13500</v>
      </c>
      <c r="D2227" s="1">
        <f>IFERROR(__xludf.DUMMYFUNCTION("""COMPUTED_VALUE"""),13150.0)</f>
        <v>13150</v>
      </c>
      <c r="E2227" s="1">
        <f>IFERROR(__xludf.DUMMYFUNCTION("""COMPUTED_VALUE"""),13300.0)</f>
        <v>13300</v>
      </c>
      <c r="F2227" s="1">
        <f>IFERROR(__xludf.DUMMYFUNCTION("""COMPUTED_VALUE"""),92616.0)</f>
        <v>92616</v>
      </c>
    </row>
    <row r="2228">
      <c r="A2228" s="2">
        <f>IFERROR(__xludf.DUMMYFUNCTION("""COMPUTED_VALUE"""),44223.64583333333)</f>
        <v>44223.64583</v>
      </c>
      <c r="B2228" s="1">
        <f>IFERROR(__xludf.DUMMYFUNCTION("""COMPUTED_VALUE"""),13450.0)</f>
        <v>13450</v>
      </c>
      <c r="C2228" s="1">
        <f>IFERROR(__xludf.DUMMYFUNCTION("""COMPUTED_VALUE"""),13450.0)</f>
        <v>13450</v>
      </c>
      <c r="D2228" s="1">
        <f>IFERROR(__xludf.DUMMYFUNCTION("""COMPUTED_VALUE"""),13100.0)</f>
        <v>13100</v>
      </c>
      <c r="E2228" s="1">
        <f>IFERROR(__xludf.DUMMYFUNCTION("""COMPUTED_VALUE"""),13100.0)</f>
        <v>13100</v>
      </c>
      <c r="F2228" s="1">
        <f>IFERROR(__xludf.DUMMYFUNCTION("""COMPUTED_VALUE"""),82390.0)</f>
        <v>82390</v>
      </c>
    </row>
    <row r="2229">
      <c r="A2229" s="2">
        <f>IFERROR(__xludf.DUMMYFUNCTION("""COMPUTED_VALUE"""),44224.64583333333)</f>
        <v>44224.64583</v>
      </c>
      <c r="B2229" s="1">
        <f>IFERROR(__xludf.DUMMYFUNCTION("""COMPUTED_VALUE"""),12800.0)</f>
        <v>12800</v>
      </c>
      <c r="C2229" s="1">
        <f>IFERROR(__xludf.DUMMYFUNCTION("""COMPUTED_VALUE"""),13200.0)</f>
        <v>13200</v>
      </c>
      <c r="D2229" s="1">
        <f>IFERROR(__xludf.DUMMYFUNCTION("""COMPUTED_VALUE"""),12700.0)</f>
        <v>12700</v>
      </c>
      <c r="E2229" s="1">
        <f>IFERROR(__xludf.DUMMYFUNCTION("""COMPUTED_VALUE"""),12800.0)</f>
        <v>12800</v>
      </c>
      <c r="F2229" s="1">
        <f>IFERROR(__xludf.DUMMYFUNCTION("""COMPUTED_VALUE"""),98863.0)</f>
        <v>98863</v>
      </c>
    </row>
    <row r="2230">
      <c r="A2230" s="2">
        <f>IFERROR(__xludf.DUMMYFUNCTION("""COMPUTED_VALUE"""),44225.64583333333)</f>
        <v>44225.64583</v>
      </c>
      <c r="B2230" s="1">
        <f>IFERROR(__xludf.DUMMYFUNCTION("""COMPUTED_VALUE"""),12950.0)</f>
        <v>12950</v>
      </c>
      <c r="C2230" s="1">
        <f>IFERROR(__xludf.DUMMYFUNCTION("""COMPUTED_VALUE"""),14000.0)</f>
        <v>14000</v>
      </c>
      <c r="D2230" s="1">
        <f>IFERROR(__xludf.DUMMYFUNCTION("""COMPUTED_VALUE"""),12350.0)</f>
        <v>12350</v>
      </c>
      <c r="E2230" s="1">
        <f>IFERROR(__xludf.DUMMYFUNCTION("""COMPUTED_VALUE"""),12500.0)</f>
        <v>12500</v>
      </c>
      <c r="F2230" s="1">
        <f>IFERROR(__xludf.DUMMYFUNCTION("""COMPUTED_VALUE"""),541453.0)</f>
        <v>541453</v>
      </c>
    </row>
    <row r="2231">
      <c r="A2231" s="2">
        <f>IFERROR(__xludf.DUMMYFUNCTION("""COMPUTED_VALUE"""),44228.64583333333)</f>
        <v>44228.64583</v>
      </c>
      <c r="B2231" s="1">
        <f>IFERROR(__xludf.DUMMYFUNCTION("""COMPUTED_VALUE"""),12450.0)</f>
        <v>12450</v>
      </c>
      <c r="C2231" s="1">
        <f>IFERROR(__xludf.DUMMYFUNCTION("""COMPUTED_VALUE"""),12650.0)</f>
        <v>12650</v>
      </c>
      <c r="D2231" s="1">
        <f>IFERROR(__xludf.DUMMYFUNCTION("""COMPUTED_VALUE"""),12250.0)</f>
        <v>12250</v>
      </c>
      <c r="E2231" s="1">
        <f>IFERROR(__xludf.DUMMYFUNCTION("""COMPUTED_VALUE"""),12550.0)</f>
        <v>12550</v>
      </c>
      <c r="F2231" s="1">
        <f>IFERROR(__xludf.DUMMYFUNCTION("""COMPUTED_VALUE"""),64333.0)</f>
        <v>64333</v>
      </c>
    </row>
    <row r="2232">
      <c r="A2232" s="2">
        <f>IFERROR(__xludf.DUMMYFUNCTION("""COMPUTED_VALUE"""),44229.64583333333)</f>
        <v>44229.64583</v>
      </c>
      <c r="B2232" s="1">
        <f>IFERROR(__xludf.DUMMYFUNCTION("""COMPUTED_VALUE"""),12550.0)</f>
        <v>12550</v>
      </c>
      <c r="C2232" s="1">
        <f>IFERROR(__xludf.DUMMYFUNCTION("""COMPUTED_VALUE"""),13400.0)</f>
        <v>13400</v>
      </c>
      <c r="D2232" s="1">
        <f>IFERROR(__xludf.DUMMYFUNCTION("""COMPUTED_VALUE"""),12500.0)</f>
        <v>12500</v>
      </c>
      <c r="E2232" s="1">
        <f>IFERROR(__xludf.DUMMYFUNCTION("""COMPUTED_VALUE"""),12800.0)</f>
        <v>12800</v>
      </c>
      <c r="F2232" s="1">
        <f>IFERROR(__xludf.DUMMYFUNCTION("""COMPUTED_VALUE"""),231196.0)</f>
        <v>231196</v>
      </c>
    </row>
    <row r="2233">
      <c r="A2233" s="2">
        <f>IFERROR(__xludf.DUMMYFUNCTION("""COMPUTED_VALUE"""),44230.64583333333)</f>
        <v>44230.64583</v>
      </c>
      <c r="B2233" s="1">
        <f>IFERROR(__xludf.DUMMYFUNCTION("""COMPUTED_VALUE"""),12950.0)</f>
        <v>12950</v>
      </c>
      <c r="C2233" s="1">
        <f>IFERROR(__xludf.DUMMYFUNCTION("""COMPUTED_VALUE"""),13000.0)</f>
        <v>13000</v>
      </c>
      <c r="D2233" s="1">
        <f>IFERROR(__xludf.DUMMYFUNCTION("""COMPUTED_VALUE"""),12700.0)</f>
        <v>12700</v>
      </c>
      <c r="E2233" s="1">
        <f>IFERROR(__xludf.DUMMYFUNCTION("""COMPUTED_VALUE"""),12950.0)</f>
        <v>12950</v>
      </c>
      <c r="F2233" s="1">
        <f>IFERROR(__xludf.DUMMYFUNCTION("""COMPUTED_VALUE"""),87879.0)</f>
        <v>87879</v>
      </c>
    </row>
    <row r="2234">
      <c r="A2234" s="2">
        <f>IFERROR(__xludf.DUMMYFUNCTION("""COMPUTED_VALUE"""),44231.64583333333)</f>
        <v>44231.64583</v>
      </c>
      <c r="B2234" s="1">
        <f>IFERROR(__xludf.DUMMYFUNCTION("""COMPUTED_VALUE"""),13000.0)</f>
        <v>13000</v>
      </c>
      <c r="C2234" s="1">
        <f>IFERROR(__xludf.DUMMYFUNCTION("""COMPUTED_VALUE"""),13000.0)</f>
        <v>13000</v>
      </c>
      <c r="D2234" s="1">
        <f>IFERROR(__xludf.DUMMYFUNCTION("""COMPUTED_VALUE"""),12750.0)</f>
        <v>12750</v>
      </c>
      <c r="E2234" s="1">
        <f>IFERROR(__xludf.DUMMYFUNCTION("""COMPUTED_VALUE"""),12850.0)</f>
        <v>12850</v>
      </c>
      <c r="F2234" s="1">
        <f>IFERROR(__xludf.DUMMYFUNCTION("""COMPUTED_VALUE"""),91500.0)</f>
        <v>91500</v>
      </c>
    </row>
    <row r="2235">
      <c r="A2235" s="2">
        <f>IFERROR(__xludf.DUMMYFUNCTION("""COMPUTED_VALUE"""),44232.64583333333)</f>
        <v>44232.64583</v>
      </c>
      <c r="B2235" s="1">
        <f>IFERROR(__xludf.DUMMYFUNCTION("""COMPUTED_VALUE"""),12900.0)</f>
        <v>12900</v>
      </c>
      <c r="C2235" s="1">
        <f>IFERROR(__xludf.DUMMYFUNCTION("""COMPUTED_VALUE"""),13350.0)</f>
        <v>13350</v>
      </c>
      <c r="D2235" s="1">
        <f>IFERROR(__xludf.DUMMYFUNCTION("""COMPUTED_VALUE"""),12900.0)</f>
        <v>12900</v>
      </c>
      <c r="E2235" s="1">
        <f>IFERROR(__xludf.DUMMYFUNCTION("""COMPUTED_VALUE"""),13150.0)</f>
        <v>13150</v>
      </c>
      <c r="F2235" s="1">
        <f>IFERROR(__xludf.DUMMYFUNCTION("""COMPUTED_VALUE"""),132905.0)</f>
        <v>132905</v>
      </c>
    </row>
    <row r="2236">
      <c r="A2236" s="2">
        <f>IFERROR(__xludf.DUMMYFUNCTION("""COMPUTED_VALUE"""),44235.64583333333)</f>
        <v>44235.64583</v>
      </c>
      <c r="B2236" s="1">
        <f>IFERROR(__xludf.DUMMYFUNCTION("""COMPUTED_VALUE"""),13150.0)</f>
        <v>13150</v>
      </c>
      <c r="C2236" s="1">
        <f>IFERROR(__xludf.DUMMYFUNCTION("""COMPUTED_VALUE"""),13550.0)</f>
        <v>13550</v>
      </c>
      <c r="D2236" s="1">
        <f>IFERROR(__xludf.DUMMYFUNCTION("""COMPUTED_VALUE"""),13100.0)</f>
        <v>13100</v>
      </c>
      <c r="E2236" s="1">
        <f>IFERROR(__xludf.DUMMYFUNCTION("""COMPUTED_VALUE"""),13300.0)</f>
        <v>13300</v>
      </c>
      <c r="F2236" s="1">
        <f>IFERROR(__xludf.DUMMYFUNCTION("""COMPUTED_VALUE"""),209923.0)</f>
        <v>209923</v>
      </c>
    </row>
    <row r="2237">
      <c r="A2237" s="2">
        <f>IFERROR(__xludf.DUMMYFUNCTION("""COMPUTED_VALUE"""),44236.64583333333)</f>
        <v>44236.64583</v>
      </c>
      <c r="B2237" s="1">
        <f>IFERROR(__xludf.DUMMYFUNCTION("""COMPUTED_VALUE"""),13300.0)</f>
        <v>13300</v>
      </c>
      <c r="C2237" s="1">
        <f>IFERROR(__xludf.DUMMYFUNCTION("""COMPUTED_VALUE"""),13400.0)</f>
        <v>13400</v>
      </c>
      <c r="D2237" s="1">
        <f>IFERROR(__xludf.DUMMYFUNCTION("""COMPUTED_VALUE"""),13100.0)</f>
        <v>13100</v>
      </c>
      <c r="E2237" s="1">
        <f>IFERROR(__xludf.DUMMYFUNCTION("""COMPUTED_VALUE"""),13200.0)</f>
        <v>13200</v>
      </c>
      <c r="F2237" s="1">
        <f>IFERROR(__xludf.DUMMYFUNCTION("""COMPUTED_VALUE"""),84660.0)</f>
        <v>84660</v>
      </c>
    </row>
    <row r="2238">
      <c r="A2238" s="2">
        <f>IFERROR(__xludf.DUMMYFUNCTION("""COMPUTED_VALUE"""),44237.64583333333)</f>
        <v>44237.64583</v>
      </c>
      <c r="B2238" s="1">
        <f>IFERROR(__xludf.DUMMYFUNCTION("""COMPUTED_VALUE"""),13200.0)</f>
        <v>13200</v>
      </c>
      <c r="C2238" s="1">
        <f>IFERROR(__xludf.DUMMYFUNCTION("""COMPUTED_VALUE"""),13500.0)</f>
        <v>13500</v>
      </c>
      <c r="D2238" s="1">
        <f>IFERROR(__xludf.DUMMYFUNCTION("""COMPUTED_VALUE"""),13100.0)</f>
        <v>13100</v>
      </c>
      <c r="E2238" s="1">
        <f>IFERROR(__xludf.DUMMYFUNCTION("""COMPUTED_VALUE"""),13350.0)</f>
        <v>13350</v>
      </c>
      <c r="F2238" s="1">
        <f>IFERROR(__xludf.DUMMYFUNCTION("""COMPUTED_VALUE"""),134929.0)</f>
        <v>134929</v>
      </c>
    </row>
    <row r="2239">
      <c r="A2239" s="2">
        <f>IFERROR(__xludf.DUMMYFUNCTION("""COMPUTED_VALUE"""),44242.64583333333)</f>
        <v>44242.64583</v>
      </c>
      <c r="B2239" s="1">
        <f>IFERROR(__xludf.DUMMYFUNCTION("""COMPUTED_VALUE"""),13400.0)</f>
        <v>13400</v>
      </c>
      <c r="C2239" s="1">
        <f>IFERROR(__xludf.DUMMYFUNCTION("""COMPUTED_VALUE"""),13550.0)</f>
        <v>13550</v>
      </c>
      <c r="D2239" s="1">
        <f>IFERROR(__xludf.DUMMYFUNCTION("""COMPUTED_VALUE"""),13200.0)</f>
        <v>13200</v>
      </c>
      <c r="E2239" s="1">
        <f>IFERROR(__xludf.DUMMYFUNCTION("""COMPUTED_VALUE"""),13400.0)</f>
        <v>13400</v>
      </c>
      <c r="F2239" s="1">
        <f>IFERROR(__xludf.DUMMYFUNCTION("""COMPUTED_VALUE"""),74900.0)</f>
        <v>74900</v>
      </c>
    </row>
    <row r="2240">
      <c r="A2240" s="2">
        <f>IFERROR(__xludf.DUMMYFUNCTION("""COMPUTED_VALUE"""),44243.64583333333)</f>
        <v>44243.64583</v>
      </c>
      <c r="B2240" s="1">
        <f>IFERROR(__xludf.DUMMYFUNCTION("""COMPUTED_VALUE"""),13500.0)</f>
        <v>13500</v>
      </c>
      <c r="C2240" s="1">
        <f>IFERROR(__xludf.DUMMYFUNCTION("""COMPUTED_VALUE"""),13500.0)</f>
        <v>13500</v>
      </c>
      <c r="D2240" s="1">
        <f>IFERROR(__xludf.DUMMYFUNCTION("""COMPUTED_VALUE"""),13200.0)</f>
        <v>13200</v>
      </c>
      <c r="E2240" s="1">
        <f>IFERROR(__xludf.DUMMYFUNCTION("""COMPUTED_VALUE"""),13400.0)</f>
        <v>13400</v>
      </c>
      <c r="F2240" s="1">
        <f>IFERROR(__xludf.DUMMYFUNCTION("""COMPUTED_VALUE"""),78169.0)</f>
        <v>78169</v>
      </c>
    </row>
    <row r="2241">
      <c r="A2241" s="2">
        <f>IFERROR(__xludf.DUMMYFUNCTION("""COMPUTED_VALUE"""),44244.64583333333)</f>
        <v>44244.64583</v>
      </c>
      <c r="B2241" s="1">
        <f>IFERROR(__xludf.DUMMYFUNCTION("""COMPUTED_VALUE"""),13500.0)</f>
        <v>13500</v>
      </c>
      <c r="C2241" s="1">
        <f>IFERROR(__xludf.DUMMYFUNCTION("""COMPUTED_VALUE"""),14200.0)</f>
        <v>14200</v>
      </c>
      <c r="D2241" s="1">
        <f>IFERROR(__xludf.DUMMYFUNCTION("""COMPUTED_VALUE"""),13400.0)</f>
        <v>13400</v>
      </c>
      <c r="E2241" s="1">
        <f>IFERROR(__xludf.DUMMYFUNCTION("""COMPUTED_VALUE"""),13600.0)</f>
        <v>13600</v>
      </c>
      <c r="F2241" s="1">
        <f>IFERROR(__xludf.DUMMYFUNCTION("""COMPUTED_VALUE"""),752768.0)</f>
        <v>752768</v>
      </c>
    </row>
    <row r="2242">
      <c r="A2242" s="2">
        <f>IFERROR(__xludf.DUMMYFUNCTION("""COMPUTED_VALUE"""),44245.64583333333)</f>
        <v>44245.64583</v>
      </c>
      <c r="B2242" s="1">
        <f>IFERROR(__xludf.DUMMYFUNCTION("""COMPUTED_VALUE"""),13900.0)</f>
        <v>13900</v>
      </c>
      <c r="C2242" s="1">
        <f>IFERROR(__xludf.DUMMYFUNCTION("""COMPUTED_VALUE"""),14200.0)</f>
        <v>14200</v>
      </c>
      <c r="D2242" s="1">
        <f>IFERROR(__xludf.DUMMYFUNCTION("""COMPUTED_VALUE"""),13700.0)</f>
        <v>13700</v>
      </c>
      <c r="E2242" s="1">
        <f>IFERROR(__xludf.DUMMYFUNCTION("""COMPUTED_VALUE"""),13750.0)</f>
        <v>13750</v>
      </c>
      <c r="F2242" s="1">
        <f>IFERROR(__xludf.DUMMYFUNCTION("""COMPUTED_VALUE"""),439772.0)</f>
        <v>439772</v>
      </c>
    </row>
    <row r="2243">
      <c r="A2243" s="2">
        <f>IFERROR(__xludf.DUMMYFUNCTION("""COMPUTED_VALUE"""),44246.64583333333)</f>
        <v>44246.64583</v>
      </c>
      <c r="B2243" s="1">
        <f>IFERROR(__xludf.DUMMYFUNCTION("""COMPUTED_VALUE"""),13750.0)</f>
        <v>13750</v>
      </c>
      <c r="C2243" s="1">
        <f>IFERROR(__xludf.DUMMYFUNCTION("""COMPUTED_VALUE"""),13750.0)</f>
        <v>13750</v>
      </c>
      <c r="D2243" s="1">
        <f>IFERROR(__xludf.DUMMYFUNCTION("""COMPUTED_VALUE"""),13200.0)</f>
        <v>13200</v>
      </c>
      <c r="E2243" s="1">
        <f>IFERROR(__xludf.DUMMYFUNCTION("""COMPUTED_VALUE"""),13700.0)</f>
        <v>13700</v>
      </c>
      <c r="F2243" s="1">
        <f>IFERROR(__xludf.DUMMYFUNCTION("""COMPUTED_VALUE"""),193080.0)</f>
        <v>193080</v>
      </c>
    </row>
    <row r="2244">
      <c r="A2244" s="2">
        <f>IFERROR(__xludf.DUMMYFUNCTION("""COMPUTED_VALUE"""),44249.64583333333)</f>
        <v>44249.64583</v>
      </c>
      <c r="B2244" s="1">
        <f>IFERROR(__xludf.DUMMYFUNCTION("""COMPUTED_VALUE"""),13700.0)</f>
        <v>13700</v>
      </c>
      <c r="C2244" s="1">
        <f>IFERROR(__xludf.DUMMYFUNCTION("""COMPUTED_VALUE"""),14400.0)</f>
        <v>14400</v>
      </c>
      <c r="D2244" s="1">
        <f>IFERROR(__xludf.DUMMYFUNCTION("""COMPUTED_VALUE"""),13700.0)</f>
        <v>13700</v>
      </c>
      <c r="E2244" s="1">
        <f>IFERROR(__xludf.DUMMYFUNCTION("""COMPUTED_VALUE"""),13950.0)</f>
        <v>13950</v>
      </c>
      <c r="F2244" s="1">
        <f>IFERROR(__xludf.DUMMYFUNCTION("""COMPUTED_VALUE"""),430865.0)</f>
        <v>430865</v>
      </c>
    </row>
    <row r="2245">
      <c r="A2245" s="2">
        <f>IFERROR(__xludf.DUMMYFUNCTION("""COMPUTED_VALUE"""),44250.64583333333)</f>
        <v>44250.64583</v>
      </c>
      <c r="B2245" s="1">
        <f>IFERROR(__xludf.DUMMYFUNCTION("""COMPUTED_VALUE"""),14100.0)</f>
        <v>14100</v>
      </c>
      <c r="C2245" s="1">
        <f>IFERROR(__xludf.DUMMYFUNCTION("""COMPUTED_VALUE"""),15950.0)</f>
        <v>15950</v>
      </c>
      <c r="D2245" s="1">
        <f>IFERROR(__xludf.DUMMYFUNCTION("""COMPUTED_VALUE"""),14000.0)</f>
        <v>14000</v>
      </c>
      <c r="E2245" s="1">
        <f>IFERROR(__xludf.DUMMYFUNCTION("""COMPUTED_VALUE"""),14400.0)</f>
        <v>14400</v>
      </c>
      <c r="F2245" s="1">
        <f>IFERROR(__xludf.DUMMYFUNCTION("""COMPUTED_VALUE"""),5609450.0)</f>
        <v>5609450</v>
      </c>
    </row>
    <row r="2246">
      <c r="A2246" s="2">
        <f>IFERROR(__xludf.DUMMYFUNCTION("""COMPUTED_VALUE"""),44251.64583333333)</f>
        <v>44251.64583</v>
      </c>
      <c r="B2246" s="1">
        <f>IFERROR(__xludf.DUMMYFUNCTION("""COMPUTED_VALUE"""),14450.0)</f>
        <v>14450</v>
      </c>
      <c r="C2246" s="1">
        <f>IFERROR(__xludf.DUMMYFUNCTION("""COMPUTED_VALUE"""),14850.0)</f>
        <v>14850</v>
      </c>
      <c r="D2246" s="1">
        <f>IFERROR(__xludf.DUMMYFUNCTION("""COMPUTED_VALUE"""),13050.0)</f>
        <v>13050</v>
      </c>
      <c r="E2246" s="1">
        <f>IFERROR(__xludf.DUMMYFUNCTION("""COMPUTED_VALUE"""),13300.0)</f>
        <v>13300</v>
      </c>
      <c r="F2246" s="1">
        <f>IFERROR(__xludf.DUMMYFUNCTION("""COMPUTED_VALUE"""),855729.0)</f>
        <v>855729</v>
      </c>
    </row>
    <row r="2247">
      <c r="A2247" s="2">
        <f>IFERROR(__xludf.DUMMYFUNCTION("""COMPUTED_VALUE"""),44252.64583333333)</f>
        <v>44252.64583</v>
      </c>
      <c r="B2247" s="1">
        <f>IFERROR(__xludf.DUMMYFUNCTION("""COMPUTED_VALUE"""),13750.0)</f>
        <v>13750</v>
      </c>
      <c r="C2247" s="1">
        <f>IFERROR(__xludf.DUMMYFUNCTION("""COMPUTED_VALUE"""),14050.0)</f>
        <v>14050</v>
      </c>
      <c r="D2247" s="1">
        <f>IFERROR(__xludf.DUMMYFUNCTION("""COMPUTED_VALUE"""),13300.0)</f>
        <v>13300</v>
      </c>
      <c r="E2247" s="1">
        <f>IFERROR(__xludf.DUMMYFUNCTION("""COMPUTED_VALUE"""),13300.0)</f>
        <v>13300</v>
      </c>
      <c r="F2247" s="1">
        <f>IFERROR(__xludf.DUMMYFUNCTION("""COMPUTED_VALUE"""),290617.0)</f>
        <v>290617</v>
      </c>
    </row>
    <row r="2248">
      <c r="A2248" s="2">
        <f>IFERROR(__xludf.DUMMYFUNCTION("""COMPUTED_VALUE"""),44253.64583333333)</f>
        <v>44253.64583</v>
      </c>
      <c r="B2248" s="1">
        <f>IFERROR(__xludf.DUMMYFUNCTION("""COMPUTED_VALUE"""),12900.0)</f>
        <v>12900</v>
      </c>
      <c r="C2248" s="1">
        <f>IFERROR(__xludf.DUMMYFUNCTION("""COMPUTED_VALUE"""),13250.0)</f>
        <v>13250</v>
      </c>
      <c r="D2248" s="1">
        <f>IFERROR(__xludf.DUMMYFUNCTION("""COMPUTED_VALUE"""),12750.0)</f>
        <v>12750</v>
      </c>
      <c r="E2248" s="1">
        <f>IFERROR(__xludf.DUMMYFUNCTION("""COMPUTED_VALUE"""),13150.0)</f>
        <v>13150</v>
      </c>
      <c r="F2248" s="1">
        <f>IFERROR(__xludf.DUMMYFUNCTION("""COMPUTED_VALUE"""),249624.0)</f>
        <v>249624</v>
      </c>
    </row>
    <row r="2249">
      <c r="A2249" s="2">
        <f>IFERROR(__xludf.DUMMYFUNCTION("""COMPUTED_VALUE"""),44257.64583333333)</f>
        <v>44257.64583</v>
      </c>
      <c r="B2249" s="1">
        <f>IFERROR(__xludf.DUMMYFUNCTION("""COMPUTED_VALUE"""),13450.0)</f>
        <v>13450</v>
      </c>
      <c r="C2249" s="1">
        <f>IFERROR(__xludf.DUMMYFUNCTION("""COMPUTED_VALUE"""),13450.0)</f>
        <v>13450</v>
      </c>
      <c r="D2249" s="1">
        <f>IFERROR(__xludf.DUMMYFUNCTION("""COMPUTED_VALUE"""),12950.0)</f>
        <v>12950</v>
      </c>
      <c r="E2249" s="1">
        <f>IFERROR(__xludf.DUMMYFUNCTION("""COMPUTED_VALUE"""),12950.0)</f>
        <v>12950</v>
      </c>
      <c r="F2249" s="1">
        <f>IFERROR(__xludf.DUMMYFUNCTION("""COMPUTED_VALUE"""),116356.0)</f>
        <v>116356</v>
      </c>
    </row>
    <row r="2250">
      <c r="A2250" s="2">
        <f>IFERROR(__xludf.DUMMYFUNCTION("""COMPUTED_VALUE"""),44258.64583333333)</f>
        <v>44258.64583</v>
      </c>
      <c r="B2250" s="1">
        <f>IFERROR(__xludf.DUMMYFUNCTION("""COMPUTED_VALUE"""),12900.0)</f>
        <v>12900</v>
      </c>
      <c r="C2250" s="1">
        <f>IFERROR(__xludf.DUMMYFUNCTION("""COMPUTED_VALUE"""),13800.0)</f>
        <v>13800</v>
      </c>
      <c r="D2250" s="1">
        <f>IFERROR(__xludf.DUMMYFUNCTION("""COMPUTED_VALUE"""),12900.0)</f>
        <v>12900</v>
      </c>
      <c r="E2250" s="1">
        <f>IFERROR(__xludf.DUMMYFUNCTION("""COMPUTED_VALUE"""),13150.0)</f>
        <v>13150</v>
      </c>
      <c r="F2250" s="1">
        <f>IFERROR(__xludf.DUMMYFUNCTION("""COMPUTED_VALUE"""),277935.0)</f>
        <v>277935</v>
      </c>
    </row>
    <row r="2251">
      <c r="A2251" s="2">
        <f>IFERROR(__xludf.DUMMYFUNCTION("""COMPUTED_VALUE"""),44259.64583333333)</f>
        <v>44259.64583</v>
      </c>
      <c r="B2251" s="1">
        <f>IFERROR(__xludf.DUMMYFUNCTION("""COMPUTED_VALUE"""),13100.0)</f>
        <v>13100</v>
      </c>
      <c r="C2251" s="1">
        <f>IFERROR(__xludf.DUMMYFUNCTION("""COMPUTED_VALUE"""),13450.0)</f>
        <v>13450</v>
      </c>
      <c r="D2251" s="1">
        <f>IFERROR(__xludf.DUMMYFUNCTION("""COMPUTED_VALUE"""),13100.0)</f>
        <v>13100</v>
      </c>
      <c r="E2251" s="1">
        <f>IFERROR(__xludf.DUMMYFUNCTION("""COMPUTED_VALUE"""),13350.0)</f>
        <v>13350</v>
      </c>
      <c r="F2251" s="1">
        <f>IFERROR(__xludf.DUMMYFUNCTION("""COMPUTED_VALUE"""),120275.0)</f>
        <v>120275</v>
      </c>
    </row>
    <row r="2252">
      <c r="A2252" s="2">
        <f>IFERROR(__xludf.DUMMYFUNCTION("""COMPUTED_VALUE"""),44260.64583333333)</f>
        <v>44260.64583</v>
      </c>
      <c r="B2252" s="1">
        <f>IFERROR(__xludf.DUMMYFUNCTION("""COMPUTED_VALUE"""),13250.0)</f>
        <v>13250</v>
      </c>
      <c r="C2252" s="1">
        <f>IFERROR(__xludf.DUMMYFUNCTION("""COMPUTED_VALUE"""),13800.0)</f>
        <v>13800</v>
      </c>
      <c r="D2252" s="1">
        <f>IFERROR(__xludf.DUMMYFUNCTION("""COMPUTED_VALUE"""),13100.0)</f>
        <v>13100</v>
      </c>
      <c r="E2252" s="1">
        <f>IFERROR(__xludf.DUMMYFUNCTION("""COMPUTED_VALUE"""),13700.0)</f>
        <v>13700</v>
      </c>
      <c r="F2252" s="1">
        <f>IFERROR(__xludf.DUMMYFUNCTION("""COMPUTED_VALUE"""),226820.0)</f>
        <v>226820</v>
      </c>
    </row>
    <row r="2253">
      <c r="A2253" s="2">
        <f>IFERROR(__xludf.DUMMYFUNCTION("""COMPUTED_VALUE"""),44263.64583333333)</f>
        <v>44263.64583</v>
      </c>
      <c r="B2253" s="1">
        <f>IFERROR(__xludf.DUMMYFUNCTION("""COMPUTED_VALUE"""),14000.0)</f>
        <v>14000</v>
      </c>
      <c r="C2253" s="1">
        <f>IFERROR(__xludf.DUMMYFUNCTION("""COMPUTED_VALUE"""),14200.0)</f>
        <v>14200</v>
      </c>
      <c r="D2253" s="1">
        <f>IFERROR(__xludf.DUMMYFUNCTION("""COMPUTED_VALUE"""),13700.0)</f>
        <v>13700</v>
      </c>
      <c r="E2253" s="1">
        <f>IFERROR(__xludf.DUMMYFUNCTION("""COMPUTED_VALUE"""),13750.0)</f>
        <v>13750</v>
      </c>
      <c r="F2253" s="1">
        <f>IFERROR(__xludf.DUMMYFUNCTION("""COMPUTED_VALUE"""),275088.0)</f>
        <v>275088</v>
      </c>
    </row>
    <row r="2254">
      <c r="A2254" s="2">
        <f>IFERROR(__xludf.DUMMYFUNCTION("""COMPUTED_VALUE"""),44264.64583333333)</f>
        <v>44264.64583</v>
      </c>
      <c r="B2254" s="1">
        <f>IFERROR(__xludf.DUMMYFUNCTION("""COMPUTED_VALUE"""),13750.0)</f>
        <v>13750</v>
      </c>
      <c r="C2254" s="1">
        <f>IFERROR(__xludf.DUMMYFUNCTION("""COMPUTED_VALUE"""),13950.0)</f>
        <v>13950</v>
      </c>
      <c r="D2254" s="1">
        <f>IFERROR(__xludf.DUMMYFUNCTION("""COMPUTED_VALUE"""),13250.0)</f>
        <v>13250</v>
      </c>
      <c r="E2254" s="1">
        <f>IFERROR(__xludf.DUMMYFUNCTION("""COMPUTED_VALUE"""),13450.0)</f>
        <v>13450</v>
      </c>
      <c r="F2254" s="1">
        <f>IFERROR(__xludf.DUMMYFUNCTION("""COMPUTED_VALUE"""),161214.0)</f>
        <v>161214</v>
      </c>
    </row>
    <row r="2255">
      <c r="A2255" s="2">
        <f>IFERROR(__xludf.DUMMYFUNCTION("""COMPUTED_VALUE"""),44265.64583333333)</f>
        <v>44265.64583</v>
      </c>
      <c r="B2255" s="1">
        <f>IFERROR(__xludf.DUMMYFUNCTION("""COMPUTED_VALUE"""),13450.0)</f>
        <v>13450</v>
      </c>
      <c r="C2255" s="1">
        <f>IFERROR(__xludf.DUMMYFUNCTION("""COMPUTED_VALUE"""),13700.0)</f>
        <v>13700</v>
      </c>
      <c r="D2255" s="1">
        <f>IFERROR(__xludf.DUMMYFUNCTION("""COMPUTED_VALUE"""),13200.0)</f>
        <v>13200</v>
      </c>
      <c r="E2255" s="1">
        <f>IFERROR(__xludf.DUMMYFUNCTION("""COMPUTED_VALUE"""),13250.0)</f>
        <v>13250</v>
      </c>
      <c r="F2255" s="1">
        <f>IFERROR(__xludf.DUMMYFUNCTION("""COMPUTED_VALUE"""),99793.0)</f>
        <v>99793</v>
      </c>
    </row>
    <row r="2256">
      <c r="A2256" s="2">
        <f>IFERROR(__xludf.DUMMYFUNCTION("""COMPUTED_VALUE"""),44266.64583333333)</f>
        <v>44266.64583</v>
      </c>
      <c r="B2256" s="1">
        <f>IFERROR(__xludf.DUMMYFUNCTION("""COMPUTED_VALUE"""),13400.0)</f>
        <v>13400</v>
      </c>
      <c r="C2256" s="1">
        <f>IFERROR(__xludf.DUMMYFUNCTION("""COMPUTED_VALUE"""),13400.0)</f>
        <v>13400</v>
      </c>
      <c r="D2256" s="1">
        <f>IFERROR(__xludf.DUMMYFUNCTION("""COMPUTED_VALUE"""),13150.0)</f>
        <v>13150</v>
      </c>
      <c r="E2256" s="1">
        <f>IFERROR(__xludf.DUMMYFUNCTION("""COMPUTED_VALUE"""),13300.0)</f>
        <v>13300</v>
      </c>
      <c r="F2256" s="1">
        <f>IFERROR(__xludf.DUMMYFUNCTION("""COMPUTED_VALUE"""),77576.0)</f>
        <v>77576</v>
      </c>
    </row>
    <row r="2257">
      <c r="A2257" s="2">
        <f>IFERROR(__xludf.DUMMYFUNCTION("""COMPUTED_VALUE"""),44267.64583333333)</f>
        <v>44267.64583</v>
      </c>
      <c r="B2257" s="1">
        <f>IFERROR(__xludf.DUMMYFUNCTION("""COMPUTED_VALUE"""),13350.0)</f>
        <v>13350</v>
      </c>
      <c r="C2257" s="1">
        <f>IFERROR(__xludf.DUMMYFUNCTION("""COMPUTED_VALUE"""),13500.0)</f>
        <v>13500</v>
      </c>
      <c r="D2257" s="1">
        <f>IFERROR(__xludf.DUMMYFUNCTION("""COMPUTED_VALUE"""),13300.0)</f>
        <v>13300</v>
      </c>
      <c r="E2257" s="1">
        <f>IFERROR(__xludf.DUMMYFUNCTION("""COMPUTED_VALUE"""),13450.0)</f>
        <v>13450</v>
      </c>
      <c r="F2257" s="1">
        <f>IFERROR(__xludf.DUMMYFUNCTION("""COMPUTED_VALUE"""),94859.0)</f>
        <v>94859</v>
      </c>
    </row>
    <row r="2258">
      <c r="A2258" s="2">
        <f>IFERROR(__xludf.DUMMYFUNCTION("""COMPUTED_VALUE"""),44270.64583333333)</f>
        <v>44270.64583</v>
      </c>
      <c r="B2258" s="1">
        <f>IFERROR(__xludf.DUMMYFUNCTION("""COMPUTED_VALUE"""),13800.0)</f>
        <v>13800</v>
      </c>
      <c r="C2258" s="1">
        <f>IFERROR(__xludf.DUMMYFUNCTION("""COMPUTED_VALUE"""),13900.0)</f>
        <v>13900</v>
      </c>
      <c r="D2258" s="1">
        <f>IFERROR(__xludf.DUMMYFUNCTION("""COMPUTED_VALUE"""),13500.0)</f>
        <v>13500</v>
      </c>
      <c r="E2258" s="1">
        <f>IFERROR(__xludf.DUMMYFUNCTION("""COMPUTED_VALUE"""),13650.0)</f>
        <v>13650</v>
      </c>
      <c r="F2258" s="1">
        <f>IFERROR(__xludf.DUMMYFUNCTION("""COMPUTED_VALUE"""),160842.0)</f>
        <v>160842</v>
      </c>
    </row>
    <row r="2259">
      <c r="A2259" s="2">
        <f>IFERROR(__xludf.DUMMYFUNCTION("""COMPUTED_VALUE"""),44271.64583333333)</f>
        <v>44271.64583</v>
      </c>
      <c r="B2259" s="1">
        <f>IFERROR(__xludf.DUMMYFUNCTION("""COMPUTED_VALUE"""),13700.0)</f>
        <v>13700</v>
      </c>
      <c r="C2259" s="1">
        <f>IFERROR(__xludf.DUMMYFUNCTION("""COMPUTED_VALUE"""),13900.0)</f>
        <v>13900</v>
      </c>
      <c r="D2259" s="1">
        <f>IFERROR(__xludf.DUMMYFUNCTION("""COMPUTED_VALUE"""),13500.0)</f>
        <v>13500</v>
      </c>
      <c r="E2259" s="1">
        <f>IFERROR(__xludf.DUMMYFUNCTION("""COMPUTED_VALUE"""),13800.0)</f>
        <v>13800</v>
      </c>
      <c r="F2259" s="1">
        <f>IFERROR(__xludf.DUMMYFUNCTION("""COMPUTED_VALUE"""),172466.0)</f>
        <v>172466</v>
      </c>
    </row>
    <row r="2260">
      <c r="A2260" s="2">
        <f>IFERROR(__xludf.DUMMYFUNCTION("""COMPUTED_VALUE"""),44272.64583333333)</f>
        <v>44272.64583</v>
      </c>
      <c r="B2260" s="1">
        <f>IFERROR(__xludf.DUMMYFUNCTION("""COMPUTED_VALUE"""),13800.0)</f>
        <v>13800</v>
      </c>
      <c r="C2260" s="1">
        <f>IFERROR(__xludf.DUMMYFUNCTION("""COMPUTED_VALUE"""),14650.0)</f>
        <v>14650</v>
      </c>
      <c r="D2260" s="1">
        <f>IFERROR(__xludf.DUMMYFUNCTION("""COMPUTED_VALUE"""),13650.0)</f>
        <v>13650</v>
      </c>
      <c r="E2260" s="1">
        <f>IFERROR(__xludf.DUMMYFUNCTION("""COMPUTED_VALUE"""),14250.0)</f>
        <v>14250</v>
      </c>
      <c r="F2260" s="1">
        <f>IFERROR(__xludf.DUMMYFUNCTION("""COMPUTED_VALUE"""),850677.0)</f>
        <v>850677</v>
      </c>
    </row>
    <row r="2261">
      <c r="A2261" s="2">
        <f>IFERROR(__xludf.DUMMYFUNCTION("""COMPUTED_VALUE"""),44273.64583333333)</f>
        <v>44273.64583</v>
      </c>
      <c r="B2261" s="1">
        <f>IFERROR(__xludf.DUMMYFUNCTION("""COMPUTED_VALUE"""),14300.0)</f>
        <v>14300</v>
      </c>
      <c r="C2261" s="1">
        <f>IFERROR(__xludf.DUMMYFUNCTION("""COMPUTED_VALUE"""),14350.0)</f>
        <v>14350</v>
      </c>
      <c r="D2261" s="1">
        <f>IFERROR(__xludf.DUMMYFUNCTION("""COMPUTED_VALUE"""),13950.0)</f>
        <v>13950</v>
      </c>
      <c r="E2261" s="1">
        <f>IFERROR(__xludf.DUMMYFUNCTION("""COMPUTED_VALUE"""),14150.0)</f>
        <v>14150</v>
      </c>
      <c r="F2261" s="1">
        <f>IFERROR(__xludf.DUMMYFUNCTION("""COMPUTED_VALUE"""),164067.0)</f>
        <v>164067</v>
      </c>
    </row>
    <row r="2262">
      <c r="A2262" s="2">
        <f>IFERROR(__xludf.DUMMYFUNCTION("""COMPUTED_VALUE"""),44274.64583333333)</f>
        <v>44274.64583</v>
      </c>
      <c r="B2262" s="1">
        <f>IFERROR(__xludf.DUMMYFUNCTION("""COMPUTED_VALUE"""),13900.0)</f>
        <v>13900</v>
      </c>
      <c r="C2262" s="1">
        <f>IFERROR(__xludf.DUMMYFUNCTION("""COMPUTED_VALUE"""),14300.0)</f>
        <v>14300</v>
      </c>
      <c r="D2262" s="1">
        <f>IFERROR(__xludf.DUMMYFUNCTION("""COMPUTED_VALUE"""),13850.0)</f>
        <v>13850</v>
      </c>
      <c r="E2262" s="1">
        <f>IFERROR(__xludf.DUMMYFUNCTION("""COMPUTED_VALUE"""),14150.0)</f>
        <v>14150</v>
      </c>
      <c r="F2262" s="1">
        <f>IFERROR(__xludf.DUMMYFUNCTION("""COMPUTED_VALUE"""),103317.0)</f>
        <v>103317</v>
      </c>
    </row>
    <row r="2263">
      <c r="A2263" s="2">
        <f>IFERROR(__xludf.DUMMYFUNCTION("""COMPUTED_VALUE"""),44277.64583333333)</f>
        <v>44277.64583</v>
      </c>
      <c r="B2263" s="1">
        <f>IFERROR(__xludf.DUMMYFUNCTION("""COMPUTED_VALUE"""),14150.0)</f>
        <v>14150</v>
      </c>
      <c r="C2263" s="1">
        <f>IFERROR(__xludf.DUMMYFUNCTION("""COMPUTED_VALUE"""),14200.0)</f>
        <v>14200</v>
      </c>
      <c r="D2263" s="1">
        <f>IFERROR(__xludf.DUMMYFUNCTION("""COMPUTED_VALUE"""),13900.0)</f>
        <v>13900</v>
      </c>
      <c r="E2263" s="1">
        <f>IFERROR(__xludf.DUMMYFUNCTION("""COMPUTED_VALUE"""),13950.0)</f>
        <v>13950</v>
      </c>
      <c r="F2263" s="1">
        <f>IFERROR(__xludf.DUMMYFUNCTION("""COMPUTED_VALUE"""),94822.0)</f>
        <v>94822</v>
      </c>
    </row>
    <row r="2264">
      <c r="A2264" s="2">
        <f>IFERROR(__xludf.DUMMYFUNCTION("""COMPUTED_VALUE"""),44278.64583333333)</f>
        <v>44278.64583</v>
      </c>
      <c r="B2264" s="1">
        <f>IFERROR(__xludf.DUMMYFUNCTION("""COMPUTED_VALUE"""),14050.0)</f>
        <v>14050</v>
      </c>
      <c r="C2264" s="1">
        <f>IFERROR(__xludf.DUMMYFUNCTION("""COMPUTED_VALUE"""),14050.0)</f>
        <v>14050</v>
      </c>
      <c r="D2264" s="1">
        <f>IFERROR(__xludf.DUMMYFUNCTION("""COMPUTED_VALUE"""),13600.0)</f>
        <v>13600</v>
      </c>
      <c r="E2264" s="1">
        <f>IFERROR(__xludf.DUMMYFUNCTION("""COMPUTED_VALUE"""),13650.0)</f>
        <v>13650</v>
      </c>
      <c r="F2264" s="1">
        <f>IFERROR(__xludf.DUMMYFUNCTION("""COMPUTED_VALUE"""),136279.0)</f>
        <v>136279</v>
      </c>
    </row>
    <row r="2265">
      <c r="A2265" s="2">
        <f>IFERROR(__xludf.DUMMYFUNCTION("""COMPUTED_VALUE"""),44279.64583333333)</f>
        <v>44279.64583</v>
      </c>
      <c r="B2265" s="1">
        <f>IFERROR(__xludf.DUMMYFUNCTION("""COMPUTED_VALUE"""),13550.0)</f>
        <v>13550</v>
      </c>
      <c r="C2265" s="1">
        <f>IFERROR(__xludf.DUMMYFUNCTION("""COMPUTED_VALUE"""),13750.0)</f>
        <v>13750</v>
      </c>
      <c r="D2265" s="1">
        <f>IFERROR(__xludf.DUMMYFUNCTION("""COMPUTED_VALUE"""),13350.0)</f>
        <v>13350</v>
      </c>
      <c r="E2265" s="1">
        <f>IFERROR(__xludf.DUMMYFUNCTION("""COMPUTED_VALUE"""),13600.0)</f>
        <v>13600</v>
      </c>
      <c r="F2265" s="1">
        <f>IFERROR(__xludf.DUMMYFUNCTION("""COMPUTED_VALUE"""),83965.0)</f>
        <v>83965</v>
      </c>
    </row>
    <row r="2266">
      <c r="A2266" s="2">
        <f>IFERROR(__xludf.DUMMYFUNCTION("""COMPUTED_VALUE"""),44280.64583333333)</f>
        <v>44280.64583</v>
      </c>
      <c r="B2266" s="1">
        <f>IFERROR(__xludf.DUMMYFUNCTION("""COMPUTED_VALUE"""),13500.0)</f>
        <v>13500</v>
      </c>
      <c r="C2266" s="1">
        <f>IFERROR(__xludf.DUMMYFUNCTION("""COMPUTED_VALUE"""),13650.0)</f>
        <v>13650</v>
      </c>
      <c r="D2266" s="1">
        <f>IFERROR(__xludf.DUMMYFUNCTION("""COMPUTED_VALUE"""),13450.0)</f>
        <v>13450</v>
      </c>
      <c r="E2266" s="1">
        <f>IFERROR(__xludf.DUMMYFUNCTION("""COMPUTED_VALUE"""),13650.0)</f>
        <v>13650</v>
      </c>
      <c r="F2266" s="1">
        <f>IFERROR(__xludf.DUMMYFUNCTION("""COMPUTED_VALUE"""),83176.0)</f>
        <v>83176</v>
      </c>
    </row>
    <row r="2267">
      <c r="A2267" s="2">
        <f>IFERROR(__xludf.DUMMYFUNCTION("""COMPUTED_VALUE"""),44281.64583333333)</f>
        <v>44281.64583</v>
      </c>
      <c r="B2267" s="1">
        <f>IFERROR(__xludf.DUMMYFUNCTION("""COMPUTED_VALUE"""),13650.0)</f>
        <v>13650</v>
      </c>
      <c r="C2267" s="1">
        <f>IFERROR(__xludf.DUMMYFUNCTION("""COMPUTED_VALUE"""),13800.0)</f>
        <v>13800</v>
      </c>
      <c r="D2267" s="1">
        <f>IFERROR(__xludf.DUMMYFUNCTION("""COMPUTED_VALUE"""),13650.0)</f>
        <v>13650</v>
      </c>
      <c r="E2267" s="1">
        <f>IFERROR(__xludf.DUMMYFUNCTION("""COMPUTED_VALUE"""),13750.0)</f>
        <v>13750</v>
      </c>
      <c r="F2267" s="1">
        <f>IFERROR(__xludf.DUMMYFUNCTION("""COMPUTED_VALUE"""),72558.0)</f>
        <v>72558</v>
      </c>
    </row>
    <row r="2268">
      <c r="A2268" s="2">
        <f>IFERROR(__xludf.DUMMYFUNCTION("""COMPUTED_VALUE"""),44284.64583333333)</f>
        <v>44284.64583</v>
      </c>
      <c r="B2268" s="1">
        <f>IFERROR(__xludf.DUMMYFUNCTION("""COMPUTED_VALUE"""),13750.0)</f>
        <v>13750</v>
      </c>
      <c r="C2268" s="1">
        <f>IFERROR(__xludf.DUMMYFUNCTION("""COMPUTED_VALUE"""),13950.0)</f>
        <v>13950</v>
      </c>
      <c r="D2268" s="1">
        <f>IFERROR(__xludf.DUMMYFUNCTION("""COMPUTED_VALUE"""),13650.0)</f>
        <v>13650</v>
      </c>
      <c r="E2268" s="1">
        <f>IFERROR(__xludf.DUMMYFUNCTION("""COMPUTED_VALUE"""),13800.0)</f>
        <v>13800</v>
      </c>
      <c r="F2268" s="1">
        <f>IFERROR(__xludf.DUMMYFUNCTION("""COMPUTED_VALUE"""),109974.0)</f>
        <v>109974</v>
      </c>
    </row>
    <row r="2269">
      <c r="A2269" s="2">
        <f>IFERROR(__xludf.DUMMYFUNCTION("""COMPUTED_VALUE"""),44285.64583333333)</f>
        <v>44285.64583</v>
      </c>
      <c r="B2269" s="1">
        <f>IFERROR(__xludf.DUMMYFUNCTION("""COMPUTED_VALUE"""),13850.0)</f>
        <v>13850</v>
      </c>
      <c r="C2269" s="1">
        <f>IFERROR(__xludf.DUMMYFUNCTION("""COMPUTED_VALUE"""),13850.0)</f>
        <v>13850</v>
      </c>
      <c r="D2269" s="1">
        <f>IFERROR(__xludf.DUMMYFUNCTION("""COMPUTED_VALUE"""),13650.0)</f>
        <v>13650</v>
      </c>
      <c r="E2269" s="1">
        <f>IFERROR(__xludf.DUMMYFUNCTION("""COMPUTED_VALUE"""),13800.0)</f>
        <v>13800</v>
      </c>
      <c r="F2269" s="1">
        <f>IFERROR(__xludf.DUMMYFUNCTION("""COMPUTED_VALUE"""),86024.0)</f>
        <v>86024</v>
      </c>
    </row>
    <row r="2270">
      <c r="A2270" s="2">
        <f>IFERROR(__xludf.DUMMYFUNCTION("""COMPUTED_VALUE"""),44286.64583333333)</f>
        <v>44286.64583</v>
      </c>
      <c r="B2270" s="1">
        <f>IFERROR(__xludf.DUMMYFUNCTION("""COMPUTED_VALUE"""),13850.0)</f>
        <v>13850</v>
      </c>
      <c r="C2270" s="1">
        <f>IFERROR(__xludf.DUMMYFUNCTION("""COMPUTED_VALUE"""),13850.0)</f>
        <v>13850</v>
      </c>
      <c r="D2270" s="1">
        <f>IFERROR(__xludf.DUMMYFUNCTION("""COMPUTED_VALUE"""),13550.0)</f>
        <v>13550</v>
      </c>
      <c r="E2270" s="1">
        <f>IFERROR(__xludf.DUMMYFUNCTION("""COMPUTED_VALUE"""),13600.0)</f>
        <v>13600</v>
      </c>
      <c r="F2270" s="1">
        <f>IFERROR(__xludf.DUMMYFUNCTION("""COMPUTED_VALUE"""),78724.0)</f>
        <v>78724</v>
      </c>
    </row>
    <row r="2271">
      <c r="A2271" s="2">
        <f>IFERROR(__xludf.DUMMYFUNCTION("""COMPUTED_VALUE"""),44287.64583333333)</f>
        <v>44287.64583</v>
      </c>
      <c r="B2271" s="1">
        <f>IFERROR(__xludf.DUMMYFUNCTION("""COMPUTED_VALUE"""),13650.0)</f>
        <v>13650</v>
      </c>
      <c r="C2271" s="1">
        <f>IFERROR(__xludf.DUMMYFUNCTION("""COMPUTED_VALUE"""),13750.0)</f>
        <v>13750</v>
      </c>
      <c r="D2271" s="1">
        <f>IFERROR(__xludf.DUMMYFUNCTION("""COMPUTED_VALUE"""),13550.0)</f>
        <v>13550</v>
      </c>
      <c r="E2271" s="1">
        <f>IFERROR(__xludf.DUMMYFUNCTION("""COMPUTED_VALUE"""),13550.0)</f>
        <v>13550</v>
      </c>
      <c r="F2271" s="1">
        <f>IFERROR(__xludf.DUMMYFUNCTION("""COMPUTED_VALUE"""),68070.0)</f>
        <v>68070</v>
      </c>
    </row>
    <row r="2272">
      <c r="A2272" s="2">
        <f>IFERROR(__xludf.DUMMYFUNCTION("""COMPUTED_VALUE"""),44288.64583333333)</f>
        <v>44288.64583</v>
      </c>
      <c r="B2272" s="1">
        <f>IFERROR(__xludf.DUMMYFUNCTION("""COMPUTED_VALUE"""),13550.0)</f>
        <v>13550</v>
      </c>
      <c r="C2272" s="1">
        <f>IFERROR(__xludf.DUMMYFUNCTION("""COMPUTED_VALUE"""),13650.0)</f>
        <v>13650</v>
      </c>
      <c r="D2272" s="1">
        <f>IFERROR(__xludf.DUMMYFUNCTION("""COMPUTED_VALUE"""),13250.0)</f>
        <v>13250</v>
      </c>
      <c r="E2272" s="1">
        <f>IFERROR(__xludf.DUMMYFUNCTION("""COMPUTED_VALUE"""),13400.0)</f>
        <v>13400</v>
      </c>
      <c r="F2272" s="1">
        <f>IFERROR(__xludf.DUMMYFUNCTION("""COMPUTED_VALUE"""),94889.0)</f>
        <v>94889</v>
      </c>
    </row>
    <row r="2273">
      <c r="A2273" s="2">
        <f>IFERROR(__xludf.DUMMYFUNCTION("""COMPUTED_VALUE"""),44291.64583333333)</f>
        <v>44291.64583</v>
      </c>
      <c r="B2273" s="1">
        <f>IFERROR(__xludf.DUMMYFUNCTION("""COMPUTED_VALUE"""),13450.0)</f>
        <v>13450</v>
      </c>
      <c r="C2273" s="1">
        <f>IFERROR(__xludf.DUMMYFUNCTION("""COMPUTED_VALUE"""),13550.0)</f>
        <v>13550</v>
      </c>
      <c r="D2273" s="1">
        <f>IFERROR(__xludf.DUMMYFUNCTION("""COMPUTED_VALUE"""),13400.0)</f>
        <v>13400</v>
      </c>
      <c r="E2273" s="1">
        <f>IFERROR(__xludf.DUMMYFUNCTION("""COMPUTED_VALUE"""),13550.0)</f>
        <v>13550</v>
      </c>
      <c r="F2273" s="1">
        <f>IFERROR(__xludf.DUMMYFUNCTION("""COMPUTED_VALUE"""),60770.0)</f>
        <v>60770</v>
      </c>
    </row>
    <row r="2274">
      <c r="A2274" s="2">
        <f>IFERROR(__xludf.DUMMYFUNCTION("""COMPUTED_VALUE"""),44292.64583333333)</f>
        <v>44292.64583</v>
      </c>
      <c r="B2274" s="1">
        <f>IFERROR(__xludf.DUMMYFUNCTION("""COMPUTED_VALUE"""),13600.0)</f>
        <v>13600</v>
      </c>
      <c r="C2274" s="1">
        <f>IFERROR(__xludf.DUMMYFUNCTION("""COMPUTED_VALUE"""),13600.0)</f>
        <v>13600</v>
      </c>
      <c r="D2274" s="1">
        <f>IFERROR(__xludf.DUMMYFUNCTION("""COMPUTED_VALUE"""),13350.0)</f>
        <v>13350</v>
      </c>
      <c r="E2274" s="1">
        <f>IFERROR(__xludf.DUMMYFUNCTION("""COMPUTED_VALUE"""),13450.0)</f>
        <v>13450</v>
      </c>
      <c r="F2274" s="1">
        <f>IFERROR(__xludf.DUMMYFUNCTION("""COMPUTED_VALUE"""),62312.0)</f>
        <v>62312</v>
      </c>
    </row>
    <row r="2275">
      <c r="A2275" s="2">
        <f>IFERROR(__xludf.DUMMYFUNCTION("""COMPUTED_VALUE"""),44293.64583333333)</f>
        <v>44293.64583</v>
      </c>
      <c r="B2275" s="1">
        <f>IFERROR(__xludf.DUMMYFUNCTION("""COMPUTED_VALUE"""),13450.0)</f>
        <v>13450</v>
      </c>
      <c r="C2275" s="1">
        <f>IFERROR(__xludf.DUMMYFUNCTION("""COMPUTED_VALUE"""),13500.0)</f>
        <v>13500</v>
      </c>
      <c r="D2275" s="1">
        <f>IFERROR(__xludf.DUMMYFUNCTION("""COMPUTED_VALUE"""),13350.0)</f>
        <v>13350</v>
      </c>
      <c r="E2275" s="1">
        <f>IFERROR(__xludf.DUMMYFUNCTION("""COMPUTED_VALUE"""),13500.0)</f>
        <v>13500</v>
      </c>
      <c r="F2275" s="1">
        <f>IFERROR(__xludf.DUMMYFUNCTION("""COMPUTED_VALUE"""),67343.0)</f>
        <v>67343</v>
      </c>
    </row>
    <row r="2276">
      <c r="A2276" s="2">
        <f>IFERROR(__xludf.DUMMYFUNCTION("""COMPUTED_VALUE"""),44294.64583333333)</f>
        <v>44294.64583</v>
      </c>
      <c r="B2276" s="1">
        <f>IFERROR(__xludf.DUMMYFUNCTION("""COMPUTED_VALUE"""),13450.0)</f>
        <v>13450</v>
      </c>
      <c r="C2276" s="1">
        <f>IFERROR(__xludf.DUMMYFUNCTION("""COMPUTED_VALUE"""),13450.0)</f>
        <v>13450</v>
      </c>
      <c r="D2276" s="1">
        <f>IFERROR(__xludf.DUMMYFUNCTION("""COMPUTED_VALUE"""),13350.0)</f>
        <v>13350</v>
      </c>
      <c r="E2276" s="1">
        <f>IFERROR(__xludf.DUMMYFUNCTION("""COMPUTED_VALUE"""),13400.0)</f>
        <v>13400</v>
      </c>
      <c r="F2276" s="1">
        <f>IFERROR(__xludf.DUMMYFUNCTION("""COMPUTED_VALUE"""),60163.0)</f>
        <v>60163</v>
      </c>
    </row>
    <row r="2277">
      <c r="A2277" s="2">
        <f>IFERROR(__xludf.DUMMYFUNCTION("""COMPUTED_VALUE"""),44295.64583333333)</f>
        <v>44295.64583</v>
      </c>
      <c r="B2277" s="1">
        <f>IFERROR(__xludf.DUMMYFUNCTION("""COMPUTED_VALUE"""),13400.0)</f>
        <v>13400</v>
      </c>
      <c r="C2277" s="1">
        <f>IFERROR(__xludf.DUMMYFUNCTION("""COMPUTED_VALUE"""),13700.0)</f>
        <v>13700</v>
      </c>
      <c r="D2277" s="1">
        <f>IFERROR(__xludf.DUMMYFUNCTION("""COMPUTED_VALUE"""),13350.0)</f>
        <v>13350</v>
      </c>
      <c r="E2277" s="1">
        <f>IFERROR(__xludf.DUMMYFUNCTION("""COMPUTED_VALUE"""),13550.0)</f>
        <v>13550</v>
      </c>
      <c r="F2277" s="1">
        <f>IFERROR(__xludf.DUMMYFUNCTION("""COMPUTED_VALUE"""),76805.0)</f>
        <v>76805</v>
      </c>
    </row>
    <row r="2278">
      <c r="A2278" s="2">
        <f>IFERROR(__xludf.DUMMYFUNCTION("""COMPUTED_VALUE"""),44298.64583333333)</f>
        <v>44298.64583</v>
      </c>
      <c r="B2278" s="1">
        <f>IFERROR(__xludf.DUMMYFUNCTION("""COMPUTED_VALUE"""),13650.0)</f>
        <v>13650</v>
      </c>
      <c r="C2278" s="1">
        <f>IFERROR(__xludf.DUMMYFUNCTION("""COMPUTED_VALUE"""),13750.0)</f>
        <v>13750</v>
      </c>
      <c r="D2278" s="1">
        <f>IFERROR(__xludf.DUMMYFUNCTION("""COMPUTED_VALUE"""),13600.0)</f>
        <v>13600</v>
      </c>
      <c r="E2278" s="1">
        <f>IFERROR(__xludf.DUMMYFUNCTION("""COMPUTED_VALUE"""),13700.0)</f>
        <v>13700</v>
      </c>
      <c r="F2278" s="1">
        <f>IFERROR(__xludf.DUMMYFUNCTION("""COMPUTED_VALUE"""),102032.0)</f>
        <v>102032</v>
      </c>
    </row>
    <row r="2279">
      <c r="A2279" s="2">
        <f>IFERROR(__xludf.DUMMYFUNCTION("""COMPUTED_VALUE"""),44299.64583333333)</f>
        <v>44299.64583</v>
      </c>
      <c r="B2279" s="1">
        <f>IFERROR(__xludf.DUMMYFUNCTION("""COMPUTED_VALUE"""),13700.0)</f>
        <v>13700</v>
      </c>
      <c r="C2279" s="1">
        <f>IFERROR(__xludf.DUMMYFUNCTION("""COMPUTED_VALUE"""),13850.0)</f>
        <v>13850</v>
      </c>
      <c r="D2279" s="1">
        <f>IFERROR(__xludf.DUMMYFUNCTION("""COMPUTED_VALUE"""),13500.0)</f>
        <v>13500</v>
      </c>
      <c r="E2279" s="1">
        <f>IFERROR(__xludf.DUMMYFUNCTION("""COMPUTED_VALUE"""),13850.0)</f>
        <v>13850</v>
      </c>
      <c r="F2279" s="1">
        <f>IFERROR(__xludf.DUMMYFUNCTION("""COMPUTED_VALUE"""),102496.0)</f>
        <v>102496</v>
      </c>
    </row>
    <row r="2280">
      <c r="A2280" s="2">
        <f>IFERROR(__xludf.DUMMYFUNCTION("""COMPUTED_VALUE"""),44300.64583333333)</f>
        <v>44300.64583</v>
      </c>
      <c r="B2280" s="1">
        <f>IFERROR(__xludf.DUMMYFUNCTION("""COMPUTED_VALUE"""),13950.0)</f>
        <v>13950</v>
      </c>
      <c r="C2280" s="1">
        <f>IFERROR(__xludf.DUMMYFUNCTION("""COMPUTED_VALUE"""),13950.0)</f>
        <v>13950</v>
      </c>
      <c r="D2280" s="1">
        <f>IFERROR(__xludf.DUMMYFUNCTION("""COMPUTED_VALUE"""),13750.0)</f>
        <v>13750</v>
      </c>
      <c r="E2280" s="1">
        <f>IFERROR(__xludf.DUMMYFUNCTION("""COMPUTED_VALUE"""),13750.0)</f>
        <v>13750</v>
      </c>
      <c r="F2280" s="1">
        <f>IFERROR(__xludf.DUMMYFUNCTION("""COMPUTED_VALUE"""),93425.0)</f>
        <v>93425</v>
      </c>
    </row>
    <row r="2281">
      <c r="A2281" s="2">
        <f>IFERROR(__xludf.DUMMYFUNCTION("""COMPUTED_VALUE"""),44301.64583333333)</f>
        <v>44301.64583</v>
      </c>
      <c r="B2281" s="1">
        <f>IFERROR(__xludf.DUMMYFUNCTION("""COMPUTED_VALUE"""),13800.0)</f>
        <v>13800</v>
      </c>
      <c r="C2281" s="1">
        <f>IFERROR(__xludf.DUMMYFUNCTION("""COMPUTED_VALUE"""),13800.0)</f>
        <v>13800</v>
      </c>
      <c r="D2281" s="1">
        <f>IFERROR(__xludf.DUMMYFUNCTION("""COMPUTED_VALUE"""),13550.0)</f>
        <v>13550</v>
      </c>
      <c r="E2281" s="1">
        <f>IFERROR(__xludf.DUMMYFUNCTION("""COMPUTED_VALUE"""),13600.0)</f>
        <v>13600</v>
      </c>
      <c r="F2281" s="1">
        <f>IFERROR(__xludf.DUMMYFUNCTION("""COMPUTED_VALUE"""),66798.0)</f>
        <v>66798</v>
      </c>
    </row>
    <row r="2282">
      <c r="A2282" s="2">
        <f>IFERROR(__xludf.DUMMYFUNCTION("""COMPUTED_VALUE"""),44302.64583333333)</f>
        <v>44302.64583</v>
      </c>
      <c r="B2282" s="1">
        <f>IFERROR(__xludf.DUMMYFUNCTION("""COMPUTED_VALUE"""),13750.0)</f>
        <v>13750</v>
      </c>
      <c r="C2282" s="1">
        <f>IFERROR(__xludf.DUMMYFUNCTION("""COMPUTED_VALUE"""),13750.0)</f>
        <v>13750</v>
      </c>
      <c r="D2282" s="1">
        <f>IFERROR(__xludf.DUMMYFUNCTION("""COMPUTED_VALUE"""),13600.0)</f>
        <v>13600</v>
      </c>
      <c r="E2282" s="1">
        <f>IFERROR(__xludf.DUMMYFUNCTION("""COMPUTED_VALUE"""),13700.0)</f>
        <v>13700</v>
      </c>
      <c r="F2282" s="1">
        <f>IFERROR(__xludf.DUMMYFUNCTION("""COMPUTED_VALUE"""),49072.0)</f>
        <v>49072</v>
      </c>
    </row>
    <row r="2283">
      <c r="A2283" s="2">
        <f>IFERROR(__xludf.DUMMYFUNCTION("""COMPUTED_VALUE"""),44305.64583333333)</f>
        <v>44305.64583</v>
      </c>
      <c r="B2283" s="1">
        <f>IFERROR(__xludf.DUMMYFUNCTION("""COMPUTED_VALUE"""),13700.0)</f>
        <v>13700</v>
      </c>
      <c r="C2283" s="1">
        <f>IFERROR(__xludf.DUMMYFUNCTION("""COMPUTED_VALUE"""),14000.0)</f>
        <v>14000</v>
      </c>
      <c r="D2283" s="1">
        <f>IFERROR(__xludf.DUMMYFUNCTION("""COMPUTED_VALUE"""),13700.0)</f>
        <v>13700</v>
      </c>
      <c r="E2283" s="1">
        <f>IFERROR(__xludf.DUMMYFUNCTION("""COMPUTED_VALUE"""),13900.0)</f>
        <v>13900</v>
      </c>
      <c r="F2283" s="1">
        <f>IFERROR(__xludf.DUMMYFUNCTION("""COMPUTED_VALUE"""),153587.0)</f>
        <v>153587</v>
      </c>
    </row>
    <row r="2284">
      <c r="A2284" s="2">
        <f>IFERROR(__xludf.DUMMYFUNCTION("""COMPUTED_VALUE"""),44306.64583333333)</f>
        <v>44306.64583</v>
      </c>
      <c r="B2284" s="1">
        <f>IFERROR(__xludf.DUMMYFUNCTION("""COMPUTED_VALUE"""),13900.0)</f>
        <v>13900</v>
      </c>
      <c r="C2284" s="1">
        <f>IFERROR(__xludf.DUMMYFUNCTION("""COMPUTED_VALUE"""),14050.0)</f>
        <v>14050</v>
      </c>
      <c r="D2284" s="1">
        <f>IFERROR(__xludf.DUMMYFUNCTION("""COMPUTED_VALUE"""),13750.0)</f>
        <v>13750</v>
      </c>
      <c r="E2284" s="1">
        <f>IFERROR(__xludf.DUMMYFUNCTION("""COMPUTED_VALUE"""),14050.0)</f>
        <v>14050</v>
      </c>
      <c r="F2284" s="1">
        <f>IFERROR(__xludf.DUMMYFUNCTION("""COMPUTED_VALUE"""),162655.0)</f>
        <v>162655</v>
      </c>
    </row>
    <row r="2285">
      <c r="A2285" s="2">
        <f>IFERROR(__xludf.DUMMYFUNCTION("""COMPUTED_VALUE"""),44307.64583333333)</f>
        <v>44307.64583</v>
      </c>
      <c r="B2285" s="1">
        <f>IFERROR(__xludf.DUMMYFUNCTION("""COMPUTED_VALUE"""),14050.0)</f>
        <v>14050</v>
      </c>
      <c r="C2285" s="1">
        <f>IFERROR(__xludf.DUMMYFUNCTION("""COMPUTED_VALUE"""),14150.0)</f>
        <v>14150</v>
      </c>
      <c r="D2285" s="1">
        <f>IFERROR(__xludf.DUMMYFUNCTION("""COMPUTED_VALUE"""),13850.0)</f>
        <v>13850</v>
      </c>
      <c r="E2285" s="1">
        <f>IFERROR(__xludf.DUMMYFUNCTION("""COMPUTED_VALUE"""),14100.0)</f>
        <v>14100</v>
      </c>
      <c r="F2285" s="1">
        <f>IFERROR(__xludf.DUMMYFUNCTION("""COMPUTED_VALUE"""),167913.0)</f>
        <v>167913</v>
      </c>
    </row>
    <row r="2286">
      <c r="A2286" s="2">
        <f>IFERROR(__xludf.DUMMYFUNCTION("""COMPUTED_VALUE"""),44308.64583333333)</f>
        <v>44308.64583</v>
      </c>
      <c r="B2286" s="1">
        <f>IFERROR(__xludf.DUMMYFUNCTION("""COMPUTED_VALUE"""),14150.0)</f>
        <v>14150</v>
      </c>
      <c r="C2286" s="1">
        <f>IFERROR(__xludf.DUMMYFUNCTION("""COMPUTED_VALUE"""),14450.0)</f>
        <v>14450</v>
      </c>
      <c r="D2286" s="1">
        <f>IFERROR(__xludf.DUMMYFUNCTION("""COMPUTED_VALUE"""),14000.0)</f>
        <v>14000</v>
      </c>
      <c r="E2286" s="1">
        <f>IFERROR(__xludf.DUMMYFUNCTION("""COMPUTED_VALUE"""),14050.0)</f>
        <v>14050</v>
      </c>
      <c r="F2286" s="1">
        <f>IFERROR(__xludf.DUMMYFUNCTION("""COMPUTED_VALUE"""),335602.0)</f>
        <v>335602</v>
      </c>
    </row>
    <row r="2287">
      <c r="A2287" s="2">
        <f>IFERROR(__xludf.DUMMYFUNCTION("""COMPUTED_VALUE"""),44309.64583333333)</f>
        <v>44309.64583</v>
      </c>
      <c r="B2287" s="1">
        <f>IFERROR(__xludf.DUMMYFUNCTION("""COMPUTED_VALUE"""),14100.0)</f>
        <v>14100</v>
      </c>
      <c r="C2287" s="1">
        <f>IFERROR(__xludf.DUMMYFUNCTION("""COMPUTED_VALUE"""),14650.0)</f>
        <v>14650</v>
      </c>
      <c r="D2287" s="1">
        <f>IFERROR(__xludf.DUMMYFUNCTION("""COMPUTED_VALUE"""),14100.0)</f>
        <v>14100</v>
      </c>
      <c r="E2287" s="1">
        <f>IFERROR(__xludf.DUMMYFUNCTION("""COMPUTED_VALUE"""),14400.0)</f>
        <v>14400</v>
      </c>
      <c r="F2287" s="1">
        <f>IFERROR(__xludf.DUMMYFUNCTION("""COMPUTED_VALUE"""),408831.0)</f>
        <v>408831</v>
      </c>
    </row>
    <row r="2288">
      <c r="A2288" s="2">
        <f>IFERROR(__xludf.DUMMYFUNCTION("""COMPUTED_VALUE"""),44312.64583333333)</f>
        <v>44312.64583</v>
      </c>
      <c r="B2288" s="1">
        <f>IFERROR(__xludf.DUMMYFUNCTION("""COMPUTED_VALUE"""),14500.0)</f>
        <v>14500</v>
      </c>
      <c r="C2288" s="1">
        <f>IFERROR(__xludf.DUMMYFUNCTION("""COMPUTED_VALUE"""),15400.0)</f>
        <v>15400</v>
      </c>
      <c r="D2288" s="1">
        <f>IFERROR(__xludf.DUMMYFUNCTION("""COMPUTED_VALUE"""),14350.0)</f>
        <v>14350</v>
      </c>
      <c r="E2288" s="1">
        <f>IFERROR(__xludf.DUMMYFUNCTION("""COMPUTED_VALUE"""),14650.0)</f>
        <v>14650</v>
      </c>
      <c r="F2288" s="1">
        <f>IFERROR(__xludf.DUMMYFUNCTION("""COMPUTED_VALUE"""),810553.0)</f>
        <v>810553</v>
      </c>
    </row>
    <row r="2289">
      <c r="A2289" s="2">
        <f>IFERROR(__xludf.DUMMYFUNCTION("""COMPUTED_VALUE"""),44313.64583333333)</f>
        <v>44313.64583</v>
      </c>
      <c r="B2289" s="1">
        <f>IFERROR(__xludf.DUMMYFUNCTION("""COMPUTED_VALUE"""),15100.0)</f>
        <v>15100</v>
      </c>
      <c r="C2289" s="1">
        <f>IFERROR(__xludf.DUMMYFUNCTION("""COMPUTED_VALUE"""),15250.0)</f>
        <v>15250</v>
      </c>
      <c r="D2289" s="1">
        <f>IFERROR(__xludf.DUMMYFUNCTION("""COMPUTED_VALUE"""),14850.0)</f>
        <v>14850</v>
      </c>
      <c r="E2289" s="1">
        <f>IFERROR(__xludf.DUMMYFUNCTION("""COMPUTED_VALUE"""),15050.0)</f>
        <v>15050</v>
      </c>
      <c r="F2289" s="1">
        <f>IFERROR(__xludf.DUMMYFUNCTION("""COMPUTED_VALUE"""),636959.0)</f>
        <v>636959</v>
      </c>
    </row>
    <row r="2290">
      <c r="A2290" s="2">
        <f>IFERROR(__xludf.DUMMYFUNCTION("""COMPUTED_VALUE"""),44314.64583333333)</f>
        <v>44314.64583</v>
      </c>
      <c r="B2290" s="1">
        <f>IFERROR(__xludf.DUMMYFUNCTION("""COMPUTED_VALUE"""),15200.0)</f>
        <v>15200</v>
      </c>
      <c r="C2290" s="1">
        <f>IFERROR(__xludf.DUMMYFUNCTION("""COMPUTED_VALUE"""),15200.0)</f>
        <v>15200</v>
      </c>
      <c r="D2290" s="1">
        <f>IFERROR(__xludf.DUMMYFUNCTION("""COMPUTED_VALUE"""),14250.0)</f>
        <v>14250</v>
      </c>
      <c r="E2290" s="1">
        <f>IFERROR(__xludf.DUMMYFUNCTION("""COMPUTED_VALUE"""),14400.0)</f>
        <v>14400</v>
      </c>
      <c r="F2290" s="1">
        <f>IFERROR(__xludf.DUMMYFUNCTION("""COMPUTED_VALUE"""),363477.0)</f>
        <v>363477</v>
      </c>
    </row>
    <row r="2291">
      <c r="A2291" s="2">
        <f>IFERROR(__xludf.DUMMYFUNCTION("""COMPUTED_VALUE"""),44315.64583333333)</f>
        <v>44315.64583</v>
      </c>
      <c r="B2291" s="1">
        <f>IFERROR(__xludf.DUMMYFUNCTION("""COMPUTED_VALUE"""),14400.0)</f>
        <v>14400</v>
      </c>
      <c r="C2291" s="1">
        <f>IFERROR(__xludf.DUMMYFUNCTION("""COMPUTED_VALUE"""),14750.0)</f>
        <v>14750</v>
      </c>
      <c r="D2291" s="1">
        <f>IFERROR(__xludf.DUMMYFUNCTION("""COMPUTED_VALUE"""),14250.0)</f>
        <v>14250</v>
      </c>
      <c r="E2291" s="1">
        <f>IFERROR(__xludf.DUMMYFUNCTION("""COMPUTED_VALUE"""),14400.0)</f>
        <v>14400</v>
      </c>
      <c r="F2291" s="1">
        <f>IFERROR(__xludf.DUMMYFUNCTION("""COMPUTED_VALUE"""),174110.0)</f>
        <v>174110</v>
      </c>
    </row>
    <row r="2292">
      <c r="A2292" s="2">
        <f>IFERROR(__xludf.DUMMYFUNCTION("""COMPUTED_VALUE"""),44316.64583333333)</f>
        <v>44316.64583</v>
      </c>
      <c r="B2292" s="1">
        <f>IFERROR(__xludf.DUMMYFUNCTION("""COMPUTED_VALUE"""),14400.0)</f>
        <v>14400</v>
      </c>
      <c r="C2292" s="1">
        <f>IFERROR(__xludf.DUMMYFUNCTION("""COMPUTED_VALUE"""),14650.0)</f>
        <v>14650</v>
      </c>
      <c r="D2292" s="1">
        <f>IFERROR(__xludf.DUMMYFUNCTION("""COMPUTED_VALUE"""),14250.0)</f>
        <v>14250</v>
      </c>
      <c r="E2292" s="1">
        <f>IFERROR(__xludf.DUMMYFUNCTION("""COMPUTED_VALUE"""),14600.0)</f>
        <v>14600</v>
      </c>
      <c r="F2292" s="1">
        <f>IFERROR(__xludf.DUMMYFUNCTION("""COMPUTED_VALUE"""),170379.0)</f>
        <v>170379</v>
      </c>
    </row>
    <row r="2293">
      <c r="A2293" s="2">
        <f>IFERROR(__xludf.DUMMYFUNCTION("""COMPUTED_VALUE"""),44319.64583333333)</f>
        <v>44319.64583</v>
      </c>
      <c r="B2293" s="1">
        <f>IFERROR(__xludf.DUMMYFUNCTION("""COMPUTED_VALUE"""),14600.0)</f>
        <v>14600</v>
      </c>
      <c r="C2293" s="1">
        <f>IFERROR(__xludf.DUMMYFUNCTION("""COMPUTED_VALUE"""),15850.0)</f>
        <v>15850</v>
      </c>
      <c r="D2293" s="1">
        <f>IFERROR(__xludf.DUMMYFUNCTION("""COMPUTED_VALUE"""),14600.0)</f>
        <v>14600</v>
      </c>
      <c r="E2293" s="1">
        <f>IFERROR(__xludf.DUMMYFUNCTION("""COMPUTED_VALUE"""),15350.0)</f>
        <v>15350</v>
      </c>
      <c r="F2293" s="1">
        <f>IFERROR(__xludf.DUMMYFUNCTION("""COMPUTED_VALUE"""),1514168.0)</f>
        <v>1514168</v>
      </c>
    </row>
    <row r="2294">
      <c r="A2294" s="2">
        <f>IFERROR(__xludf.DUMMYFUNCTION("""COMPUTED_VALUE"""),44320.64583333333)</f>
        <v>44320.64583</v>
      </c>
      <c r="B2294" s="1">
        <f>IFERROR(__xludf.DUMMYFUNCTION("""COMPUTED_VALUE"""),15300.0)</f>
        <v>15300</v>
      </c>
      <c r="C2294" s="1">
        <f>IFERROR(__xludf.DUMMYFUNCTION("""COMPUTED_VALUE"""),17100.0)</f>
        <v>17100</v>
      </c>
      <c r="D2294" s="1">
        <f>IFERROR(__xludf.DUMMYFUNCTION("""COMPUTED_VALUE"""),15300.0)</f>
        <v>15300</v>
      </c>
      <c r="E2294" s="1">
        <f>IFERROR(__xludf.DUMMYFUNCTION("""COMPUTED_VALUE"""),15800.0)</f>
        <v>15800</v>
      </c>
      <c r="F2294" s="1">
        <f>IFERROR(__xludf.DUMMYFUNCTION("""COMPUTED_VALUE"""),3919958.0)</f>
        <v>3919958</v>
      </c>
    </row>
    <row r="2295">
      <c r="A2295" s="2">
        <f>IFERROR(__xludf.DUMMYFUNCTION("""COMPUTED_VALUE"""),44322.64583333333)</f>
        <v>44322.64583</v>
      </c>
      <c r="B2295" s="1">
        <f>IFERROR(__xludf.DUMMYFUNCTION("""COMPUTED_VALUE"""),16000.0)</f>
        <v>16000</v>
      </c>
      <c r="C2295" s="1">
        <f>IFERROR(__xludf.DUMMYFUNCTION("""COMPUTED_VALUE"""),16400.0)</f>
        <v>16400</v>
      </c>
      <c r="D2295" s="1">
        <f>IFERROR(__xludf.DUMMYFUNCTION("""COMPUTED_VALUE"""),15800.0)</f>
        <v>15800</v>
      </c>
      <c r="E2295" s="1">
        <f>IFERROR(__xludf.DUMMYFUNCTION("""COMPUTED_VALUE"""),16150.0)</f>
        <v>16150</v>
      </c>
      <c r="F2295" s="1">
        <f>IFERROR(__xludf.DUMMYFUNCTION("""COMPUTED_VALUE"""),541983.0)</f>
        <v>541983</v>
      </c>
    </row>
    <row r="2296">
      <c r="A2296" s="2">
        <f>IFERROR(__xludf.DUMMYFUNCTION("""COMPUTED_VALUE"""),44323.64583333333)</f>
        <v>44323.64583</v>
      </c>
      <c r="B2296" s="1">
        <f>IFERROR(__xludf.DUMMYFUNCTION("""COMPUTED_VALUE"""),16350.0)</f>
        <v>16350</v>
      </c>
      <c r="C2296" s="1">
        <f>IFERROR(__xludf.DUMMYFUNCTION("""COMPUTED_VALUE"""),16400.0)</f>
        <v>16400</v>
      </c>
      <c r="D2296" s="1">
        <f>IFERROR(__xludf.DUMMYFUNCTION("""COMPUTED_VALUE"""),15650.0)</f>
        <v>15650</v>
      </c>
      <c r="E2296" s="1">
        <f>IFERROR(__xludf.DUMMYFUNCTION("""COMPUTED_VALUE"""),15900.0)</f>
        <v>15900</v>
      </c>
      <c r="F2296" s="1">
        <f>IFERROR(__xludf.DUMMYFUNCTION("""COMPUTED_VALUE"""),317150.0)</f>
        <v>317150</v>
      </c>
    </row>
    <row r="2297">
      <c r="A2297" s="2">
        <f>IFERROR(__xludf.DUMMYFUNCTION("""COMPUTED_VALUE"""),44326.64583333333)</f>
        <v>44326.64583</v>
      </c>
      <c r="B2297" s="1">
        <f>IFERROR(__xludf.DUMMYFUNCTION("""COMPUTED_VALUE"""),16050.0)</f>
        <v>16050</v>
      </c>
      <c r="C2297" s="1">
        <f>IFERROR(__xludf.DUMMYFUNCTION("""COMPUTED_VALUE"""),16300.0)</f>
        <v>16300</v>
      </c>
      <c r="D2297" s="1">
        <f>IFERROR(__xludf.DUMMYFUNCTION("""COMPUTED_VALUE"""),15700.0)</f>
        <v>15700</v>
      </c>
      <c r="E2297" s="1">
        <f>IFERROR(__xludf.DUMMYFUNCTION("""COMPUTED_VALUE"""),15800.0)</f>
        <v>15800</v>
      </c>
      <c r="F2297" s="1">
        <f>IFERROR(__xludf.DUMMYFUNCTION("""COMPUTED_VALUE"""),339368.0)</f>
        <v>339368</v>
      </c>
    </row>
    <row r="2298">
      <c r="A2298" s="2">
        <f>IFERROR(__xludf.DUMMYFUNCTION("""COMPUTED_VALUE"""),44327.64583333333)</f>
        <v>44327.64583</v>
      </c>
      <c r="B2298" s="1">
        <f>IFERROR(__xludf.DUMMYFUNCTION("""COMPUTED_VALUE"""),15750.0)</f>
        <v>15750</v>
      </c>
      <c r="C2298" s="1">
        <f>IFERROR(__xludf.DUMMYFUNCTION("""COMPUTED_VALUE"""),16150.0)</f>
        <v>16150</v>
      </c>
      <c r="D2298" s="1">
        <f>IFERROR(__xludf.DUMMYFUNCTION("""COMPUTED_VALUE"""),15550.0)</f>
        <v>15550</v>
      </c>
      <c r="E2298" s="1">
        <f>IFERROR(__xludf.DUMMYFUNCTION("""COMPUTED_VALUE"""),16050.0)</f>
        <v>16050</v>
      </c>
      <c r="F2298" s="1">
        <f>IFERROR(__xludf.DUMMYFUNCTION("""COMPUTED_VALUE"""),277461.0)</f>
        <v>277461</v>
      </c>
    </row>
    <row r="2299">
      <c r="A2299" s="2">
        <f>IFERROR(__xludf.DUMMYFUNCTION("""COMPUTED_VALUE"""),44328.64583333333)</f>
        <v>44328.64583</v>
      </c>
      <c r="B2299" s="1">
        <f>IFERROR(__xludf.DUMMYFUNCTION("""COMPUTED_VALUE"""),16350.0)</f>
        <v>16350</v>
      </c>
      <c r="C2299" s="1">
        <f>IFERROR(__xludf.DUMMYFUNCTION("""COMPUTED_VALUE"""),16500.0)</f>
        <v>16500</v>
      </c>
      <c r="D2299" s="1">
        <f>IFERROR(__xludf.DUMMYFUNCTION("""COMPUTED_VALUE"""),15500.0)</f>
        <v>15500</v>
      </c>
      <c r="E2299" s="1">
        <f>IFERROR(__xludf.DUMMYFUNCTION("""COMPUTED_VALUE"""),15750.0)</f>
        <v>15750</v>
      </c>
      <c r="F2299" s="1">
        <f>IFERROR(__xludf.DUMMYFUNCTION("""COMPUTED_VALUE"""),363779.0)</f>
        <v>363779</v>
      </c>
    </row>
    <row r="2300">
      <c r="A2300" s="2">
        <f>IFERROR(__xludf.DUMMYFUNCTION("""COMPUTED_VALUE"""),44329.64583333333)</f>
        <v>44329.64583</v>
      </c>
      <c r="B2300" s="1">
        <f>IFERROR(__xludf.DUMMYFUNCTION("""COMPUTED_VALUE"""),15350.0)</f>
        <v>15350</v>
      </c>
      <c r="C2300" s="1">
        <f>IFERROR(__xludf.DUMMYFUNCTION("""COMPUTED_VALUE"""),16000.0)</f>
        <v>16000</v>
      </c>
      <c r="D2300" s="1">
        <f>IFERROR(__xludf.DUMMYFUNCTION("""COMPUTED_VALUE"""),15300.0)</f>
        <v>15300</v>
      </c>
      <c r="E2300" s="1">
        <f>IFERROR(__xludf.DUMMYFUNCTION("""COMPUTED_VALUE"""),15700.0)</f>
        <v>15700</v>
      </c>
      <c r="F2300" s="1">
        <f>IFERROR(__xludf.DUMMYFUNCTION("""COMPUTED_VALUE"""),204988.0)</f>
        <v>204988</v>
      </c>
    </row>
    <row r="2301">
      <c r="A2301" s="2">
        <f>IFERROR(__xludf.DUMMYFUNCTION("""COMPUTED_VALUE"""),44330.64583333333)</f>
        <v>44330.64583</v>
      </c>
      <c r="B2301" s="1">
        <f>IFERROR(__xludf.DUMMYFUNCTION("""COMPUTED_VALUE"""),15900.0)</f>
        <v>15900</v>
      </c>
      <c r="C2301" s="1">
        <f>IFERROR(__xludf.DUMMYFUNCTION("""COMPUTED_VALUE"""),15900.0)</f>
        <v>15900</v>
      </c>
      <c r="D2301" s="1">
        <f>IFERROR(__xludf.DUMMYFUNCTION("""COMPUTED_VALUE"""),15650.0)</f>
        <v>15650</v>
      </c>
      <c r="E2301" s="1">
        <f>IFERROR(__xludf.DUMMYFUNCTION("""COMPUTED_VALUE"""),15700.0)</f>
        <v>15700</v>
      </c>
      <c r="F2301" s="1">
        <f>IFERROR(__xludf.DUMMYFUNCTION("""COMPUTED_VALUE"""),104838.0)</f>
        <v>104838</v>
      </c>
    </row>
    <row r="2302">
      <c r="A2302" s="2">
        <f>IFERROR(__xludf.DUMMYFUNCTION("""COMPUTED_VALUE"""),44333.64583333333)</f>
        <v>44333.64583</v>
      </c>
      <c r="B2302" s="1">
        <f>IFERROR(__xludf.DUMMYFUNCTION("""COMPUTED_VALUE"""),15750.0)</f>
        <v>15750</v>
      </c>
      <c r="C2302" s="1">
        <f>IFERROR(__xludf.DUMMYFUNCTION("""COMPUTED_VALUE"""),15950.0)</f>
        <v>15950</v>
      </c>
      <c r="D2302" s="1">
        <f>IFERROR(__xludf.DUMMYFUNCTION("""COMPUTED_VALUE"""),15650.0)</f>
        <v>15650</v>
      </c>
      <c r="E2302" s="1">
        <f>IFERROR(__xludf.DUMMYFUNCTION("""COMPUTED_VALUE"""),15700.0)</f>
        <v>15700</v>
      </c>
      <c r="F2302" s="1">
        <f>IFERROR(__xludf.DUMMYFUNCTION("""COMPUTED_VALUE"""),163108.0)</f>
        <v>163108</v>
      </c>
    </row>
    <row r="2303">
      <c r="A2303" s="2">
        <f>IFERROR(__xludf.DUMMYFUNCTION("""COMPUTED_VALUE"""),44334.64583333333)</f>
        <v>44334.64583</v>
      </c>
      <c r="B2303" s="1">
        <f>IFERROR(__xludf.DUMMYFUNCTION("""COMPUTED_VALUE"""),15750.0)</f>
        <v>15750</v>
      </c>
      <c r="C2303" s="1">
        <f>IFERROR(__xludf.DUMMYFUNCTION("""COMPUTED_VALUE"""),16300.0)</f>
        <v>16300</v>
      </c>
      <c r="D2303" s="1">
        <f>IFERROR(__xludf.DUMMYFUNCTION("""COMPUTED_VALUE"""),15750.0)</f>
        <v>15750</v>
      </c>
      <c r="E2303" s="1">
        <f>IFERROR(__xludf.DUMMYFUNCTION("""COMPUTED_VALUE"""),16050.0)</f>
        <v>16050</v>
      </c>
      <c r="F2303" s="1">
        <f>IFERROR(__xludf.DUMMYFUNCTION("""COMPUTED_VALUE"""),271197.0)</f>
        <v>271197</v>
      </c>
    </row>
    <row r="2304">
      <c r="A2304" s="2">
        <f>IFERROR(__xludf.DUMMYFUNCTION("""COMPUTED_VALUE"""),44336.64583333333)</f>
        <v>44336.64583</v>
      </c>
      <c r="B2304" s="1">
        <f>IFERROR(__xludf.DUMMYFUNCTION("""COMPUTED_VALUE"""),16100.0)</f>
        <v>16100</v>
      </c>
      <c r="C2304" s="1">
        <f>IFERROR(__xludf.DUMMYFUNCTION("""COMPUTED_VALUE"""),16100.0)</f>
        <v>16100</v>
      </c>
      <c r="D2304" s="1">
        <f>IFERROR(__xludf.DUMMYFUNCTION("""COMPUTED_VALUE"""),15750.0)</f>
        <v>15750</v>
      </c>
      <c r="E2304" s="1">
        <f>IFERROR(__xludf.DUMMYFUNCTION("""COMPUTED_VALUE"""),15850.0)</f>
        <v>15850</v>
      </c>
      <c r="F2304" s="1">
        <f>IFERROR(__xludf.DUMMYFUNCTION("""COMPUTED_VALUE"""),118989.0)</f>
        <v>118989</v>
      </c>
    </row>
    <row r="2305">
      <c r="A2305" s="2">
        <f>IFERROR(__xludf.DUMMYFUNCTION("""COMPUTED_VALUE"""),44337.64583333333)</f>
        <v>44337.64583</v>
      </c>
      <c r="B2305" s="1">
        <f>IFERROR(__xludf.DUMMYFUNCTION("""COMPUTED_VALUE"""),16250.0)</f>
        <v>16250</v>
      </c>
      <c r="C2305" s="1">
        <f>IFERROR(__xludf.DUMMYFUNCTION("""COMPUTED_VALUE"""),16750.0)</f>
        <v>16750</v>
      </c>
      <c r="D2305" s="1">
        <f>IFERROR(__xludf.DUMMYFUNCTION("""COMPUTED_VALUE"""),15900.0)</f>
        <v>15900</v>
      </c>
      <c r="E2305" s="1">
        <f>IFERROR(__xludf.DUMMYFUNCTION("""COMPUTED_VALUE"""),16700.0)</f>
        <v>16700</v>
      </c>
      <c r="F2305" s="1">
        <f>IFERROR(__xludf.DUMMYFUNCTION("""COMPUTED_VALUE"""),953093.0)</f>
        <v>953093</v>
      </c>
    </row>
    <row r="2306">
      <c r="A2306" s="2">
        <f>IFERROR(__xludf.DUMMYFUNCTION("""COMPUTED_VALUE"""),44340.64583333333)</f>
        <v>44340.64583</v>
      </c>
      <c r="B2306" s="1">
        <f>IFERROR(__xludf.DUMMYFUNCTION("""COMPUTED_VALUE"""),16250.0)</f>
        <v>16250</v>
      </c>
      <c r="C2306" s="1">
        <f>IFERROR(__xludf.DUMMYFUNCTION("""COMPUTED_VALUE"""),16350.0)</f>
        <v>16350</v>
      </c>
      <c r="D2306" s="1">
        <f>IFERROR(__xludf.DUMMYFUNCTION("""COMPUTED_VALUE"""),15500.0)</f>
        <v>15500</v>
      </c>
      <c r="E2306" s="1">
        <f>IFERROR(__xludf.DUMMYFUNCTION("""COMPUTED_VALUE"""),15650.0)</f>
        <v>15650</v>
      </c>
      <c r="F2306" s="1">
        <f>IFERROR(__xludf.DUMMYFUNCTION("""COMPUTED_VALUE"""),444870.0)</f>
        <v>444870</v>
      </c>
    </row>
    <row r="2307">
      <c r="A2307" s="2">
        <f>IFERROR(__xludf.DUMMYFUNCTION("""COMPUTED_VALUE"""),44341.64583333333)</f>
        <v>44341.64583</v>
      </c>
      <c r="B2307" s="1">
        <f>IFERROR(__xludf.DUMMYFUNCTION("""COMPUTED_VALUE"""),15600.0)</f>
        <v>15600</v>
      </c>
      <c r="C2307" s="1">
        <f>IFERROR(__xludf.DUMMYFUNCTION("""COMPUTED_VALUE"""),16000.0)</f>
        <v>16000</v>
      </c>
      <c r="D2307" s="1">
        <f>IFERROR(__xludf.DUMMYFUNCTION("""COMPUTED_VALUE"""),15150.0)</f>
        <v>15150</v>
      </c>
      <c r="E2307" s="1">
        <f>IFERROR(__xludf.DUMMYFUNCTION("""COMPUTED_VALUE"""),15300.0)</f>
        <v>15300</v>
      </c>
      <c r="F2307" s="1">
        <f>IFERROR(__xludf.DUMMYFUNCTION("""COMPUTED_VALUE"""),259134.0)</f>
        <v>259134</v>
      </c>
    </row>
    <row r="2308">
      <c r="A2308" s="2">
        <f>IFERROR(__xludf.DUMMYFUNCTION("""COMPUTED_VALUE"""),44342.64583333333)</f>
        <v>44342.64583</v>
      </c>
      <c r="B2308" s="1">
        <f>IFERROR(__xludf.DUMMYFUNCTION("""COMPUTED_VALUE"""),15250.0)</f>
        <v>15250</v>
      </c>
      <c r="C2308" s="1">
        <f>IFERROR(__xludf.DUMMYFUNCTION("""COMPUTED_VALUE"""),15850.0)</f>
        <v>15850</v>
      </c>
      <c r="D2308" s="1">
        <f>IFERROR(__xludf.DUMMYFUNCTION("""COMPUTED_VALUE"""),15250.0)</f>
        <v>15250</v>
      </c>
      <c r="E2308" s="1">
        <f>IFERROR(__xludf.DUMMYFUNCTION("""COMPUTED_VALUE"""),15800.0)</f>
        <v>15800</v>
      </c>
      <c r="F2308" s="1">
        <f>IFERROR(__xludf.DUMMYFUNCTION("""COMPUTED_VALUE"""),249316.0)</f>
        <v>249316</v>
      </c>
    </row>
    <row r="2309">
      <c r="A2309" s="2">
        <f>IFERROR(__xludf.DUMMYFUNCTION("""COMPUTED_VALUE"""),44343.64583333333)</f>
        <v>44343.64583</v>
      </c>
      <c r="B2309" s="1">
        <f>IFERROR(__xludf.DUMMYFUNCTION("""COMPUTED_VALUE"""),15700.0)</f>
        <v>15700</v>
      </c>
      <c r="C2309" s="1">
        <f>IFERROR(__xludf.DUMMYFUNCTION("""COMPUTED_VALUE"""),15850.0)</f>
        <v>15850</v>
      </c>
      <c r="D2309" s="1">
        <f>IFERROR(__xludf.DUMMYFUNCTION("""COMPUTED_VALUE"""),15550.0)</f>
        <v>15550</v>
      </c>
      <c r="E2309" s="1">
        <f>IFERROR(__xludf.DUMMYFUNCTION("""COMPUTED_VALUE"""),15600.0)</f>
        <v>15600</v>
      </c>
      <c r="F2309" s="1">
        <f>IFERROR(__xludf.DUMMYFUNCTION("""COMPUTED_VALUE"""),104952.0)</f>
        <v>104952</v>
      </c>
    </row>
    <row r="2310">
      <c r="A2310" s="2">
        <f>IFERROR(__xludf.DUMMYFUNCTION("""COMPUTED_VALUE"""),44344.64583333333)</f>
        <v>44344.64583</v>
      </c>
      <c r="B2310" s="1">
        <f>IFERROR(__xludf.DUMMYFUNCTION("""COMPUTED_VALUE"""),15750.0)</f>
        <v>15750</v>
      </c>
      <c r="C2310" s="1">
        <f>IFERROR(__xludf.DUMMYFUNCTION("""COMPUTED_VALUE"""),15850.0)</f>
        <v>15850</v>
      </c>
      <c r="D2310" s="1">
        <f>IFERROR(__xludf.DUMMYFUNCTION("""COMPUTED_VALUE"""),15600.0)</f>
        <v>15600</v>
      </c>
      <c r="E2310" s="1">
        <f>IFERROR(__xludf.DUMMYFUNCTION("""COMPUTED_VALUE"""),15600.0)</f>
        <v>15600</v>
      </c>
      <c r="F2310" s="1">
        <f>IFERROR(__xludf.DUMMYFUNCTION("""COMPUTED_VALUE"""),103582.0)</f>
        <v>103582</v>
      </c>
    </row>
    <row r="2311">
      <c r="A2311" s="2">
        <f>IFERROR(__xludf.DUMMYFUNCTION("""COMPUTED_VALUE"""),44347.64583333333)</f>
        <v>44347.64583</v>
      </c>
      <c r="B2311" s="1">
        <f>IFERROR(__xludf.DUMMYFUNCTION("""COMPUTED_VALUE"""),15600.0)</f>
        <v>15600</v>
      </c>
      <c r="C2311" s="1">
        <f>IFERROR(__xludf.DUMMYFUNCTION("""COMPUTED_VALUE"""),15750.0)</f>
        <v>15750</v>
      </c>
      <c r="D2311" s="1">
        <f>IFERROR(__xludf.DUMMYFUNCTION("""COMPUTED_VALUE"""),15450.0)</f>
        <v>15450</v>
      </c>
      <c r="E2311" s="1">
        <f>IFERROR(__xludf.DUMMYFUNCTION("""COMPUTED_VALUE"""),15500.0)</f>
        <v>15500</v>
      </c>
      <c r="F2311" s="1">
        <f>IFERROR(__xludf.DUMMYFUNCTION("""COMPUTED_VALUE"""),134821.0)</f>
        <v>134821</v>
      </c>
    </row>
    <row r="2312">
      <c r="A2312" s="2">
        <f>IFERROR(__xludf.DUMMYFUNCTION("""COMPUTED_VALUE"""),44348.64583333333)</f>
        <v>44348.64583</v>
      </c>
      <c r="B2312" s="1">
        <f>IFERROR(__xludf.DUMMYFUNCTION("""COMPUTED_VALUE"""),15500.0)</f>
        <v>15500</v>
      </c>
      <c r="C2312" s="1">
        <f>IFERROR(__xludf.DUMMYFUNCTION("""COMPUTED_VALUE"""),15650.0)</f>
        <v>15650</v>
      </c>
      <c r="D2312" s="1">
        <f>IFERROR(__xludf.DUMMYFUNCTION("""COMPUTED_VALUE"""),15350.0)</f>
        <v>15350</v>
      </c>
      <c r="E2312" s="1">
        <f>IFERROR(__xludf.DUMMYFUNCTION("""COMPUTED_VALUE"""),15650.0)</f>
        <v>15650</v>
      </c>
      <c r="F2312" s="1">
        <f>IFERROR(__xludf.DUMMYFUNCTION("""COMPUTED_VALUE"""),138177.0)</f>
        <v>138177</v>
      </c>
    </row>
    <row r="2313">
      <c r="A2313" s="2">
        <f>IFERROR(__xludf.DUMMYFUNCTION("""COMPUTED_VALUE"""),44349.64583333333)</f>
        <v>44349.64583</v>
      </c>
      <c r="B2313" s="1">
        <f>IFERROR(__xludf.DUMMYFUNCTION("""COMPUTED_VALUE"""),15650.0)</f>
        <v>15650</v>
      </c>
      <c r="C2313" s="1">
        <f>IFERROR(__xludf.DUMMYFUNCTION("""COMPUTED_VALUE"""),16000.0)</f>
        <v>16000</v>
      </c>
      <c r="D2313" s="1">
        <f>IFERROR(__xludf.DUMMYFUNCTION("""COMPUTED_VALUE"""),15500.0)</f>
        <v>15500</v>
      </c>
      <c r="E2313" s="1">
        <f>IFERROR(__xludf.DUMMYFUNCTION("""COMPUTED_VALUE"""),15900.0)</f>
        <v>15900</v>
      </c>
      <c r="F2313" s="1">
        <f>IFERROR(__xludf.DUMMYFUNCTION("""COMPUTED_VALUE"""),239425.0)</f>
        <v>239425</v>
      </c>
    </row>
    <row r="2314">
      <c r="A2314" s="2">
        <f>IFERROR(__xludf.DUMMYFUNCTION("""COMPUTED_VALUE"""),44350.64583333333)</f>
        <v>44350.64583</v>
      </c>
      <c r="B2314" s="1">
        <f>IFERROR(__xludf.DUMMYFUNCTION("""COMPUTED_VALUE"""),15900.0)</f>
        <v>15900</v>
      </c>
      <c r="C2314" s="1">
        <f>IFERROR(__xludf.DUMMYFUNCTION("""COMPUTED_VALUE"""),15950.0)</f>
        <v>15950</v>
      </c>
      <c r="D2314" s="1">
        <f>IFERROR(__xludf.DUMMYFUNCTION("""COMPUTED_VALUE"""),15650.0)</f>
        <v>15650</v>
      </c>
      <c r="E2314" s="1">
        <f>IFERROR(__xludf.DUMMYFUNCTION("""COMPUTED_VALUE"""),15700.0)</f>
        <v>15700</v>
      </c>
      <c r="F2314" s="1">
        <f>IFERROR(__xludf.DUMMYFUNCTION("""COMPUTED_VALUE"""),113507.0)</f>
        <v>113507</v>
      </c>
    </row>
    <row r="2315">
      <c r="A2315" s="2">
        <f>IFERROR(__xludf.DUMMYFUNCTION("""COMPUTED_VALUE"""),44351.64583333333)</f>
        <v>44351.64583</v>
      </c>
      <c r="B2315" s="1">
        <f>IFERROR(__xludf.DUMMYFUNCTION("""COMPUTED_VALUE"""),15600.0)</f>
        <v>15600</v>
      </c>
      <c r="C2315" s="1">
        <f>IFERROR(__xludf.DUMMYFUNCTION("""COMPUTED_VALUE"""),16250.0)</f>
        <v>16250</v>
      </c>
      <c r="D2315" s="1">
        <f>IFERROR(__xludf.DUMMYFUNCTION("""COMPUTED_VALUE"""),15500.0)</f>
        <v>15500</v>
      </c>
      <c r="E2315" s="1">
        <f>IFERROR(__xludf.DUMMYFUNCTION("""COMPUTED_VALUE"""),16150.0)</f>
        <v>16150</v>
      </c>
      <c r="F2315" s="1">
        <f>IFERROR(__xludf.DUMMYFUNCTION("""COMPUTED_VALUE"""),289704.0)</f>
        <v>289704</v>
      </c>
    </row>
    <row r="2316">
      <c r="A2316" s="2">
        <f>IFERROR(__xludf.DUMMYFUNCTION("""COMPUTED_VALUE"""),44354.64583333333)</f>
        <v>44354.64583</v>
      </c>
      <c r="B2316" s="1">
        <f>IFERROR(__xludf.DUMMYFUNCTION("""COMPUTED_VALUE"""),16200.0)</f>
        <v>16200</v>
      </c>
      <c r="C2316" s="1">
        <f>IFERROR(__xludf.DUMMYFUNCTION("""COMPUTED_VALUE"""),16250.0)</f>
        <v>16250</v>
      </c>
      <c r="D2316" s="1">
        <f>IFERROR(__xludf.DUMMYFUNCTION("""COMPUTED_VALUE"""),15850.0)</f>
        <v>15850</v>
      </c>
      <c r="E2316" s="1">
        <f>IFERROR(__xludf.DUMMYFUNCTION("""COMPUTED_VALUE"""),16200.0)</f>
        <v>16200</v>
      </c>
      <c r="F2316" s="1">
        <f>IFERROR(__xludf.DUMMYFUNCTION("""COMPUTED_VALUE"""),183314.0)</f>
        <v>183314</v>
      </c>
    </row>
    <row r="2317">
      <c r="A2317" s="2">
        <f>IFERROR(__xludf.DUMMYFUNCTION("""COMPUTED_VALUE"""),44355.64583333333)</f>
        <v>44355.64583</v>
      </c>
      <c r="B2317" s="1">
        <f>IFERROR(__xludf.DUMMYFUNCTION("""COMPUTED_VALUE"""),16200.0)</f>
        <v>16200</v>
      </c>
      <c r="C2317" s="1">
        <f>IFERROR(__xludf.DUMMYFUNCTION("""COMPUTED_VALUE"""),16250.0)</f>
        <v>16250</v>
      </c>
      <c r="D2317" s="1">
        <f>IFERROR(__xludf.DUMMYFUNCTION("""COMPUTED_VALUE"""),15800.0)</f>
        <v>15800</v>
      </c>
      <c r="E2317" s="1">
        <f>IFERROR(__xludf.DUMMYFUNCTION("""COMPUTED_VALUE"""),16150.0)</f>
        <v>16150</v>
      </c>
      <c r="F2317" s="1">
        <f>IFERROR(__xludf.DUMMYFUNCTION("""COMPUTED_VALUE"""),194535.0)</f>
        <v>194535</v>
      </c>
    </row>
    <row r="2318">
      <c r="A2318" s="2">
        <f>IFERROR(__xludf.DUMMYFUNCTION("""COMPUTED_VALUE"""),44356.64583333333)</f>
        <v>44356.64583</v>
      </c>
      <c r="B2318" s="1">
        <f>IFERROR(__xludf.DUMMYFUNCTION("""COMPUTED_VALUE"""),16150.0)</f>
        <v>16150</v>
      </c>
      <c r="C2318" s="1">
        <f>IFERROR(__xludf.DUMMYFUNCTION("""COMPUTED_VALUE"""),16650.0)</f>
        <v>16650</v>
      </c>
      <c r="D2318" s="1">
        <f>IFERROR(__xludf.DUMMYFUNCTION("""COMPUTED_VALUE"""),16100.0)</f>
        <v>16100</v>
      </c>
      <c r="E2318" s="1">
        <f>IFERROR(__xludf.DUMMYFUNCTION("""COMPUTED_VALUE"""),16250.0)</f>
        <v>16250</v>
      </c>
      <c r="F2318" s="1">
        <f>IFERROR(__xludf.DUMMYFUNCTION("""COMPUTED_VALUE"""),319176.0)</f>
        <v>319176</v>
      </c>
    </row>
    <row r="2319">
      <c r="A2319" s="2">
        <f>IFERROR(__xludf.DUMMYFUNCTION("""COMPUTED_VALUE"""),44357.64583333333)</f>
        <v>44357.64583</v>
      </c>
      <c r="B2319" s="1">
        <f>IFERROR(__xludf.DUMMYFUNCTION("""COMPUTED_VALUE"""),16300.0)</f>
        <v>16300</v>
      </c>
      <c r="C2319" s="1">
        <f>IFERROR(__xludf.DUMMYFUNCTION("""COMPUTED_VALUE"""),16550.0)</f>
        <v>16550</v>
      </c>
      <c r="D2319" s="1">
        <f>IFERROR(__xludf.DUMMYFUNCTION("""COMPUTED_VALUE"""),16150.0)</f>
        <v>16150</v>
      </c>
      <c r="E2319" s="1">
        <f>IFERROR(__xludf.DUMMYFUNCTION("""COMPUTED_VALUE"""),16450.0)</f>
        <v>16450</v>
      </c>
      <c r="F2319" s="1">
        <f>IFERROR(__xludf.DUMMYFUNCTION("""COMPUTED_VALUE"""),239897.0)</f>
        <v>239897</v>
      </c>
    </row>
    <row r="2320">
      <c r="A2320" s="2">
        <f>IFERROR(__xludf.DUMMYFUNCTION("""COMPUTED_VALUE"""),44358.64583333333)</f>
        <v>44358.64583</v>
      </c>
      <c r="B2320" s="1">
        <f>IFERROR(__xludf.DUMMYFUNCTION("""COMPUTED_VALUE"""),16500.0)</f>
        <v>16500</v>
      </c>
      <c r="C2320" s="1">
        <f>IFERROR(__xludf.DUMMYFUNCTION("""COMPUTED_VALUE"""),16800.0)</f>
        <v>16800</v>
      </c>
      <c r="D2320" s="1">
        <f>IFERROR(__xludf.DUMMYFUNCTION("""COMPUTED_VALUE"""),16200.0)</f>
        <v>16200</v>
      </c>
      <c r="E2320" s="1">
        <f>IFERROR(__xludf.DUMMYFUNCTION("""COMPUTED_VALUE"""),16350.0)</f>
        <v>16350</v>
      </c>
      <c r="F2320" s="1">
        <f>IFERROR(__xludf.DUMMYFUNCTION("""COMPUTED_VALUE"""),208379.0)</f>
        <v>208379</v>
      </c>
    </row>
    <row r="2321">
      <c r="A2321" s="2">
        <f>IFERROR(__xludf.DUMMYFUNCTION("""COMPUTED_VALUE"""),44361.64583333333)</f>
        <v>44361.64583</v>
      </c>
      <c r="B2321" s="1">
        <f>IFERROR(__xludf.DUMMYFUNCTION("""COMPUTED_VALUE"""),16400.0)</f>
        <v>16400</v>
      </c>
      <c r="C2321" s="1">
        <f>IFERROR(__xludf.DUMMYFUNCTION("""COMPUTED_VALUE"""),16500.0)</f>
        <v>16500</v>
      </c>
      <c r="D2321" s="1">
        <f>IFERROR(__xludf.DUMMYFUNCTION("""COMPUTED_VALUE"""),16000.0)</f>
        <v>16000</v>
      </c>
      <c r="E2321" s="1">
        <f>IFERROR(__xludf.DUMMYFUNCTION("""COMPUTED_VALUE"""),16400.0)</f>
        <v>16400</v>
      </c>
      <c r="F2321" s="1">
        <f>IFERROR(__xludf.DUMMYFUNCTION("""COMPUTED_VALUE"""),176126.0)</f>
        <v>176126</v>
      </c>
    </row>
    <row r="2322">
      <c r="A2322" s="2">
        <f>IFERROR(__xludf.DUMMYFUNCTION("""COMPUTED_VALUE"""),44362.64583333333)</f>
        <v>44362.64583</v>
      </c>
      <c r="B2322" s="1">
        <f>IFERROR(__xludf.DUMMYFUNCTION("""COMPUTED_VALUE"""),16400.0)</f>
        <v>16400</v>
      </c>
      <c r="C2322" s="1">
        <f>IFERROR(__xludf.DUMMYFUNCTION("""COMPUTED_VALUE"""),16650.0)</f>
        <v>16650</v>
      </c>
      <c r="D2322" s="1">
        <f>IFERROR(__xludf.DUMMYFUNCTION("""COMPUTED_VALUE"""),16300.0)</f>
        <v>16300</v>
      </c>
      <c r="E2322" s="1">
        <f>IFERROR(__xludf.DUMMYFUNCTION("""COMPUTED_VALUE"""),16400.0)</f>
        <v>16400</v>
      </c>
      <c r="F2322" s="1">
        <f>IFERROR(__xludf.DUMMYFUNCTION("""COMPUTED_VALUE"""),120246.0)</f>
        <v>120246</v>
      </c>
    </row>
    <row r="2323">
      <c r="A2323" s="2">
        <f>IFERROR(__xludf.DUMMYFUNCTION("""COMPUTED_VALUE"""),44363.64583333333)</f>
        <v>44363.64583</v>
      </c>
      <c r="B2323" s="1">
        <f>IFERROR(__xludf.DUMMYFUNCTION("""COMPUTED_VALUE"""),16500.0)</f>
        <v>16500</v>
      </c>
      <c r="C2323" s="1">
        <f>IFERROR(__xludf.DUMMYFUNCTION("""COMPUTED_VALUE"""),16800.0)</f>
        <v>16800</v>
      </c>
      <c r="D2323" s="1">
        <f>IFERROR(__xludf.DUMMYFUNCTION("""COMPUTED_VALUE"""),16350.0)</f>
        <v>16350</v>
      </c>
      <c r="E2323" s="1">
        <f>IFERROR(__xludf.DUMMYFUNCTION("""COMPUTED_VALUE"""),16700.0)</f>
        <v>16700</v>
      </c>
      <c r="F2323" s="1">
        <f>IFERROR(__xludf.DUMMYFUNCTION("""COMPUTED_VALUE"""),203023.0)</f>
        <v>203023</v>
      </c>
    </row>
    <row r="2324">
      <c r="A2324" s="2">
        <f>IFERROR(__xludf.DUMMYFUNCTION("""COMPUTED_VALUE"""),44364.64583333333)</f>
        <v>44364.64583</v>
      </c>
      <c r="B2324" s="1">
        <f>IFERROR(__xludf.DUMMYFUNCTION("""COMPUTED_VALUE"""),16700.0)</f>
        <v>16700</v>
      </c>
      <c r="C2324" s="1">
        <f>IFERROR(__xludf.DUMMYFUNCTION("""COMPUTED_VALUE"""),17200.0)</f>
        <v>17200</v>
      </c>
      <c r="D2324" s="1">
        <f>IFERROR(__xludf.DUMMYFUNCTION("""COMPUTED_VALUE"""),16550.0)</f>
        <v>16550</v>
      </c>
      <c r="E2324" s="1">
        <f>IFERROR(__xludf.DUMMYFUNCTION("""COMPUTED_VALUE"""),17050.0)</f>
        <v>17050</v>
      </c>
      <c r="F2324" s="1">
        <f>IFERROR(__xludf.DUMMYFUNCTION("""COMPUTED_VALUE"""),321870.0)</f>
        <v>321870</v>
      </c>
    </row>
    <row r="2325">
      <c r="A2325" s="2">
        <f>IFERROR(__xludf.DUMMYFUNCTION("""COMPUTED_VALUE"""),44365.64583333333)</f>
        <v>44365.64583</v>
      </c>
      <c r="B2325" s="1">
        <f>IFERROR(__xludf.DUMMYFUNCTION("""COMPUTED_VALUE"""),17150.0)</f>
        <v>17150</v>
      </c>
      <c r="C2325" s="1">
        <f>IFERROR(__xludf.DUMMYFUNCTION("""COMPUTED_VALUE"""),17900.0)</f>
        <v>17900</v>
      </c>
      <c r="D2325" s="1">
        <f>IFERROR(__xludf.DUMMYFUNCTION("""COMPUTED_VALUE"""),16850.0)</f>
        <v>16850</v>
      </c>
      <c r="E2325" s="1">
        <f>IFERROR(__xludf.DUMMYFUNCTION("""COMPUTED_VALUE"""),17650.0)</f>
        <v>17650</v>
      </c>
      <c r="F2325" s="1">
        <f>IFERROR(__xludf.DUMMYFUNCTION("""COMPUTED_VALUE"""),736190.0)</f>
        <v>736190</v>
      </c>
    </row>
    <row r="2326">
      <c r="A2326" s="2">
        <f>IFERROR(__xludf.DUMMYFUNCTION("""COMPUTED_VALUE"""),44368.64583333333)</f>
        <v>44368.64583</v>
      </c>
      <c r="B2326" s="1">
        <f>IFERROR(__xludf.DUMMYFUNCTION("""COMPUTED_VALUE"""),17900.0)</f>
        <v>17900</v>
      </c>
      <c r="C2326" s="1">
        <f>IFERROR(__xludf.DUMMYFUNCTION("""COMPUTED_VALUE"""),18400.0)</f>
        <v>18400</v>
      </c>
      <c r="D2326" s="1">
        <f>IFERROR(__xludf.DUMMYFUNCTION("""COMPUTED_VALUE"""),17200.0)</f>
        <v>17200</v>
      </c>
      <c r="E2326" s="1">
        <f>IFERROR(__xludf.DUMMYFUNCTION("""COMPUTED_VALUE"""),17200.0)</f>
        <v>17200</v>
      </c>
      <c r="F2326" s="1">
        <f>IFERROR(__xludf.DUMMYFUNCTION("""COMPUTED_VALUE"""),726651.0)</f>
        <v>726651</v>
      </c>
    </row>
    <row r="2327">
      <c r="A2327" s="2">
        <f>IFERROR(__xludf.DUMMYFUNCTION("""COMPUTED_VALUE"""),44369.64583333333)</f>
        <v>44369.64583</v>
      </c>
      <c r="B2327" s="1">
        <f>IFERROR(__xludf.DUMMYFUNCTION("""COMPUTED_VALUE"""),17600.0)</f>
        <v>17600</v>
      </c>
      <c r="C2327" s="1">
        <f>IFERROR(__xludf.DUMMYFUNCTION("""COMPUTED_VALUE"""),17650.0)</f>
        <v>17650</v>
      </c>
      <c r="D2327" s="1">
        <f>IFERROR(__xludf.DUMMYFUNCTION("""COMPUTED_VALUE"""),16850.0)</f>
        <v>16850</v>
      </c>
      <c r="E2327" s="1">
        <f>IFERROR(__xludf.DUMMYFUNCTION("""COMPUTED_VALUE"""),17000.0)</f>
        <v>17000</v>
      </c>
      <c r="F2327" s="1">
        <f>IFERROR(__xludf.DUMMYFUNCTION("""COMPUTED_VALUE"""),344303.0)</f>
        <v>344303</v>
      </c>
    </row>
    <row r="2328">
      <c r="A2328" s="2">
        <f>IFERROR(__xludf.DUMMYFUNCTION("""COMPUTED_VALUE"""),44370.64583333333)</f>
        <v>44370.64583</v>
      </c>
      <c r="B2328" s="1">
        <f>IFERROR(__xludf.DUMMYFUNCTION("""COMPUTED_VALUE"""),17000.0)</f>
        <v>17000</v>
      </c>
      <c r="C2328" s="1">
        <f>IFERROR(__xludf.DUMMYFUNCTION("""COMPUTED_VALUE"""),17100.0)</f>
        <v>17100</v>
      </c>
      <c r="D2328" s="1">
        <f>IFERROR(__xludf.DUMMYFUNCTION("""COMPUTED_VALUE"""),16450.0)</f>
        <v>16450</v>
      </c>
      <c r="E2328" s="1">
        <f>IFERROR(__xludf.DUMMYFUNCTION("""COMPUTED_VALUE"""),16450.0)</f>
        <v>16450</v>
      </c>
      <c r="F2328" s="1">
        <f>IFERROR(__xludf.DUMMYFUNCTION("""COMPUTED_VALUE"""),282215.0)</f>
        <v>282215</v>
      </c>
    </row>
    <row r="2329">
      <c r="A2329" s="2">
        <f>IFERROR(__xludf.DUMMYFUNCTION("""COMPUTED_VALUE"""),44371.64583333333)</f>
        <v>44371.64583</v>
      </c>
      <c r="B2329" s="1">
        <f>IFERROR(__xludf.DUMMYFUNCTION("""COMPUTED_VALUE"""),16550.0)</f>
        <v>16550</v>
      </c>
      <c r="C2329" s="1">
        <f>IFERROR(__xludf.DUMMYFUNCTION("""COMPUTED_VALUE"""),16550.0)</f>
        <v>16550</v>
      </c>
      <c r="D2329" s="1">
        <f>IFERROR(__xludf.DUMMYFUNCTION("""COMPUTED_VALUE"""),16050.0)</f>
        <v>16050</v>
      </c>
      <c r="E2329" s="1">
        <f>IFERROR(__xludf.DUMMYFUNCTION("""COMPUTED_VALUE"""),16450.0)</f>
        <v>16450</v>
      </c>
      <c r="F2329" s="1">
        <f>IFERROR(__xludf.DUMMYFUNCTION("""COMPUTED_VALUE"""),186922.0)</f>
        <v>186922</v>
      </c>
    </row>
    <row r="2330">
      <c r="A2330" s="2">
        <f>IFERROR(__xludf.DUMMYFUNCTION("""COMPUTED_VALUE"""),44372.64583333333)</f>
        <v>44372.64583</v>
      </c>
      <c r="B2330" s="1">
        <f>IFERROR(__xludf.DUMMYFUNCTION("""COMPUTED_VALUE"""),16350.0)</f>
        <v>16350</v>
      </c>
      <c r="C2330" s="1">
        <f>IFERROR(__xludf.DUMMYFUNCTION("""COMPUTED_VALUE"""),16650.0)</f>
        <v>16650</v>
      </c>
      <c r="D2330" s="1">
        <f>IFERROR(__xludf.DUMMYFUNCTION("""COMPUTED_VALUE"""),16300.0)</f>
        <v>16300</v>
      </c>
      <c r="E2330" s="1">
        <f>IFERROR(__xludf.DUMMYFUNCTION("""COMPUTED_VALUE"""),16350.0)</f>
        <v>16350</v>
      </c>
      <c r="F2330" s="1">
        <f>IFERROR(__xludf.DUMMYFUNCTION("""COMPUTED_VALUE"""),105393.0)</f>
        <v>105393</v>
      </c>
    </row>
    <row r="2331">
      <c r="A2331" s="2">
        <f>IFERROR(__xludf.DUMMYFUNCTION("""COMPUTED_VALUE"""),44375.64583333333)</f>
        <v>44375.64583</v>
      </c>
      <c r="B2331" s="1">
        <f>IFERROR(__xludf.DUMMYFUNCTION("""COMPUTED_VALUE"""),16350.0)</f>
        <v>16350</v>
      </c>
      <c r="C2331" s="1">
        <f>IFERROR(__xludf.DUMMYFUNCTION("""COMPUTED_VALUE"""),16550.0)</f>
        <v>16550</v>
      </c>
      <c r="D2331" s="1">
        <f>IFERROR(__xludf.DUMMYFUNCTION("""COMPUTED_VALUE"""),16300.0)</f>
        <v>16300</v>
      </c>
      <c r="E2331" s="1">
        <f>IFERROR(__xludf.DUMMYFUNCTION("""COMPUTED_VALUE"""),16450.0)</f>
        <v>16450</v>
      </c>
      <c r="F2331" s="1">
        <f>IFERROR(__xludf.DUMMYFUNCTION("""COMPUTED_VALUE"""),126839.0)</f>
        <v>126839</v>
      </c>
    </row>
    <row r="2332">
      <c r="A2332" s="2">
        <f>IFERROR(__xludf.DUMMYFUNCTION("""COMPUTED_VALUE"""),44376.64583333333)</f>
        <v>44376.64583</v>
      </c>
      <c r="B2332" s="1">
        <f>IFERROR(__xludf.DUMMYFUNCTION("""COMPUTED_VALUE"""),16550.0)</f>
        <v>16550</v>
      </c>
      <c r="C2332" s="1">
        <f>IFERROR(__xludf.DUMMYFUNCTION("""COMPUTED_VALUE"""),16750.0)</f>
        <v>16750</v>
      </c>
      <c r="D2332" s="1">
        <f>IFERROR(__xludf.DUMMYFUNCTION("""COMPUTED_VALUE"""),16450.0)</f>
        <v>16450</v>
      </c>
      <c r="E2332" s="1">
        <f>IFERROR(__xludf.DUMMYFUNCTION("""COMPUTED_VALUE"""),16700.0)</f>
        <v>16700</v>
      </c>
      <c r="F2332" s="1">
        <f>IFERROR(__xludf.DUMMYFUNCTION("""COMPUTED_VALUE"""),117507.0)</f>
        <v>117507</v>
      </c>
    </row>
    <row r="2333">
      <c r="A2333" s="2">
        <f>IFERROR(__xludf.DUMMYFUNCTION("""COMPUTED_VALUE"""),44377.64583333333)</f>
        <v>44377.64583</v>
      </c>
      <c r="B2333" s="1">
        <f>IFERROR(__xludf.DUMMYFUNCTION("""COMPUTED_VALUE"""),16750.0)</f>
        <v>16750</v>
      </c>
      <c r="C2333" s="1">
        <f>IFERROR(__xludf.DUMMYFUNCTION("""COMPUTED_VALUE"""),16850.0)</f>
        <v>16850</v>
      </c>
      <c r="D2333" s="1">
        <f>IFERROR(__xludf.DUMMYFUNCTION("""COMPUTED_VALUE"""),16650.0)</f>
        <v>16650</v>
      </c>
      <c r="E2333" s="1">
        <f>IFERROR(__xludf.DUMMYFUNCTION("""COMPUTED_VALUE"""),16750.0)</f>
        <v>16750</v>
      </c>
      <c r="F2333" s="1">
        <f>IFERROR(__xludf.DUMMYFUNCTION("""COMPUTED_VALUE"""),99608.0)</f>
        <v>99608</v>
      </c>
    </row>
    <row r="2334">
      <c r="A2334" s="2">
        <f>IFERROR(__xludf.DUMMYFUNCTION("""COMPUTED_VALUE"""),44378.64583333333)</f>
        <v>44378.64583</v>
      </c>
      <c r="B2334" s="1">
        <f>IFERROR(__xludf.DUMMYFUNCTION("""COMPUTED_VALUE"""),16800.0)</f>
        <v>16800</v>
      </c>
      <c r="C2334" s="1">
        <f>IFERROR(__xludf.DUMMYFUNCTION("""COMPUTED_VALUE"""),16950.0)</f>
        <v>16950</v>
      </c>
      <c r="D2334" s="1">
        <f>IFERROR(__xludf.DUMMYFUNCTION("""COMPUTED_VALUE"""),16500.0)</f>
        <v>16500</v>
      </c>
      <c r="E2334" s="1">
        <f>IFERROR(__xludf.DUMMYFUNCTION("""COMPUTED_VALUE"""),16900.0)</f>
        <v>16900</v>
      </c>
      <c r="F2334" s="1">
        <f>IFERROR(__xludf.DUMMYFUNCTION("""COMPUTED_VALUE"""),126442.0)</f>
        <v>126442</v>
      </c>
    </row>
    <row r="2335">
      <c r="A2335" s="2">
        <f>IFERROR(__xludf.DUMMYFUNCTION("""COMPUTED_VALUE"""),44379.64583333333)</f>
        <v>44379.64583</v>
      </c>
      <c r="B2335" s="1">
        <f>IFERROR(__xludf.DUMMYFUNCTION("""COMPUTED_VALUE"""),17050.0)</f>
        <v>17050</v>
      </c>
      <c r="C2335" s="1">
        <f>IFERROR(__xludf.DUMMYFUNCTION("""COMPUTED_VALUE"""),17100.0)</f>
        <v>17100</v>
      </c>
      <c r="D2335" s="1">
        <f>IFERROR(__xludf.DUMMYFUNCTION("""COMPUTED_VALUE"""),16800.0)</f>
        <v>16800</v>
      </c>
      <c r="E2335" s="1">
        <f>IFERROR(__xludf.DUMMYFUNCTION("""COMPUTED_VALUE"""),17050.0)</f>
        <v>17050</v>
      </c>
      <c r="F2335" s="1">
        <f>IFERROR(__xludf.DUMMYFUNCTION("""COMPUTED_VALUE"""),156925.0)</f>
        <v>156925</v>
      </c>
    </row>
    <row r="2336">
      <c r="A2336" s="2">
        <f>IFERROR(__xludf.DUMMYFUNCTION("""COMPUTED_VALUE"""),44382.64583333333)</f>
        <v>44382.64583</v>
      </c>
      <c r="B2336" s="1">
        <f>IFERROR(__xludf.DUMMYFUNCTION("""COMPUTED_VALUE"""),17150.0)</f>
        <v>17150</v>
      </c>
      <c r="C2336" s="1">
        <f>IFERROR(__xludf.DUMMYFUNCTION("""COMPUTED_VALUE"""),17150.0)</f>
        <v>17150</v>
      </c>
      <c r="D2336" s="1">
        <f>IFERROR(__xludf.DUMMYFUNCTION("""COMPUTED_VALUE"""),16700.0)</f>
        <v>16700</v>
      </c>
      <c r="E2336" s="1">
        <f>IFERROR(__xludf.DUMMYFUNCTION("""COMPUTED_VALUE"""),16850.0)</f>
        <v>16850</v>
      </c>
      <c r="F2336" s="1">
        <f>IFERROR(__xludf.DUMMYFUNCTION("""COMPUTED_VALUE"""),123220.0)</f>
        <v>123220</v>
      </c>
    </row>
    <row r="2337">
      <c r="A2337" s="2">
        <f>IFERROR(__xludf.DUMMYFUNCTION("""COMPUTED_VALUE"""),44383.64583333333)</f>
        <v>44383.64583</v>
      </c>
      <c r="B2337" s="1">
        <f>IFERROR(__xludf.DUMMYFUNCTION("""COMPUTED_VALUE"""),16950.0)</f>
        <v>16950</v>
      </c>
      <c r="C2337" s="1">
        <f>IFERROR(__xludf.DUMMYFUNCTION("""COMPUTED_VALUE"""),17100.0)</f>
        <v>17100</v>
      </c>
      <c r="D2337" s="1">
        <f>IFERROR(__xludf.DUMMYFUNCTION("""COMPUTED_VALUE"""),16850.0)</f>
        <v>16850</v>
      </c>
      <c r="E2337" s="1">
        <f>IFERROR(__xludf.DUMMYFUNCTION("""COMPUTED_VALUE"""),17000.0)</f>
        <v>17000</v>
      </c>
      <c r="F2337" s="1">
        <f>IFERROR(__xludf.DUMMYFUNCTION("""COMPUTED_VALUE"""),123577.0)</f>
        <v>123577</v>
      </c>
    </row>
    <row r="2338">
      <c r="A2338" s="2">
        <f>IFERROR(__xludf.DUMMYFUNCTION("""COMPUTED_VALUE"""),44384.64583333333)</f>
        <v>44384.64583</v>
      </c>
      <c r="B2338" s="1">
        <f>IFERROR(__xludf.DUMMYFUNCTION("""COMPUTED_VALUE"""),17000.0)</f>
        <v>17000</v>
      </c>
      <c r="C2338" s="1">
        <f>IFERROR(__xludf.DUMMYFUNCTION("""COMPUTED_VALUE"""),17250.0)</f>
        <v>17250</v>
      </c>
      <c r="D2338" s="1">
        <f>IFERROR(__xludf.DUMMYFUNCTION("""COMPUTED_VALUE"""),16750.0)</f>
        <v>16750</v>
      </c>
      <c r="E2338" s="1">
        <f>IFERROR(__xludf.DUMMYFUNCTION("""COMPUTED_VALUE"""),16900.0)</f>
        <v>16900</v>
      </c>
      <c r="F2338" s="1">
        <f>IFERROR(__xludf.DUMMYFUNCTION("""COMPUTED_VALUE"""),149543.0)</f>
        <v>149543</v>
      </c>
    </row>
    <row r="2339">
      <c r="A2339" s="2">
        <f>IFERROR(__xludf.DUMMYFUNCTION("""COMPUTED_VALUE"""),44385.64583333333)</f>
        <v>44385.64583</v>
      </c>
      <c r="B2339" s="1">
        <f>IFERROR(__xludf.DUMMYFUNCTION("""COMPUTED_VALUE"""),16900.0)</f>
        <v>16900</v>
      </c>
      <c r="C2339" s="1">
        <f>IFERROR(__xludf.DUMMYFUNCTION("""COMPUTED_VALUE"""),17000.0)</f>
        <v>17000</v>
      </c>
      <c r="D2339" s="1">
        <f>IFERROR(__xludf.DUMMYFUNCTION("""COMPUTED_VALUE"""),16250.0)</f>
        <v>16250</v>
      </c>
      <c r="E2339" s="1">
        <f>IFERROR(__xludf.DUMMYFUNCTION("""COMPUTED_VALUE"""),16250.0)</f>
        <v>16250</v>
      </c>
      <c r="F2339" s="1">
        <f>IFERROR(__xludf.DUMMYFUNCTION("""COMPUTED_VALUE"""),187507.0)</f>
        <v>187507</v>
      </c>
    </row>
    <row r="2340">
      <c r="A2340" s="2">
        <f>IFERROR(__xludf.DUMMYFUNCTION("""COMPUTED_VALUE"""),44386.64583333333)</f>
        <v>44386.64583</v>
      </c>
      <c r="B2340" s="1">
        <f>IFERROR(__xludf.DUMMYFUNCTION("""COMPUTED_VALUE"""),15900.0)</f>
        <v>15900</v>
      </c>
      <c r="C2340" s="1">
        <f>IFERROR(__xludf.DUMMYFUNCTION("""COMPUTED_VALUE"""),16150.0)</f>
        <v>16150</v>
      </c>
      <c r="D2340" s="1">
        <f>IFERROR(__xludf.DUMMYFUNCTION("""COMPUTED_VALUE"""),15500.0)</f>
        <v>15500</v>
      </c>
      <c r="E2340" s="1">
        <f>IFERROR(__xludf.DUMMYFUNCTION("""COMPUTED_VALUE"""),16100.0)</f>
        <v>16100</v>
      </c>
      <c r="F2340" s="1">
        <f>IFERROR(__xludf.DUMMYFUNCTION("""COMPUTED_VALUE"""),138904.0)</f>
        <v>138904</v>
      </c>
    </row>
    <row r="2341">
      <c r="A2341" s="2">
        <f>IFERROR(__xludf.DUMMYFUNCTION("""COMPUTED_VALUE"""),44389.64583333333)</f>
        <v>44389.64583</v>
      </c>
      <c r="B2341" s="1">
        <f>IFERROR(__xludf.DUMMYFUNCTION("""COMPUTED_VALUE"""),16150.0)</f>
        <v>16150</v>
      </c>
      <c r="C2341" s="1">
        <f>IFERROR(__xludf.DUMMYFUNCTION("""COMPUTED_VALUE"""),16200.0)</f>
        <v>16200</v>
      </c>
      <c r="D2341" s="1">
        <f>IFERROR(__xludf.DUMMYFUNCTION("""COMPUTED_VALUE"""),15900.0)</f>
        <v>15900</v>
      </c>
      <c r="E2341" s="1">
        <f>IFERROR(__xludf.DUMMYFUNCTION("""COMPUTED_VALUE"""),16000.0)</f>
        <v>16000</v>
      </c>
      <c r="F2341" s="1">
        <f>IFERROR(__xludf.DUMMYFUNCTION("""COMPUTED_VALUE"""),54667.0)</f>
        <v>54667</v>
      </c>
    </row>
    <row r="2342">
      <c r="A2342" s="2">
        <f>IFERROR(__xludf.DUMMYFUNCTION("""COMPUTED_VALUE"""),44390.64583333333)</f>
        <v>44390.64583</v>
      </c>
      <c r="B2342" s="1">
        <f>IFERROR(__xludf.DUMMYFUNCTION("""COMPUTED_VALUE"""),16000.0)</f>
        <v>16000</v>
      </c>
      <c r="C2342" s="1">
        <f>IFERROR(__xludf.DUMMYFUNCTION("""COMPUTED_VALUE"""),16100.0)</f>
        <v>16100</v>
      </c>
      <c r="D2342" s="1">
        <f>IFERROR(__xludf.DUMMYFUNCTION("""COMPUTED_VALUE"""),15700.0)</f>
        <v>15700</v>
      </c>
      <c r="E2342" s="1">
        <f>IFERROR(__xludf.DUMMYFUNCTION("""COMPUTED_VALUE"""),16100.0)</f>
        <v>16100</v>
      </c>
      <c r="F2342" s="1">
        <f>IFERROR(__xludf.DUMMYFUNCTION("""COMPUTED_VALUE"""),81933.0)</f>
        <v>81933</v>
      </c>
    </row>
    <row r="2343">
      <c r="A2343" s="2">
        <f>IFERROR(__xludf.DUMMYFUNCTION("""COMPUTED_VALUE"""),44391.64583333333)</f>
        <v>44391.64583</v>
      </c>
      <c r="B2343" s="1">
        <f>IFERROR(__xludf.DUMMYFUNCTION("""COMPUTED_VALUE"""),16000.0)</f>
        <v>16000</v>
      </c>
      <c r="C2343" s="1">
        <f>IFERROR(__xludf.DUMMYFUNCTION("""COMPUTED_VALUE"""),16000.0)</f>
        <v>16000</v>
      </c>
      <c r="D2343" s="1">
        <f>IFERROR(__xludf.DUMMYFUNCTION("""COMPUTED_VALUE"""),15700.0)</f>
        <v>15700</v>
      </c>
      <c r="E2343" s="1">
        <f>IFERROR(__xludf.DUMMYFUNCTION("""COMPUTED_VALUE"""),15750.0)</f>
        <v>15750</v>
      </c>
      <c r="F2343" s="1">
        <f>IFERROR(__xludf.DUMMYFUNCTION("""COMPUTED_VALUE"""),67868.0)</f>
        <v>67868</v>
      </c>
    </row>
    <row r="2344">
      <c r="A2344" s="2">
        <f>IFERROR(__xludf.DUMMYFUNCTION("""COMPUTED_VALUE"""),44392.64583333333)</f>
        <v>44392.64583</v>
      </c>
      <c r="B2344" s="1">
        <f>IFERROR(__xludf.DUMMYFUNCTION("""COMPUTED_VALUE"""),15850.0)</f>
        <v>15850</v>
      </c>
      <c r="C2344" s="1">
        <f>IFERROR(__xludf.DUMMYFUNCTION("""COMPUTED_VALUE"""),16000.0)</f>
        <v>16000</v>
      </c>
      <c r="D2344" s="1">
        <f>IFERROR(__xludf.DUMMYFUNCTION("""COMPUTED_VALUE"""),15700.0)</f>
        <v>15700</v>
      </c>
      <c r="E2344" s="1">
        <f>IFERROR(__xludf.DUMMYFUNCTION("""COMPUTED_VALUE"""),15850.0)</f>
        <v>15850</v>
      </c>
      <c r="F2344" s="1">
        <f>IFERROR(__xludf.DUMMYFUNCTION("""COMPUTED_VALUE"""),71368.0)</f>
        <v>71368</v>
      </c>
    </row>
    <row r="2345">
      <c r="A2345" s="2">
        <f>IFERROR(__xludf.DUMMYFUNCTION("""COMPUTED_VALUE"""),44393.64583333333)</f>
        <v>44393.64583</v>
      </c>
      <c r="B2345" s="1">
        <f>IFERROR(__xludf.DUMMYFUNCTION("""COMPUTED_VALUE"""),15900.0)</f>
        <v>15900</v>
      </c>
      <c r="C2345" s="1">
        <f>IFERROR(__xludf.DUMMYFUNCTION("""COMPUTED_VALUE"""),16050.0)</f>
        <v>16050</v>
      </c>
      <c r="D2345" s="1">
        <f>IFERROR(__xludf.DUMMYFUNCTION("""COMPUTED_VALUE"""),15850.0)</f>
        <v>15850</v>
      </c>
      <c r="E2345" s="1">
        <f>IFERROR(__xludf.DUMMYFUNCTION("""COMPUTED_VALUE"""),15850.0)</f>
        <v>15850</v>
      </c>
      <c r="F2345" s="1">
        <f>IFERROR(__xludf.DUMMYFUNCTION("""COMPUTED_VALUE"""),62707.0)</f>
        <v>62707</v>
      </c>
    </row>
    <row r="2346">
      <c r="A2346" s="2">
        <f>IFERROR(__xludf.DUMMYFUNCTION("""COMPUTED_VALUE"""),44396.64583333333)</f>
        <v>44396.64583</v>
      </c>
      <c r="B2346" s="1">
        <f>IFERROR(__xludf.DUMMYFUNCTION("""COMPUTED_VALUE"""),15700.0)</f>
        <v>15700</v>
      </c>
      <c r="C2346" s="1">
        <f>IFERROR(__xludf.DUMMYFUNCTION("""COMPUTED_VALUE"""),15850.0)</f>
        <v>15850</v>
      </c>
      <c r="D2346" s="1">
        <f>IFERROR(__xludf.DUMMYFUNCTION("""COMPUTED_VALUE"""),15450.0)</f>
        <v>15450</v>
      </c>
      <c r="E2346" s="1">
        <f>IFERROR(__xludf.DUMMYFUNCTION("""COMPUTED_VALUE"""),15450.0)</f>
        <v>15450</v>
      </c>
      <c r="F2346" s="1">
        <f>IFERROR(__xludf.DUMMYFUNCTION("""COMPUTED_VALUE"""),87764.0)</f>
        <v>87764</v>
      </c>
    </row>
    <row r="2347">
      <c r="A2347" s="2">
        <f>IFERROR(__xludf.DUMMYFUNCTION("""COMPUTED_VALUE"""),44397.64583333333)</f>
        <v>44397.64583</v>
      </c>
      <c r="B2347" s="1">
        <f>IFERROR(__xludf.DUMMYFUNCTION("""COMPUTED_VALUE"""),15350.0)</f>
        <v>15350</v>
      </c>
      <c r="C2347" s="1">
        <f>IFERROR(__xludf.DUMMYFUNCTION("""COMPUTED_VALUE"""),15450.0)</f>
        <v>15450</v>
      </c>
      <c r="D2347" s="1">
        <f>IFERROR(__xludf.DUMMYFUNCTION("""COMPUTED_VALUE"""),15050.0)</f>
        <v>15050</v>
      </c>
      <c r="E2347" s="1">
        <f>IFERROR(__xludf.DUMMYFUNCTION("""COMPUTED_VALUE"""),15250.0)</f>
        <v>15250</v>
      </c>
      <c r="F2347" s="1">
        <f>IFERROR(__xludf.DUMMYFUNCTION("""COMPUTED_VALUE"""),93204.0)</f>
        <v>93204</v>
      </c>
    </row>
    <row r="2348">
      <c r="A2348" s="2">
        <f>IFERROR(__xludf.DUMMYFUNCTION("""COMPUTED_VALUE"""),44398.64583333333)</f>
        <v>44398.64583</v>
      </c>
      <c r="B2348" s="1">
        <f>IFERROR(__xludf.DUMMYFUNCTION("""COMPUTED_VALUE"""),15300.0)</f>
        <v>15300</v>
      </c>
      <c r="C2348" s="1">
        <f>IFERROR(__xludf.DUMMYFUNCTION("""COMPUTED_VALUE"""),15450.0)</f>
        <v>15450</v>
      </c>
      <c r="D2348" s="1">
        <f>IFERROR(__xludf.DUMMYFUNCTION("""COMPUTED_VALUE"""),14950.0)</f>
        <v>14950</v>
      </c>
      <c r="E2348" s="1">
        <f>IFERROR(__xludf.DUMMYFUNCTION("""COMPUTED_VALUE"""),14950.0)</f>
        <v>14950</v>
      </c>
      <c r="F2348" s="1">
        <f>IFERROR(__xludf.DUMMYFUNCTION("""COMPUTED_VALUE"""),75209.0)</f>
        <v>75209</v>
      </c>
    </row>
    <row r="2349">
      <c r="A2349" s="2">
        <f>IFERROR(__xludf.DUMMYFUNCTION("""COMPUTED_VALUE"""),44399.64583333333)</f>
        <v>44399.64583</v>
      </c>
      <c r="B2349" s="1">
        <f>IFERROR(__xludf.DUMMYFUNCTION("""COMPUTED_VALUE"""),14950.0)</f>
        <v>14950</v>
      </c>
      <c r="C2349" s="1">
        <f>IFERROR(__xludf.DUMMYFUNCTION("""COMPUTED_VALUE"""),15150.0)</f>
        <v>15150</v>
      </c>
      <c r="D2349" s="1">
        <f>IFERROR(__xludf.DUMMYFUNCTION("""COMPUTED_VALUE"""),14950.0)</f>
        <v>14950</v>
      </c>
      <c r="E2349" s="1">
        <f>IFERROR(__xludf.DUMMYFUNCTION("""COMPUTED_VALUE"""),15000.0)</f>
        <v>15000</v>
      </c>
      <c r="F2349" s="1">
        <f>IFERROR(__xludf.DUMMYFUNCTION("""COMPUTED_VALUE"""),53715.0)</f>
        <v>53715</v>
      </c>
    </row>
    <row r="2350">
      <c r="A2350" s="2">
        <f>IFERROR(__xludf.DUMMYFUNCTION("""COMPUTED_VALUE"""),44400.64583333333)</f>
        <v>44400.64583</v>
      </c>
      <c r="B2350" s="1">
        <f>IFERROR(__xludf.DUMMYFUNCTION("""COMPUTED_VALUE"""),15050.0)</f>
        <v>15050</v>
      </c>
      <c r="C2350" s="1">
        <f>IFERROR(__xludf.DUMMYFUNCTION("""COMPUTED_VALUE"""),15900.0)</f>
        <v>15900</v>
      </c>
      <c r="D2350" s="1">
        <f>IFERROR(__xludf.DUMMYFUNCTION("""COMPUTED_VALUE"""),15050.0)</f>
        <v>15050</v>
      </c>
      <c r="E2350" s="1">
        <f>IFERROR(__xludf.DUMMYFUNCTION("""COMPUTED_VALUE"""),15800.0)</f>
        <v>15800</v>
      </c>
      <c r="F2350" s="1">
        <f>IFERROR(__xludf.DUMMYFUNCTION("""COMPUTED_VALUE"""),140712.0)</f>
        <v>140712</v>
      </c>
    </row>
    <row r="2351">
      <c r="A2351" s="2">
        <f>IFERROR(__xludf.DUMMYFUNCTION("""COMPUTED_VALUE"""),44403.64583333333)</f>
        <v>44403.64583</v>
      </c>
      <c r="B2351" s="1">
        <f>IFERROR(__xludf.DUMMYFUNCTION("""COMPUTED_VALUE"""),15800.0)</f>
        <v>15800</v>
      </c>
      <c r="C2351" s="1">
        <f>IFERROR(__xludf.DUMMYFUNCTION("""COMPUTED_VALUE"""),15900.0)</f>
        <v>15900</v>
      </c>
      <c r="D2351" s="1">
        <f>IFERROR(__xludf.DUMMYFUNCTION("""COMPUTED_VALUE"""),14950.0)</f>
        <v>14950</v>
      </c>
      <c r="E2351" s="1">
        <f>IFERROR(__xludf.DUMMYFUNCTION("""COMPUTED_VALUE"""),15350.0)</f>
        <v>15350</v>
      </c>
      <c r="F2351" s="1">
        <f>IFERROR(__xludf.DUMMYFUNCTION("""COMPUTED_VALUE"""),79538.0)</f>
        <v>79538</v>
      </c>
    </row>
    <row r="2352">
      <c r="A2352" s="2">
        <f>IFERROR(__xludf.DUMMYFUNCTION("""COMPUTED_VALUE"""),44404.64583333333)</f>
        <v>44404.64583</v>
      </c>
      <c r="B2352" s="1">
        <f>IFERROR(__xludf.DUMMYFUNCTION("""COMPUTED_VALUE"""),15400.0)</f>
        <v>15400</v>
      </c>
      <c r="C2352" s="1">
        <f>IFERROR(__xludf.DUMMYFUNCTION("""COMPUTED_VALUE"""),17900.0)</f>
        <v>17900</v>
      </c>
      <c r="D2352" s="1">
        <f>IFERROR(__xludf.DUMMYFUNCTION("""COMPUTED_VALUE"""),15000.0)</f>
        <v>15000</v>
      </c>
      <c r="E2352" s="1">
        <f>IFERROR(__xludf.DUMMYFUNCTION("""COMPUTED_VALUE"""),16400.0)</f>
        <v>16400</v>
      </c>
      <c r="F2352" s="1">
        <f>IFERROR(__xludf.DUMMYFUNCTION("""COMPUTED_VALUE"""),2122840.0)</f>
        <v>2122840</v>
      </c>
    </row>
    <row r="2353">
      <c r="A2353" s="2">
        <f>IFERROR(__xludf.DUMMYFUNCTION("""COMPUTED_VALUE"""),44405.64583333333)</f>
        <v>44405.64583</v>
      </c>
      <c r="B2353" s="1">
        <f>IFERROR(__xludf.DUMMYFUNCTION("""COMPUTED_VALUE"""),16600.0)</f>
        <v>16600</v>
      </c>
      <c r="C2353" s="1">
        <f>IFERROR(__xludf.DUMMYFUNCTION("""COMPUTED_VALUE"""),17300.0)</f>
        <v>17300</v>
      </c>
      <c r="D2353" s="1">
        <f>IFERROR(__xludf.DUMMYFUNCTION("""COMPUTED_VALUE"""),16400.0)</f>
        <v>16400</v>
      </c>
      <c r="E2353" s="1">
        <f>IFERROR(__xludf.DUMMYFUNCTION("""COMPUTED_VALUE"""),17050.0)</f>
        <v>17050</v>
      </c>
      <c r="F2353" s="1">
        <f>IFERROR(__xludf.DUMMYFUNCTION("""COMPUTED_VALUE"""),1027760.0)</f>
        <v>1027760</v>
      </c>
    </row>
    <row r="2354">
      <c r="A2354" s="2">
        <f>IFERROR(__xludf.DUMMYFUNCTION("""COMPUTED_VALUE"""),44406.64583333333)</f>
        <v>44406.64583</v>
      </c>
      <c r="B2354" s="1">
        <f>IFERROR(__xludf.DUMMYFUNCTION("""COMPUTED_VALUE"""),17250.0)</f>
        <v>17250</v>
      </c>
      <c r="C2354" s="1">
        <f>IFERROR(__xludf.DUMMYFUNCTION("""COMPUTED_VALUE"""),17700.0)</f>
        <v>17700</v>
      </c>
      <c r="D2354" s="1">
        <f>IFERROR(__xludf.DUMMYFUNCTION("""COMPUTED_VALUE"""),16800.0)</f>
        <v>16800</v>
      </c>
      <c r="E2354" s="1">
        <f>IFERROR(__xludf.DUMMYFUNCTION("""COMPUTED_VALUE"""),17300.0)</f>
        <v>17300</v>
      </c>
      <c r="F2354" s="1">
        <f>IFERROR(__xludf.DUMMYFUNCTION("""COMPUTED_VALUE"""),871463.0)</f>
        <v>871463</v>
      </c>
    </row>
    <row r="2355">
      <c r="A2355" s="2">
        <f>IFERROR(__xludf.DUMMYFUNCTION("""COMPUTED_VALUE"""),44407.64583333333)</f>
        <v>44407.64583</v>
      </c>
      <c r="B2355" s="1">
        <f>IFERROR(__xludf.DUMMYFUNCTION("""COMPUTED_VALUE"""),17550.0)</f>
        <v>17550</v>
      </c>
      <c r="C2355" s="1">
        <f>IFERROR(__xludf.DUMMYFUNCTION("""COMPUTED_VALUE"""),18800.0)</f>
        <v>18800</v>
      </c>
      <c r="D2355" s="1">
        <f>IFERROR(__xludf.DUMMYFUNCTION("""COMPUTED_VALUE"""),17050.0)</f>
        <v>17050</v>
      </c>
      <c r="E2355" s="1">
        <f>IFERROR(__xludf.DUMMYFUNCTION("""COMPUTED_VALUE"""),18000.0)</f>
        <v>18000</v>
      </c>
      <c r="F2355" s="1">
        <f>IFERROR(__xludf.DUMMYFUNCTION("""COMPUTED_VALUE"""),3330147.0)</f>
        <v>3330147</v>
      </c>
    </row>
    <row r="2356">
      <c r="A2356" s="2">
        <f>IFERROR(__xludf.DUMMYFUNCTION("""COMPUTED_VALUE"""),44410.64583333333)</f>
        <v>44410.64583</v>
      </c>
      <c r="B2356" s="1">
        <f>IFERROR(__xludf.DUMMYFUNCTION("""COMPUTED_VALUE"""),17200.0)</f>
        <v>17200</v>
      </c>
      <c r="C2356" s="1">
        <f>IFERROR(__xludf.DUMMYFUNCTION("""COMPUTED_VALUE"""),17300.0)</f>
        <v>17300</v>
      </c>
      <c r="D2356" s="1">
        <f>IFERROR(__xludf.DUMMYFUNCTION("""COMPUTED_VALUE"""),16350.0)</f>
        <v>16350</v>
      </c>
      <c r="E2356" s="1">
        <f>IFERROR(__xludf.DUMMYFUNCTION("""COMPUTED_VALUE"""),16450.0)</f>
        <v>16450</v>
      </c>
      <c r="F2356" s="1">
        <f>IFERROR(__xludf.DUMMYFUNCTION("""COMPUTED_VALUE"""),860833.0)</f>
        <v>860833</v>
      </c>
    </row>
    <row r="2357">
      <c r="A2357" s="2">
        <f>IFERROR(__xludf.DUMMYFUNCTION("""COMPUTED_VALUE"""),44411.64583333333)</f>
        <v>44411.64583</v>
      </c>
      <c r="B2357" s="1">
        <f>IFERROR(__xludf.DUMMYFUNCTION("""COMPUTED_VALUE"""),16600.0)</f>
        <v>16600</v>
      </c>
      <c r="C2357" s="1">
        <f>IFERROR(__xludf.DUMMYFUNCTION("""COMPUTED_VALUE"""),17650.0)</f>
        <v>17650</v>
      </c>
      <c r="D2357" s="1">
        <f>IFERROR(__xludf.DUMMYFUNCTION("""COMPUTED_VALUE"""),16350.0)</f>
        <v>16350</v>
      </c>
      <c r="E2357" s="1">
        <f>IFERROR(__xludf.DUMMYFUNCTION("""COMPUTED_VALUE"""),16950.0)</f>
        <v>16950</v>
      </c>
      <c r="F2357" s="1">
        <f>IFERROR(__xludf.DUMMYFUNCTION("""COMPUTED_VALUE"""),1415382.0)</f>
        <v>1415382</v>
      </c>
    </row>
    <row r="2358">
      <c r="A2358" s="2">
        <f>IFERROR(__xludf.DUMMYFUNCTION("""COMPUTED_VALUE"""),44412.64583333333)</f>
        <v>44412.64583</v>
      </c>
      <c r="B2358" s="1">
        <f>IFERROR(__xludf.DUMMYFUNCTION("""COMPUTED_VALUE"""),16850.0)</f>
        <v>16850</v>
      </c>
      <c r="C2358" s="1">
        <f>IFERROR(__xludf.DUMMYFUNCTION("""COMPUTED_VALUE"""),17200.0)</f>
        <v>17200</v>
      </c>
      <c r="D2358" s="1">
        <f>IFERROR(__xludf.DUMMYFUNCTION("""COMPUTED_VALUE"""),16750.0)</f>
        <v>16750</v>
      </c>
      <c r="E2358" s="1">
        <f>IFERROR(__xludf.DUMMYFUNCTION("""COMPUTED_VALUE"""),16950.0)</f>
        <v>16950</v>
      </c>
      <c r="F2358" s="1">
        <f>IFERROR(__xludf.DUMMYFUNCTION("""COMPUTED_VALUE"""),317287.0)</f>
        <v>317287</v>
      </c>
    </row>
    <row r="2359">
      <c r="A2359" s="2">
        <f>IFERROR(__xludf.DUMMYFUNCTION("""COMPUTED_VALUE"""),44413.64583333333)</f>
        <v>44413.64583</v>
      </c>
      <c r="B2359" s="1">
        <f>IFERROR(__xludf.DUMMYFUNCTION("""COMPUTED_VALUE"""),17150.0)</f>
        <v>17150</v>
      </c>
      <c r="C2359" s="1">
        <f>IFERROR(__xludf.DUMMYFUNCTION("""COMPUTED_VALUE"""),17200.0)</f>
        <v>17200</v>
      </c>
      <c r="D2359" s="1">
        <f>IFERROR(__xludf.DUMMYFUNCTION("""COMPUTED_VALUE"""),16550.0)</f>
        <v>16550</v>
      </c>
      <c r="E2359" s="1">
        <f>IFERROR(__xludf.DUMMYFUNCTION("""COMPUTED_VALUE"""),16600.0)</f>
        <v>16600</v>
      </c>
      <c r="F2359" s="1">
        <f>IFERROR(__xludf.DUMMYFUNCTION("""COMPUTED_VALUE"""),273041.0)</f>
        <v>273041</v>
      </c>
    </row>
    <row r="2360">
      <c r="A2360" s="2">
        <f>IFERROR(__xludf.DUMMYFUNCTION("""COMPUTED_VALUE"""),44414.64583333333)</f>
        <v>44414.64583</v>
      </c>
      <c r="B2360" s="1">
        <f>IFERROR(__xludf.DUMMYFUNCTION("""COMPUTED_VALUE"""),16850.0)</f>
        <v>16850</v>
      </c>
      <c r="C2360" s="1">
        <f>IFERROR(__xludf.DUMMYFUNCTION("""COMPUTED_VALUE"""),18000.0)</f>
        <v>18000</v>
      </c>
      <c r="D2360" s="1">
        <f>IFERROR(__xludf.DUMMYFUNCTION("""COMPUTED_VALUE"""),16750.0)</f>
        <v>16750</v>
      </c>
      <c r="E2360" s="1">
        <f>IFERROR(__xludf.DUMMYFUNCTION("""COMPUTED_VALUE"""),17450.0)</f>
        <v>17450</v>
      </c>
      <c r="F2360" s="1">
        <f>IFERROR(__xludf.DUMMYFUNCTION("""COMPUTED_VALUE"""),1318069.0)</f>
        <v>1318069</v>
      </c>
    </row>
    <row r="2361">
      <c r="A2361" s="2">
        <f>IFERROR(__xludf.DUMMYFUNCTION("""COMPUTED_VALUE"""),44417.64583333333)</f>
        <v>44417.64583</v>
      </c>
      <c r="B2361" s="1">
        <f>IFERROR(__xludf.DUMMYFUNCTION("""COMPUTED_VALUE"""),17200.0)</f>
        <v>17200</v>
      </c>
      <c r="C2361" s="1">
        <f>IFERROR(__xludf.DUMMYFUNCTION("""COMPUTED_VALUE"""),17650.0)</f>
        <v>17650</v>
      </c>
      <c r="D2361" s="1">
        <f>IFERROR(__xludf.DUMMYFUNCTION("""COMPUTED_VALUE"""),16850.0)</f>
        <v>16850</v>
      </c>
      <c r="E2361" s="1">
        <f>IFERROR(__xludf.DUMMYFUNCTION("""COMPUTED_VALUE"""),16950.0)</f>
        <v>16950</v>
      </c>
      <c r="F2361" s="1">
        <f>IFERROR(__xludf.DUMMYFUNCTION("""COMPUTED_VALUE"""),340733.0)</f>
        <v>340733</v>
      </c>
    </row>
    <row r="2362">
      <c r="A2362" s="2">
        <f>IFERROR(__xludf.DUMMYFUNCTION("""COMPUTED_VALUE"""),44418.64583333333)</f>
        <v>44418.64583</v>
      </c>
      <c r="B2362" s="1">
        <f>IFERROR(__xludf.DUMMYFUNCTION("""COMPUTED_VALUE"""),16600.0)</f>
        <v>16600</v>
      </c>
      <c r="C2362" s="1">
        <f>IFERROR(__xludf.DUMMYFUNCTION("""COMPUTED_VALUE"""),16700.0)</f>
        <v>16700</v>
      </c>
      <c r="D2362" s="1">
        <f>IFERROR(__xludf.DUMMYFUNCTION("""COMPUTED_VALUE"""),16100.0)</f>
        <v>16100</v>
      </c>
      <c r="E2362" s="1">
        <f>IFERROR(__xludf.DUMMYFUNCTION("""COMPUTED_VALUE"""),16100.0)</f>
        <v>16100</v>
      </c>
      <c r="F2362" s="1">
        <f>IFERROR(__xludf.DUMMYFUNCTION("""COMPUTED_VALUE"""),340529.0)</f>
        <v>340529</v>
      </c>
    </row>
    <row r="2363">
      <c r="A2363" s="2">
        <f>IFERROR(__xludf.DUMMYFUNCTION("""COMPUTED_VALUE"""),44419.64583333333)</f>
        <v>44419.64583</v>
      </c>
      <c r="B2363" s="1">
        <f>IFERROR(__xludf.DUMMYFUNCTION("""COMPUTED_VALUE"""),15500.0)</f>
        <v>15500</v>
      </c>
      <c r="C2363" s="1">
        <f>IFERROR(__xludf.DUMMYFUNCTION("""COMPUTED_VALUE"""),15800.0)</f>
        <v>15800</v>
      </c>
      <c r="D2363" s="1">
        <f>IFERROR(__xludf.DUMMYFUNCTION("""COMPUTED_VALUE"""),15300.0)</f>
        <v>15300</v>
      </c>
      <c r="E2363" s="1">
        <f>IFERROR(__xludf.DUMMYFUNCTION("""COMPUTED_VALUE"""),15400.0)</f>
        <v>15400</v>
      </c>
      <c r="F2363" s="1">
        <f>IFERROR(__xludf.DUMMYFUNCTION("""COMPUTED_VALUE"""),349599.0)</f>
        <v>349599</v>
      </c>
    </row>
    <row r="2364">
      <c r="A2364" s="2">
        <f>IFERROR(__xludf.DUMMYFUNCTION("""COMPUTED_VALUE"""),44420.64583333333)</f>
        <v>44420.64583</v>
      </c>
      <c r="B2364" s="1">
        <f>IFERROR(__xludf.DUMMYFUNCTION("""COMPUTED_VALUE"""),15400.0)</f>
        <v>15400</v>
      </c>
      <c r="C2364" s="1">
        <f>IFERROR(__xludf.DUMMYFUNCTION("""COMPUTED_VALUE"""),15600.0)</f>
        <v>15600</v>
      </c>
      <c r="D2364" s="1">
        <f>IFERROR(__xludf.DUMMYFUNCTION("""COMPUTED_VALUE"""),15200.0)</f>
        <v>15200</v>
      </c>
      <c r="E2364" s="1">
        <f>IFERROR(__xludf.DUMMYFUNCTION("""COMPUTED_VALUE"""),15350.0)</f>
        <v>15350</v>
      </c>
      <c r="F2364" s="1">
        <f>IFERROR(__xludf.DUMMYFUNCTION("""COMPUTED_VALUE"""),129304.0)</f>
        <v>129304</v>
      </c>
    </row>
    <row r="2365">
      <c r="A2365" s="2">
        <f>IFERROR(__xludf.DUMMYFUNCTION("""COMPUTED_VALUE"""),44421.64583333333)</f>
        <v>44421.64583</v>
      </c>
      <c r="B2365" s="1">
        <f>IFERROR(__xludf.DUMMYFUNCTION("""COMPUTED_VALUE"""),15400.0)</f>
        <v>15400</v>
      </c>
      <c r="C2365" s="1">
        <f>IFERROR(__xludf.DUMMYFUNCTION("""COMPUTED_VALUE"""),15450.0)</f>
        <v>15450</v>
      </c>
      <c r="D2365" s="1">
        <f>IFERROR(__xludf.DUMMYFUNCTION("""COMPUTED_VALUE"""),14750.0)</f>
        <v>14750</v>
      </c>
      <c r="E2365" s="1">
        <f>IFERROR(__xludf.DUMMYFUNCTION("""COMPUTED_VALUE"""),15400.0)</f>
        <v>15400</v>
      </c>
      <c r="F2365" s="1">
        <f>IFERROR(__xludf.DUMMYFUNCTION("""COMPUTED_VALUE"""),199096.0)</f>
        <v>199096</v>
      </c>
    </row>
    <row r="2366">
      <c r="A2366" s="2">
        <f>IFERROR(__xludf.DUMMYFUNCTION("""COMPUTED_VALUE"""),44425.64583333333)</f>
        <v>44425.64583</v>
      </c>
      <c r="B2366" s="1">
        <f>IFERROR(__xludf.DUMMYFUNCTION("""COMPUTED_VALUE"""),15250.0)</f>
        <v>15250</v>
      </c>
      <c r="C2366" s="1">
        <f>IFERROR(__xludf.DUMMYFUNCTION("""COMPUTED_VALUE"""),15250.0)</f>
        <v>15250</v>
      </c>
      <c r="D2366" s="1">
        <f>IFERROR(__xludf.DUMMYFUNCTION("""COMPUTED_VALUE"""),14500.0)</f>
        <v>14500</v>
      </c>
      <c r="E2366" s="1">
        <f>IFERROR(__xludf.DUMMYFUNCTION("""COMPUTED_VALUE"""),14600.0)</f>
        <v>14600</v>
      </c>
      <c r="F2366" s="1">
        <f>IFERROR(__xludf.DUMMYFUNCTION("""COMPUTED_VALUE"""),159843.0)</f>
        <v>159843</v>
      </c>
    </row>
    <row r="2367">
      <c r="A2367" s="2">
        <f>IFERROR(__xludf.DUMMYFUNCTION("""COMPUTED_VALUE"""),44426.64583333333)</f>
        <v>44426.64583</v>
      </c>
      <c r="B2367" s="1">
        <f>IFERROR(__xludf.DUMMYFUNCTION("""COMPUTED_VALUE"""),14600.0)</f>
        <v>14600</v>
      </c>
      <c r="C2367" s="1">
        <f>IFERROR(__xludf.DUMMYFUNCTION("""COMPUTED_VALUE"""),14850.0)</f>
        <v>14850</v>
      </c>
      <c r="D2367" s="1">
        <f>IFERROR(__xludf.DUMMYFUNCTION("""COMPUTED_VALUE"""),14350.0)</f>
        <v>14350</v>
      </c>
      <c r="E2367" s="1">
        <f>IFERROR(__xludf.DUMMYFUNCTION("""COMPUTED_VALUE"""),14700.0)</f>
        <v>14700</v>
      </c>
      <c r="F2367" s="1">
        <f>IFERROR(__xludf.DUMMYFUNCTION("""COMPUTED_VALUE"""),118439.0)</f>
        <v>118439</v>
      </c>
    </row>
    <row r="2368">
      <c r="A2368" s="2">
        <f>IFERROR(__xludf.DUMMYFUNCTION("""COMPUTED_VALUE"""),44427.64583333333)</f>
        <v>44427.64583</v>
      </c>
      <c r="B2368" s="1">
        <f>IFERROR(__xludf.DUMMYFUNCTION("""COMPUTED_VALUE"""),14600.0)</f>
        <v>14600</v>
      </c>
      <c r="C2368" s="1">
        <f>IFERROR(__xludf.DUMMYFUNCTION("""COMPUTED_VALUE"""),15100.0)</f>
        <v>15100</v>
      </c>
      <c r="D2368" s="1">
        <f>IFERROR(__xludf.DUMMYFUNCTION("""COMPUTED_VALUE"""),14100.0)</f>
        <v>14100</v>
      </c>
      <c r="E2368" s="1">
        <f>IFERROR(__xludf.DUMMYFUNCTION("""COMPUTED_VALUE"""),14200.0)</f>
        <v>14200</v>
      </c>
      <c r="F2368" s="1">
        <f>IFERROR(__xludf.DUMMYFUNCTION("""COMPUTED_VALUE"""),154411.0)</f>
        <v>154411</v>
      </c>
    </row>
    <row r="2369">
      <c r="A2369" s="2">
        <f>IFERROR(__xludf.DUMMYFUNCTION("""COMPUTED_VALUE"""),44428.64583333333)</f>
        <v>44428.64583</v>
      </c>
      <c r="B2369" s="1">
        <f>IFERROR(__xludf.DUMMYFUNCTION("""COMPUTED_VALUE"""),14250.0)</f>
        <v>14250</v>
      </c>
      <c r="C2369" s="1">
        <f>IFERROR(__xludf.DUMMYFUNCTION("""COMPUTED_VALUE"""),14500.0)</f>
        <v>14500</v>
      </c>
      <c r="D2369" s="1">
        <f>IFERROR(__xludf.DUMMYFUNCTION("""COMPUTED_VALUE"""),13800.0)</f>
        <v>13800</v>
      </c>
      <c r="E2369" s="1">
        <f>IFERROR(__xludf.DUMMYFUNCTION("""COMPUTED_VALUE"""),13850.0)</f>
        <v>13850</v>
      </c>
      <c r="F2369" s="1">
        <f>IFERROR(__xludf.DUMMYFUNCTION("""COMPUTED_VALUE"""),112355.0)</f>
        <v>112355</v>
      </c>
    </row>
    <row r="2370">
      <c r="A2370" s="2">
        <f>IFERROR(__xludf.DUMMYFUNCTION("""COMPUTED_VALUE"""),44431.64583333333)</f>
        <v>44431.64583</v>
      </c>
      <c r="B2370" s="1">
        <f>IFERROR(__xludf.DUMMYFUNCTION("""COMPUTED_VALUE"""),14350.0)</f>
        <v>14350</v>
      </c>
      <c r="C2370" s="1">
        <f>IFERROR(__xludf.DUMMYFUNCTION("""COMPUTED_VALUE"""),14800.0)</f>
        <v>14800</v>
      </c>
      <c r="D2370" s="1">
        <f>IFERROR(__xludf.DUMMYFUNCTION("""COMPUTED_VALUE"""),14100.0)</f>
        <v>14100</v>
      </c>
      <c r="E2370" s="1">
        <f>IFERROR(__xludf.DUMMYFUNCTION("""COMPUTED_VALUE"""),14800.0)</f>
        <v>14800</v>
      </c>
      <c r="F2370" s="1">
        <f>IFERROR(__xludf.DUMMYFUNCTION("""COMPUTED_VALUE"""),134185.0)</f>
        <v>134185</v>
      </c>
    </row>
    <row r="2371">
      <c r="A2371" s="2">
        <f>IFERROR(__xludf.DUMMYFUNCTION("""COMPUTED_VALUE"""),44432.64583333333)</f>
        <v>44432.64583</v>
      </c>
      <c r="B2371" s="1">
        <f>IFERROR(__xludf.DUMMYFUNCTION("""COMPUTED_VALUE"""),15050.0)</f>
        <v>15050</v>
      </c>
      <c r="C2371" s="1">
        <f>IFERROR(__xludf.DUMMYFUNCTION("""COMPUTED_VALUE"""),15150.0)</f>
        <v>15150</v>
      </c>
      <c r="D2371" s="1">
        <f>IFERROR(__xludf.DUMMYFUNCTION("""COMPUTED_VALUE"""),14550.0)</f>
        <v>14550</v>
      </c>
      <c r="E2371" s="1">
        <f>IFERROR(__xludf.DUMMYFUNCTION("""COMPUTED_VALUE"""),14900.0)</f>
        <v>14900</v>
      </c>
      <c r="F2371" s="1">
        <f>IFERROR(__xludf.DUMMYFUNCTION("""COMPUTED_VALUE"""),119191.0)</f>
        <v>119191</v>
      </c>
    </row>
    <row r="2372">
      <c r="A2372" s="2">
        <f>IFERROR(__xludf.DUMMYFUNCTION("""COMPUTED_VALUE"""),44433.64583333333)</f>
        <v>44433.64583</v>
      </c>
      <c r="B2372" s="1">
        <f>IFERROR(__xludf.DUMMYFUNCTION("""COMPUTED_VALUE"""),14950.0)</f>
        <v>14950</v>
      </c>
      <c r="C2372" s="1">
        <f>IFERROR(__xludf.DUMMYFUNCTION("""COMPUTED_VALUE"""),15150.0)</f>
        <v>15150</v>
      </c>
      <c r="D2372" s="1">
        <f>IFERROR(__xludf.DUMMYFUNCTION("""COMPUTED_VALUE"""),14550.0)</f>
        <v>14550</v>
      </c>
      <c r="E2372" s="1">
        <f>IFERROR(__xludf.DUMMYFUNCTION("""COMPUTED_VALUE"""),14850.0)</f>
        <v>14850</v>
      </c>
      <c r="F2372" s="1">
        <f>IFERROR(__xludf.DUMMYFUNCTION("""COMPUTED_VALUE"""),101515.0)</f>
        <v>101515</v>
      </c>
    </row>
    <row r="2373">
      <c r="A2373" s="2">
        <f>IFERROR(__xludf.DUMMYFUNCTION("""COMPUTED_VALUE"""),44434.64583333333)</f>
        <v>44434.64583</v>
      </c>
      <c r="B2373" s="1">
        <f>IFERROR(__xludf.DUMMYFUNCTION("""COMPUTED_VALUE"""),15050.0)</f>
        <v>15050</v>
      </c>
      <c r="C2373" s="1">
        <f>IFERROR(__xludf.DUMMYFUNCTION("""COMPUTED_VALUE"""),15150.0)</f>
        <v>15150</v>
      </c>
      <c r="D2373" s="1">
        <f>IFERROR(__xludf.DUMMYFUNCTION("""COMPUTED_VALUE"""),14750.0)</f>
        <v>14750</v>
      </c>
      <c r="E2373" s="1">
        <f>IFERROR(__xludf.DUMMYFUNCTION("""COMPUTED_VALUE"""),14800.0)</f>
        <v>14800</v>
      </c>
      <c r="F2373" s="1">
        <f>IFERROR(__xludf.DUMMYFUNCTION("""COMPUTED_VALUE"""),72760.0)</f>
        <v>72760</v>
      </c>
    </row>
    <row r="2374">
      <c r="A2374" s="2">
        <f>IFERROR(__xludf.DUMMYFUNCTION("""COMPUTED_VALUE"""),44435.64583333333)</f>
        <v>44435.64583</v>
      </c>
      <c r="B2374" s="1">
        <f>IFERROR(__xludf.DUMMYFUNCTION("""COMPUTED_VALUE"""),14800.0)</f>
        <v>14800</v>
      </c>
      <c r="C2374" s="1">
        <f>IFERROR(__xludf.DUMMYFUNCTION("""COMPUTED_VALUE"""),15100.0)</f>
        <v>15100</v>
      </c>
      <c r="D2374" s="1">
        <f>IFERROR(__xludf.DUMMYFUNCTION("""COMPUTED_VALUE"""),14750.0)</f>
        <v>14750</v>
      </c>
      <c r="E2374" s="1">
        <f>IFERROR(__xludf.DUMMYFUNCTION("""COMPUTED_VALUE"""),14900.0)</f>
        <v>14900</v>
      </c>
      <c r="F2374" s="1">
        <f>IFERROR(__xludf.DUMMYFUNCTION("""COMPUTED_VALUE"""),76835.0)</f>
        <v>76835</v>
      </c>
    </row>
    <row r="2375">
      <c r="A2375" s="2">
        <f>IFERROR(__xludf.DUMMYFUNCTION("""COMPUTED_VALUE"""),44438.64583333333)</f>
        <v>44438.64583</v>
      </c>
      <c r="B2375" s="1">
        <f>IFERROR(__xludf.DUMMYFUNCTION("""COMPUTED_VALUE"""),14950.0)</f>
        <v>14950</v>
      </c>
      <c r="C2375" s="1">
        <f>IFERROR(__xludf.DUMMYFUNCTION("""COMPUTED_VALUE"""),15050.0)</f>
        <v>15050</v>
      </c>
      <c r="D2375" s="1">
        <f>IFERROR(__xludf.DUMMYFUNCTION("""COMPUTED_VALUE"""),14750.0)</f>
        <v>14750</v>
      </c>
      <c r="E2375" s="1">
        <f>IFERROR(__xludf.DUMMYFUNCTION("""COMPUTED_VALUE"""),14850.0)</f>
        <v>14850</v>
      </c>
      <c r="F2375" s="1">
        <f>IFERROR(__xludf.DUMMYFUNCTION("""COMPUTED_VALUE"""),86432.0)</f>
        <v>86432</v>
      </c>
    </row>
    <row r="2376">
      <c r="A2376" s="2">
        <f>IFERROR(__xludf.DUMMYFUNCTION("""COMPUTED_VALUE"""),44439.64583333333)</f>
        <v>44439.64583</v>
      </c>
      <c r="B2376" s="1">
        <f>IFERROR(__xludf.DUMMYFUNCTION("""COMPUTED_VALUE"""),14850.0)</f>
        <v>14850</v>
      </c>
      <c r="C2376" s="1">
        <f>IFERROR(__xludf.DUMMYFUNCTION("""COMPUTED_VALUE"""),14900.0)</f>
        <v>14900</v>
      </c>
      <c r="D2376" s="1">
        <f>IFERROR(__xludf.DUMMYFUNCTION("""COMPUTED_VALUE"""),14650.0)</f>
        <v>14650</v>
      </c>
      <c r="E2376" s="1">
        <f>IFERROR(__xludf.DUMMYFUNCTION("""COMPUTED_VALUE"""),14750.0)</f>
        <v>14750</v>
      </c>
      <c r="F2376" s="1">
        <f>IFERROR(__xludf.DUMMYFUNCTION("""COMPUTED_VALUE"""),56376.0)</f>
        <v>56376</v>
      </c>
    </row>
    <row r="2377">
      <c r="A2377" s="2">
        <f>IFERROR(__xludf.DUMMYFUNCTION("""COMPUTED_VALUE"""),44440.64583333333)</f>
        <v>44440.64583</v>
      </c>
      <c r="B2377" s="1">
        <f>IFERROR(__xludf.DUMMYFUNCTION("""COMPUTED_VALUE"""),14800.0)</f>
        <v>14800</v>
      </c>
      <c r="C2377" s="1">
        <f>IFERROR(__xludf.DUMMYFUNCTION("""COMPUTED_VALUE"""),14950.0)</f>
        <v>14950</v>
      </c>
      <c r="D2377" s="1">
        <f>IFERROR(__xludf.DUMMYFUNCTION("""COMPUTED_VALUE"""),14600.0)</f>
        <v>14600</v>
      </c>
      <c r="E2377" s="1">
        <f>IFERROR(__xludf.DUMMYFUNCTION("""COMPUTED_VALUE"""),14900.0)</f>
        <v>14900</v>
      </c>
      <c r="F2377" s="1">
        <f>IFERROR(__xludf.DUMMYFUNCTION("""COMPUTED_VALUE"""),48563.0)</f>
        <v>48563</v>
      </c>
    </row>
    <row r="2378">
      <c r="A2378" s="2">
        <f>IFERROR(__xludf.DUMMYFUNCTION("""COMPUTED_VALUE"""),44441.64583333333)</f>
        <v>44441.64583</v>
      </c>
      <c r="B2378" s="1">
        <f>IFERROR(__xludf.DUMMYFUNCTION("""COMPUTED_VALUE"""),14950.0)</f>
        <v>14950</v>
      </c>
      <c r="C2378" s="1">
        <f>IFERROR(__xludf.DUMMYFUNCTION("""COMPUTED_VALUE"""),14950.0)</f>
        <v>14950</v>
      </c>
      <c r="D2378" s="1">
        <f>IFERROR(__xludf.DUMMYFUNCTION("""COMPUTED_VALUE"""),14650.0)</f>
        <v>14650</v>
      </c>
      <c r="E2378" s="1">
        <f>IFERROR(__xludf.DUMMYFUNCTION("""COMPUTED_VALUE"""),14650.0)</f>
        <v>14650</v>
      </c>
      <c r="F2378" s="1">
        <f>IFERROR(__xludf.DUMMYFUNCTION("""COMPUTED_VALUE"""),53152.0)</f>
        <v>53152</v>
      </c>
    </row>
    <row r="2379">
      <c r="A2379" s="2">
        <f>IFERROR(__xludf.DUMMYFUNCTION("""COMPUTED_VALUE"""),44442.64583333333)</f>
        <v>44442.64583</v>
      </c>
      <c r="B2379" s="1">
        <f>IFERROR(__xludf.DUMMYFUNCTION("""COMPUTED_VALUE"""),14650.0)</f>
        <v>14650</v>
      </c>
      <c r="C2379" s="1">
        <f>IFERROR(__xludf.DUMMYFUNCTION("""COMPUTED_VALUE"""),14750.0)</f>
        <v>14750</v>
      </c>
      <c r="D2379" s="1">
        <f>IFERROR(__xludf.DUMMYFUNCTION("""COMPUTED_VALUE"""),14450.0)</f>
        <v>14450</v>
      </c>
      <c r="E2379" s="1">
        <f>IFERROR(__xludf.DUMMYFUNCTION("""COMPUTED_VALUE"""),14550.0)</f>
        <v>14550</v>
      </c>
      <c r="F2379" s="1">
        <f>IFERROR(__xludf.DUMMYFUNCTION("""COMPUTED_VALUE"""),57449.0)</f>
        <v>57449</v>
      </c>
    </row>
    <row r="2380">
      <c r="A2380" s="2">
        <f>IFERROR(__xludf.DUMMYFUNCTION("""COMPUTED_VALUE"""),44445.64583333333)</f>
        <v>44445.64583</v>
      </c>
      <c r="B2380" s="1">
        <f>IFERROR(__xludf.DUMMYFUNCTION("""COMPUTED_VALUE"""),14550.0)</f>
        <v>14550</v>
      </c>
      <c r="C2380" s="1">
        <f>IFERROR(__xludf.DUMMYFUNCTION("""COMPUTED_VALUE"""),14700.0)</f>
        <v>14700</v>
      </c>
      <c r="D2380" s="1">
        <f>IFERROR(__xludf.DUMMYFUNCTION("""COMPUTED_VALUE"""),14300.0)</f>
        <v>14300</v>
      </c>
      <c r="E2380" s="1">
        <f>IFERROR(__xludf.DUMMYFUNCTION("""COMPUTED_VALUE"""),14550.0)</f>
        <v>14550</v>
      </c>
      <c r="F2380" s="1">
        <f>IFERROR(__xludf.DUMMYFUNCTION("""COMPUTED_VALUE"""),90059.0)</f>
        <v>90059</v>
      </c>
    </row>
    <row r="2381">
      <c r="A2381" s="2">
        <f>IFERROR(__xludf.DUMMYFUNCTION("""COMPUTED_VALUE"""),44446.64583333333)</f>
        <v>44446.64583</v>
      </c>
      <c r="B2381" s="1">
        <f>IFERROR(__xludf.DUMMYFUNCTION("""COMPUTED_VALUE"""),14550.0)</f>
        <v>14550</v>
      </c>
      <c r="C2381" s="1">
        <f>IFERROR(__xludf.DUMMYFUNCTION("""COMPUTED_VALUE"""),14600.0)</f>
        <v>14600</v>
      </c>
      <c r="D2381" s="1">
        <f>IFERROR(__xludf.DUMMYFUNCTION("""COMPUTED_VALUE"""),14300.0)</f>
        <v>14300</v>
      </c>
      <c r="E2381" s="1">
        <f>IFERROR(__xludf.DUMMYFUNCTION("""COMPUTED_VALUE"""),14450.0)</f>
        <v>14450</v>
      </c>
      <c r="F2381" s="1">
        <f>IFERROR(__xludf.DUMMYFUNCTION("""COMPUTED_VALUE"""),65559.0)</f>
        <v>65559</v>
      </c>
    </row>
    <row r="2382">
      <c r="A2382" s="2">
        <f>IFERROR(__xludf.DUMMYFUNCTION("""COMPUTED_VALUE"""),44447.64583333333)</f>
        <v>44447.64583</v>
      </c>
      <c r="B2382" s="1">
        <f>IFERROR(__xludf.DUMMYFUNCTION("""COMPUTED_VALUE"""),14300.0)</f>
        <v>14300</v>
      </c>
      <c r="C2382" s="1">
        <f>IFERROR(__xludf.DUMMYFUNCTION("""COMPUTED_VALUE"""),14300.0)</f>
        <v>14300</v>
      </c>
      <c r="D2382" s="1">
        <f>IFERROR(__xludf.DUMMYFUNCTION("""COMPUTED_VALUE"""),14000.0)</f>
        <v>14000</v>
      </c>
      <c r="E2382" s="1">
        <f>IFERROR(__xludf.DUMMYFUNCTION("""COMPUTED_VALUE"""),14100.0)</f>
        <v>14100</v>
      </c>
      <c r="F2382" s="1">
        <f>IFERROR(__xludf.DUMMYFUNCTION("""COMPUTED_VALUE"""),88664.0)</f>
        <v>88664</v>
      </c>
    </row>
    <row r="2383">
      <c r="A2383" s="2">
        <f>IFERROR(__xludf.DUMMYFUNCTION("""COMPUTED_VALUE"""),44448.64583333333)</f>
        <v>44448.64583</v>
      </c>
      <c r="B2383" s="1">
        <f>IFERROR(__xludf.DUMMYFUNCTION("""COMPUTED_VALUE"""),14000.0)</f>
        <v>14000</v>
      </c>
      <c r="C2383" s="1">
        <f>IFERROR(__xludf.DUMMYFUNCTION("""COMPUTED_VALUE"""),14250.0)</f>
        <v>14250</v>
      </c>
      <c r="D2383" s="1">
        <f>IFERROR(__xludf.DUMMYFUNCTION("""COMPUTED_VALUE"""),13850.0)</f>
        <v>13850</v>
      </c>
      <c r="E2383" s="1">
        <f>IFERROR(__xludf.DUMMYFUNCTION("""COMPUTED_VALUE"""),13950.0)</f>
        <v>13950</v>
      </c>
      <c r="F2383" s="1">
        <f>IFERROR(__xludf.DUMMYFUNCTION("""COMPUTED_VALUE"""),56348.0)</f>
        <v>56348</v>
      </c>
    </row>
    <row r="2384">
      <c r="A2384" s="2">
        <f>IFERROR(__xludf.DUMMYFUNCTION("""COMPUTED_VALUE"""),44449.64583333333)</f>
        <v>44449.64583</v>
      </c>
      <c r="B2384" s="1">
        <f>IFERROR(__xludf.DUMMYFUNCTION("""COMPUTED_VALUE"""),13900.0)</f>
        <v>13900</v>
      </c>
      <c r="C2384" s="1">
        <f>IFERROR(__xludf.DUMMYFUNCTION("""COMPUTED_VALUE"""),14300.0)</f>
        <v>14300</v>
      </c>
      <c r="D2384" s="1">
        <f>IFERROR(__xludf.DUMMYFUNCTION("""COMPUTED_VALUE"""),13600.0)</f>
        <v>13600</v>
      </c>
      <c r="E2384" s="1">
        <f>IFERROR(__xludf.DUMMYFUNCTION("""COMPUTED_VALUE"""),14300.0)</f>
        <v>14300</v>
      </c>
      <c r="F2384" s="1">
        <f>IFERROR(__xludf.DUMMYFUNCTION("""COMPUTED_VALUE"""),69603.0)</f>
        <v>69603</v>
      </c>
    </row>
    <row r="2385">
      <c r="A2385" s="2">
        <f>IFERROR(__xludf.DUMMYFUNCTION("""COMPUTED_VALUE"""),44452.64583333333)</f>
        <v>44452.64583</v>
      </c>
      <c r="B2385" s="1">
        <f>IFERROR(__xludf.DUMMYFUNCTION("""COMPUTED_VALUE"""),14150.0)</f>
        <v>14150</v>
      </c>
      <c r="C2385" s="1">
        <f>IFERROR(__xludf.DUMMYFUNCTION("""COMPUTED_VALUE"""),14450.0)</f>
        <v>14450</v>
      </c>
      <c r="D2385" s="1">
        <f>IFERROR(__xludf.DUMMYFUNCTION("""COMPUTED_VALUE"""),13900.0)</f>
        <v>13900</v>
      </c>
      <c r="E2385" s="1">
        <f>IFERROR(__xludf.DUMMYFUNCTION("""COMPUTED_VALUE"""),14000.0)</f>
        <v>14000</v>
      </c>
      <c r="F2385" s="1">
        <f>IFERROR(__xludf.DUMMYFUNCTION("""COMPUTED_VALUE"""),71320.0)</f>
        <v>71320</v>
      </c>
    </row>
    <row r="2386">
      <c r="A2386" s="2">
        <f>IFERROR(__xludf.DUMMYFUNCTION("""COMPUTED_VALUE"""),44453.64583333333)</f>
        <v>44453.64583</v>
      </c>
      <c r="B2386" s="1">
        <f>IFERROR(__xludf.DUMMYFUNCTION("""COMPUTED_VALUE"""),14100.0)</f>
        <v>14100</v>
      </c>
      <c r="C2386" s="1">
        <f>IFERROR(__xludf.DUMMYFUNCTION("""COMPUTED_VALUE"""),14300.0)</f>
        <v>14300</v>
      </c>
      <c r="D2386" s="1">
        <f>IFERROR(__xludf.DUMMYFUNCTION("""COMPUTED_VALUE"""),13950.0)</f>
        <v>13950</v>
      </c>
      <c r="E2386" s="1">
        <f>IFERROR(__xludf.DUMMYFUNCTION("""COMPUTED_VALUE"""),14000.0)</f>
        <v>14000</v>
      </c>
      <c r="F2386" s="1">
        <f>IFERROR(__xludf.DUMMYFUNCTION("""COMPUTED_VALUE"""),55557.0)</f>
        <v>55557</v>
      </c>
    </row>
    <row r="2387">
      <c r="A2387" s="2">
        <f>IFERROR(__xludf.DUMMYFUNCTION("""COMPUTED_VALUE"""),44454.64583333333)</f>
        <v>44454.64583</v>
      </c>
      <c r="B2387" s="1">
        <f>IFERROR(__xludf.DUMMYFUNCTION("""COMPUTED_VALUE"""),14150.0)</f>
        <v>14150</v>
      </c>
      <c r="C2387" s="1">
        <f>IFERROR(__xludf.DUMMYFUNCTION("""COMPUTED_VALUE"""),14300.0)</f>
        <v>14300</v>
      </c>
      <c r="D2387" s="1">
        <f>IFERROR(__xludf.DUMMYFUNCTION("""COMPUTED_VALUE"""),13900.0)</f>
        <v>13900</v>
      </c>
      <c r="E2387" s="1">
        <f>IFERROR(__xludf.DUMMYFUNCTION("""COMPUTED_VALUE"""),14100.0)</f>
        <v>14100</v>
      </c>
      <c r="F2387" s="1">
        <f>IFERROR(__xludf.DUMMYFUNCTION("""COMPUTED_VALUE"""),57260.0)</f>
        <v>57260</v>
      </c>
    </row>
    <row r="2388">
      <c r="A2388" s="2">
        <f>IFERROR(__xludf.DUMMYFUNCTION("""COMPUTED_VALUE"""),44455.64583333333)</f>
        <v>44455.64583</v>
      </c>
      <c r="B2388" s="1">
        <f>IFERROR(__xludf.DUMMYFUNCTION("""COMPUTED_VALUE"""),14100.0)</f>
        <v>14100</v>
      </c>
      <c r="C2388" s="1">
        <f>IFERROR(__xludf.DUMMYFUNCTION("""COMPUTED_VALUE"""),14100.0)</f>
        <v>14100</v>
      </c>
      <c r="D2388" s="1">
        <f>IFERROR(__xludf.DUMMYFUNCTION("""COMPUTED_VALUE"""),13650.0)</f>
        <v>13650</v>
      </c>
      <c r="E2388" s="1">
        <f>IFERROR(__xludf.DUMMYFUNCTION("""COMPUTED_VALUE"""),13750.0)</f>
        <v>13750</v>
      </c>
      <c r="F2388" s="1">
        <f>IFERROR(__xludf.DUMMYFUNCTION("""COMPUTED_VALUE"""),123418.0)</f>
        <v>123418</v>
      </c>
    </row>
    <row r="2389">
      <c r="A2389" s="2">
        <f>IFERROR(__xludf.DUMMYFUNCTION("""COMPUTED_VALUE"""),44456.64583333333)</f>
        <v>44456.64583</v>
      </c>
      <c r="B2389" s="1">
        <f>IFERROR(__xludf.DUMMYFUNCTION("""COMPUTED_VALUE"""),13700.0)</f>
        <v>13700</v>
      </c>
      <c r="C2389" s="1">
        <f>IFERROR(__xludf.DUMMYFUNCTION("""COMPUTED_VALUE"""),13750.0)</f>
        <v>13750</v>
      </c>
      <c r="D2389" s="1">
        <f>IFERROR(__xludf.DUMMYFUNCTION("""COMPUTED_VALUE"""),13450.0)</f>
        <v>13450</v>
      </c>
      <c r="E2389" s="1">
        <f>IFERROR(__xludf.DUMMYFUNCTION("""COMPUTED_VALUE"""),13600.0)</f>
        <v>13600</v>
      </c>
      <c r="F2389" s="1">
        <f>IFERROR(__xludf.DUMMYFUNCTION("""COMPUTED_VALUE"""),74184.0)</f>
        <v>74184</v>
      </c>
    </row>
    <row r="2390">
      <c r="A2390" s="2">
        <f>IFERROR(__xludf.DUMMYFUNCTION("""COMPUTED_VALUE"""),44462.64583333333)</f>
        <v>44462.64583</v>
      </c>
      <c r="B2390" s="1">
        <f>IFERROR(__xludf.DUMMYFUNCTION("""COMPUTED_VALUE"""),13350.0)</f>
        <v>13350</v>
      </c>
      <c r="C2390" s="1">
        <f>IFERROR(__xludf.DUMMYFUNCTION("""COMPUTED_VALUE"""),13550.0)</f>
        <v>13550</v>
      </c>
      <c r="D2390" s="1">
        <f>IFERROR(__xludf.DUMMYFUNCTION("""COMPUTED_VALUE"""),13150.0)</f>
        <v>13150</v>
      </c>
      <c r="E2390" s="1">
        <f>IFERROR(__xludf.DUMMYFUNCTION("""COMPUTED_VALUE"""),13150.0)</f>
        <v>13150</v>
      </c>
      <c r="F2390" s="1">
        <f>IFERROR(__xludf.DUMMYFUNCTION("""COMPUTED_VALUE"""),119964.0)</f>
        <v>119964</v>
      </c>
    </row>
    <row r="2391">
      <c r="A2391" s="2">
        <f>IFERROR(__xludf.DUMMYFUNCTION("""COMPUTED_VALUE"""),44463.64583333333)</f>
        <v>44463.64583</v>
      </c>
      <c r="B2391" s="1">
        <f>IFERROR(__xludf.DUMMYFUNCTION("""COMPUTED_VALUE"""),13200.0)</f>
        <v>13200</v>
      </c>
      <c r="C2391" s="1">
        <f>IFERROR(__xludf.DUMMYFUNCTION("""COMPUTED_VALUE"""),14300.0)</f>
        <v>14300</v>
      </c>
      <c r="D2391" s="1">
        <f>IFERROR(__xludf.DUMMYFUNCTION("""COMPUTED_VALUE"""),12950.0)</f>
        <v>12950</v>
      </c>
      <c r="E2391" s="1">
        <f>IFERROR(__xludf.DUMMYFUNCTION("""COMPUTED_VALUE"""),14050.0)</f>
        <v>14050</v>
      </c>
      <c r="F2391" s="1">
        <f>IFERROR(__xludf.DUMMYFUNCTION("""COMPUTED_VALUE"""),557119.0)</f>
        <v>557119</v>
      </c>
    </row>
    <row r="2392">
      <c r="A2392" s="2">
        <f>IFERROR(__xludf.DUMMYFUNCTION("""COMPUTED_VALUE"""),44466.64583333333)</f>
        <v>44466.64583</v>
      </c>
      <c r="B2392" s="1">
        <f>IFERROR(__xludf.DUMMYFUNCTION("""COMPUTED_VALUE"""),14550.0)</f>
        <v>14550</v>
      </c>
      <c r="C2392" s="1">
        <f>IFERROR(__xludf.DUMMYFUNCTION("""COMPUTED_VALUE"""),14950.0)</f>
        <v>14950</v>
      </c>
      <c r="D2392" s="1">
        <f>IFERROR(__xludf.DUMMYFUNCTION("""COMPUTED_VALUE"""),14400.0)</f>
        <v>14400</v>
      </c>
      <c r="E2392" s="1">
        <f>IFERROR(__xludf.DUMMYFUNCTION("""COMPUTED_VALUE"""),14500.0)</f>
        <v>14500</v>
      </c>
      <c r="F2392" s="1">
        <f>IFERROR(__xludf.DUMMYFUNCTION("""COMPUTED_VALUE"""),431000.0)</f>
        <v>431000</v>
      </c>
    </row>
    <row r="2393">
      <c r="A2393" s="2">
        <f>IFERROR(__xludf.DUMMYFUNCTION("""COMPUTED_VALUE"""),44467.64583333333)</f>
        <v>44467.64583</v>
      </c>
      <c r="B2393" s="1">
        <f>IFERROR(__xludf.DUMMYFUNCTION("""COMPUTED_VALUE"""),14150.0)</f>
        <v>14150</v>
      </c>
      <c r="C2393" s="1">
        <f>IFERROR(__xludf.DUMMYFUNCTION("""COMPUTED_VALUE"""),14700.0)</f>
        <v>14700</v>
      </c>
      <c r="D2393" s="1">
        <f>IFERROR(__xludf.DUMMYFUNCTION("""COMPUTED_VALUE"""),14100.0)</f>
        <v>14100</v>
      </c>
      <c r="E2393" s="1">
        <f>IFERROR(__xludf.DUMMYFUNCTION("""COMPUTED_VALUE"""),14350.0)</f>
        <v>14350</v>
      </c>
      <c r="F2393" s="1">
        <f>IFERROR(__xludf.DUMMYFUNCTION("""COMPUTED_VALUE"""),140329.0)</f>
        <v>140329</v>
      </c>
    </row>
    <row r="2394">
      <c r="A2394" s="2">
        <f>IFERROR(__xludf.DUMMYFUNCTION("""COMPUTED_VALUE"""),44468.64583333333)</f>
        <v>44468.64583</v>
      </c>
      <c r="B2394" s="1">
        <f>IFERROR(__xludf.DUMMYFUNCTION("""COMPUTED_VALUE"""),14000.0)</f>
        <v>14000</v>
      </c>
      <c r="C2394" s="1">
        <f>IFERROR(__xludf.DUMMYFUNCTION("""COMPUTED_VALUE"""),14300.0)</f>
        <v>14300</v>
      </c>
      <c r="D2394" s="1">
        <f>IFERROR(__xludf.DUMMYFUNCTION("""COMPUTED_VALUE"""),13700.0)</f>
        <v>13700</v>
      </c>
      <c r="E2394" s="1">
        <f>IFERROR(__xludf.DUMMYFUNCTION("""COMPUTED_VALUE"""),13900.0)</f>
        <v>13900</v>
      </c>
      <c r="F2394" s="1">
        <f>IFERROR(__xludf.DUMMYFUNCTION("""COMPUTED_VALUE"""),89651.0)</f>
        <v>89651</v>
      </c>
    </row>
    <row r="2395">
      <c r="A2395" s="2">
        <f>IFERROR(__xludf.DUMMYFUNCTION("""COMPUTED_VALUE"""),44469.64583333333)</f>
        <v>44469.64583</v>
      </c>
      <c r="B2395" s="1">
        <f>IFERROR(__xludf.DUMMYFUNCTION("""COMPUTED_VALUE"""),14700.0)</f>
        <v>14700</v>
      </c>
      <c r="C2395" s="1">
        <f>IFERROR(__xludf.DUMMYFUNCTION("""COMPUTED_VALUE"""),14900.0)</f>
        <v>14900</v>
      </c>
      <c r="D2395" s="1">
        <f>IFERROR(__xludf.DUMMYFUNCTION("""COMPUTED_VALUE"""),14100.0)</f>
        <v>14100</v>
      </c>
      <c r="E2395" s="1">
        <f>IFERROR(__xludf.DUMMYFUNCTION("""COMPUTED_VALUE"""),14200.0)</f>
        <v>14200</v>
      </c>
      <c r="F2395" s="1">
        <f>IFERROR(__xludf.DUMMYFUNCTION("""COMPUTED_VALUE"""),249211.0)</f>
        <v>249211</v>
      </c>
    </row>
    <row r="2396">
      <c r="A2396" s="2">
        <f>IFERROR(__xludf.DUMMYFUNCTION("""COMPUTED_VALUE"""),44470.64583333333)</f>
        <v>44470.64583</v>
      </c>
      <c r="B2396" s="1">
        <f>IFERROR(__xludf.DUMMYFUNCTION("""COMPUTED_VALUE"""),14000.0)</f>
        <v>14000</v>
      </c>
      <c r="C2396" s="1">
        <f>IFERROR(__xludf.DUMMYFUNCTION("""COMPUTED_VALUE"""),14350.0)</f>
        <v>14350</v>
      </c>
      <c r="D2396" s="1">
        <f>IFERROR(__xludf.DUMMYFUNCTION("""COMPUTED_VALUE"""),13950.0)</f>
        <v>13950</v>
      </c>
      <c r="E2396" s="1">
        <f>IFERROR(__xludf.DUMMYFUNCTION("""COMPUTED_VALUE"""),14250.0)</f>
        <v>14250</v>
      </c>
      <c r="F2396" s="1">
        <f>IFERROR(__xludf.DUMMYFUNCTION("""COMPUTED_VALUE"""),135528.0)</f>
        <v>135528</v>
      </c>
    </row>
    <row r="2397">
      <c r="A2397" s="2">
        <f>IFERROR(__xludf.DUMMYFUNCTION("""COMPUTED_VALUE"""),44474.64583333333)</f>
        <v>44474.64583</v>
      </c>
      <c r="B2397" s="1">
        <f>IFERROR(__xludf.DUMMYFUNCTION("""COMPUTED_VALUE"""),14450.0)</f>
        <v>14450</v>
      </c>
      <c r="C2397" s="1">
        <f>IFERROR(__xludf.DUMMYFUNCTION("""COMPUTED_VALUE"""),14450.0)</f>
        <v>14450</v>
      </c>
      <c r="D2397" s="1">
        <f>IFERROR(__xludf.DUMMYFUNCTION("""COMPUTED_VALUE"""),13200.0)</f>
        <v>13200</v>
      </c>
      <c r="E2397" s="1">
        <f>IFERROR(__xludf.DUMMYFUNCTION("""COMPUTED_VALUE"""),13500.0)</f>
        <v>13500</v>
      </c>
      <c r="F2397" s="1">
        <f>IFERROR(__xludf.DUMMYFUNCTION("""COMPUTED_VALUE"""),271905.0)</f>
        <v>271905</v>
      </c>
    </row>
    <row r="2398">
      <c r="A2398" s="2">
        <f>IFERROR(__xludf.DUMMYFUNCTION("""COMPUTED_VALUE"""),44475.64583333333)</f>
        <v>44475.64583</v>
      </c>
      <c r="B2398" s="1">
        <f>IFERROR(__xludf.DUMMYFUNCTION("""COMPUTED_VALUE"""),13500.0)</f>
        <v>13500</v>
      </c>
      <c r="C2398" s="1">
        <f>IFERROR(__xludf.DUMMYFUNCTION("""COMPUTED_VALUE"""),13700.0)</f>
        <v>13700</v>
      </c>
      <c r="D2398" s="1">
        <f>IFERROR(__xludf.DUMMYFUNCTION("""COMPUTED_VALUE"""),12650.0)</f>
        <v>12650</v>
      </c>
      <c r="E2398" s="1">
        <f>IFERROR(__xludf.DUMMYFUNCTION("""COMPUTED_VALUE"""),12650.0)</f>
        <v>12650</v>
      </c>
      <c r="F2398" s="1">
        <f>IFERROR(__xludf.DUMMYFUNCTION("""COMPUTED_VALUE"""),173706.0)</f>
        <v>173706</v>
      </c>
    </row>
    <row r="2399">
      <c r="A2399" s="2">
        <f>IFERROR(__xludf.DUMMYFUNCTION("""COMPUTED_VALUE"""),44476.64583333333)</f>
        <v>44476.64583</v>
      </c>
      <c r="B2399" s="1">
        <f>IFERROR(__xludf.DUMMYFUNCTION("""COMPUTED_VALUE"""),12650.0)</f>
        <v>12650</v>
      </c>
      <c r="C2399" s="1">
        <f>IFERROR(__xludf.DUMMYFUNCTION("""COMPUTED_VALUE"""),13050.0)</f>
        <v>13050</v>
      </c>
      <c r="D2399" s="1">
        <f>IFERROR(__xludf.DUMMYFUNCTION("""COMPUTED_VALUE"""),12600.0)</f>
        <v>12600</v>
      </c>
      <c r="E2399" s="1">
        <f>IFERROR(__xludf.DUMMYFUNCTION("""COMPUTED_VALUE"""),13000.0)</f>
        <v>13000</v>
      </c>
      <c r="F2399" s="1">
        <f>IFERROR(__xludf.DUMMYFUNCTION("""COMPUTED_VALUE"""),77805.0)</f>
        <v>77805</v>
      </c>
    </row>
    <row r="2400">
      <c r="A2400" s="2">
        <f>IFERROR(__xludf.DUMMYFUNCTION("""COMPUTED_VALUE"""),44477.64583333333)</f>
        <v>44477.64583</v>
      </c>
      <c r="B2400" s="1">
        <f>IFERROR(__xludf.DUMMYFUNCTION("""COMPUTED_VALUE"""),12950.0)</f>
        <v>12950</v>
      </c>
      <c r="C2400" s="1">
        <f>IFERROR(__xludf.DUMMYFUNCTION("""COMPUTED_VALUE"""),13100.0)</f>
        <v>13100</v>
      </c>
      <c r="D2400" s="1">
        <f>IFERROR(__xludf.DUMMYFUNCTION("""COMPUTED_VALUE"""),12800.0)</f>
        <v>12800</v>
      </c>
      <c r="E2400" s="1">
        <f>IFERROR(__xludf.DUMMYFUNCTION("""COMPUTED_VALUE"""),13050.0)</f>
        <v>13050</v>
      </c>
      <c r="F2400" s="1">
        <f>IFERROR(__xludf.DUMMYFUNCTION("""COMPUTED_VALUE"""),61064.0)</f>
        <v>61064</v>
      </c>
    </row>
    <row r="2401">
      <c r="A2401" s="2">
        <f>IFERROR(__xludf.DUMMYFUNCTION("""COMPUTED_VALUE"""),44481.64583333333)</f>
        <v>44481.64583</v>
      </c>
      <c r="B2401" s="1">
        <f>IFERROR(__xludf.DUMMYFUNCTION("""COMPUTED_VALUE"""),12950.0)</f>
        <v>12950</v>
      </c>
      <c r="C2401" s="1">
        <f>IFERROR(__xludf.DUMMYFUNCTION("""COMPUTED_VALUE"""),13400.0)</f>
        <v>13400</v>
      </c>
      <c r="D2401" s="1">
        <f>IFERROR(__xludf.DUMMYFUNCTION("""COMPUTED_VALUE"""),12800.0)</f>
        <v>12800</v>
      </c>
      <c r="E2401" s="1">
        <f>IFERROR(__xludf.DUMMYFUNCTION("""COMPUTED_VALUE"""),13050.0)</f>
        <v>13050</v>
      </c>
      <c r="F2401" s="1">
        <f>IFERROR(__xludf.DUMMYFUNCTION("""COMPUTED_VALUE"""),93592.0)</f>
        <v>93592</v>
      </c>
    </row>
    <row r="2402">
      <c r="A2402" s="2">
        <f>IFERROR(__xludf.DUMMYFUNCTION("""COMPUTED_VALUE"""),44482.64583333333)</f>
        <v>44482.64583</v>
      </c>
      <c r="B2402" s="1">
        <f>IFERROR(__xludf.DUMMYFUNCTION("""COMPUTED_VALUE"""),13050.0)</f>
        <v>13050</v>
      </c>
      <c r="C2402" s="1">
        <f>IFERROR(__xludf.DUMMYFUNCTION("""COMPUTED_VALUE"""),13550.0)</f>
        <v>13550</v>
      </c>
      <c r="D2402" s="1">
        <f>IFERROR(__xludf.DUMMYFUNCTION("""COMPUTED_VALUE"""),13050.0)</f>
        <v>13050</v>
      </c>
      <c r="E2402" s="1">
        <f>IFERROR(__xludf.DUMMYFUNCTION("""COMPUTED_VALUE"""),13300.0)</f>
        <v>13300</v>
      </c>
      <c r="F2402" s="1">
        <f>IFERROR(__xludf.DUMMYFUNCTION("""COMPUTED_VALUE"""),86756.0)</f>
        <v>86756</v>
      </c>
    </row>
    <row r="2403">
      <c r="A2403" s="2">
        <f>IFERROR(__xludf.DUMMYFUNCTION("""COMPUTED_VALUE"""),44483.64583333333)</f>
        <v>44483.64583</v>
      </c>
      <c r="B2403" s="1">
        <f>IFERROR(__xludf.DUMMYFUNCTION("""COMPUTED_VALUE"""),13400.0)</f>
        <v>13400</v>
      </c>
      <c r="C2403" s="1">
        <f>IFERROR(__xludf.DUMMYFUNCTION("""COMPUTED_VALUE"""),13600.0)</f>
        <v>13600</v>
      </c>
      <c r="D2403" s="1">
        <f>IFERROR(__xludf.DUMMYFUNCTION("""COMPUTED_VALUE"""),13200.0)</f>
        <v>13200</v>
      </c>
      <c r="E2403" s="1">
        <f>IFERROR(__xludf.DUMMYFUNCTION("""COMPUTED_VALUE"""),13500.0)</f>
        <v>13500</v>
      </c>
      <c r="F2403" s="1">
        <f>IFERROR(__xludf.DUMMYFUNCTION("""COMPUTED_VALUE"""),108237.0)</f>
        <v>108237</v>
      </c>
    </row>
    <row r="2404">
      <c r="A2404" s="2">
        <f>IFERROR(__xludf.DUMMYFUNCTION("""COMPUTED_VALUE"""),44484.64583333333)</f>
        <v>44484.64583</v>
      </c>
      <c r="B2404" s="1">
        <f>IFERROR(__xludf.DUMMYFUNCTION("""COMPUTED_VALUE"""),13650.0)</f>
        <v>13650</v>
      </c>
      <c r="C2404" s="1">
        <f>IFERROR(__xludf.DUMMYFUNCTION("""COMPUTED_VALUE"""),13850.0)</f>
        <v>13850</v>
      </c>
      <c r="D2404" s="1">
        <f>IFERROR(__xludf.DUMMYFUNCTION("""COMPUTED_VALUE"""),13350.0)</f>
        <v>13350</v>
      </c>
      <c r="E2404" s="1">
        <f>IFERROR(__xludf.DUMMYFUNCTION("""COMPUTED_VALUE"""),13700.0)</f>
        <v>13700</v>
      </c>
      <c r="F2404" s="1">
        <f>IFERROR(__xludf.DUMMYFUNCTION("""COMPUTED_VALUE"""),143409.0)</f>
        <v>143409</v>
      </c>
    </row>
    <row r="2405">
      <c r="A2405" s="2">
        <f>IFERROR(__xludf.DUMMYFUNCTION("""COMPUTED_VALUE"""),44487.64583333333)</f>
        <v>44487.64583</v>
      </c>
      <c r="B2405" s="1">
        <f>IFERROR(__xludf.DUMMYFUNCTION("""COMPUTED_VALUE"""),13650.0)</f>
        <v>13650</v>
      </c>
      <c r="C2405" s="1">
        <f>IFERROR(__xludf.DUMMYFUNCTION("""COMPUTED_VALUE"""),13700.0)</f>
        <v>13700</v>
      </c>
      <c r="D2405" s="1">
        <f>IFERROR(__xludf.DUMMYFUNCTION("""COMPUTED_VALUE"""),13300.0)</f>
        <v>13300</v>
      </c>
      <c r="E2405" s="1">
        <f>IFERROR(__xludf.DUMMYFUNCTION("""COMPUTED_VALUE"""),13600.0)</f>
        <v>13600</v>
      </c>
      <c r="F2405" s="1">
        <f>IFERROR(__xludf.DUMMYFUNCTION("""COMPUTED_VALUE"""),99761.0)</f>
        <v>99761</v>
      </c>
    </row>
    <row r="2406">
      <c r="A2406" s="2">
        <f>IFERROR(__xludf.DUMMYFUNCTION("""COMPUTED_VALUE"""),44488.64583333333)</f>
        <v>44488.64583</v>
      </c>
      <c r="B2406" s="1">
        <f>IFERROR(__xludf.DUMMYFUNCTION("""COMPUTED_VALUE"""),13800.0)</f>
        <v>13800</v>
      </c>
      <c r="C2406" s="1">
        <f>IFERROR(__xludf.DUMMYFUNCTION("""COMPUTED_VALUE"""),13900.0)</f>
        <v>13900</v>
      </c>
      <c r="D2406" s="1">
        <f>IFERROR(__xludf.DUMMYFUNCTION("""COMPUTED_VALUE"""),13500.0)</f>
        <v>13500</v>
      </c>
      <c r="E2406" s="1">
        <f>IFERROR(__xludf.DUMMYFUNCTION("""COMPUTED_VALUE"""),13700.0)</f>
        <v>13700</v>
      </c>
      <c r="F2406" s="1">
        <f>IFERROR(__xludf.DUMMYFUNCTION("""COMPUTED_VALUE"""),92635.0)</f>
        <v>92635</v>
      </c>
    </row>
    <row r="2407">
      <c r="A2407" s="2">
        <f>IFERROR(__xludf.DUMMYFUNCTION("""COMPUTED_VALUE"""),44489.64583333333)</f>
        <v>44489.64583</v>
      </c>
      <c r="B2407" s="1">
        <f>IFERROR(__xludf.DUMMYFUNCTION("""COMPUTED_VALUE"""),13550.0)</f>
        <v>13550</v>
      </c>
      <c r="C2407" s="1">
        <f>IFERROR(__xludf.DUMMYFUNCTION("""COMPUTED_VALUE"""),14400.0)</f>
        <v>14400</v>
      </c>
      <c r="D2407" s="1">
        <f>IFERROR(__xludf.DUMMYFUNCTION("""COMPUTED_VALUE"""),13500.0)</f>
        <v>13500</v>
      </c>
      <c r="E2407" s="1">
        <f>IFERROR(__xludf.DUMMYFUNCTION("""COMPUTED_VALUE"""),14250.0)</f>
        <v>14250</v>
      </c>
      <c r="F2407" s="1">
        <f>IFERROR(__xludf.DUMMYFUNCTION("""COMPUTED_VALUE"""),576027.0)</f>
        <v>576027</v>
      </c>
    </row>
    <row r="2408">
      <c r="A2408" s="2">
        <f>IFERROR(__xludf.DUMMYFUNCTION("""COMPUTED_VALUE"""),44490.64583333333)</f>
        <v>44490.64583</v>
      </c>
      <c r="B2408" s="1">
        <f>IFERROR(__xludf.DUMMYFUNCTION("""COMPUTED_VALUE"""),14150.0)</f>
        <v>14150</v>
      </c>
      <c r="C2408" s="1">
        <f>IFERROR(__xludf.DUMMYFUNCTION("""COMPUTED_VALUE"""),14200.0)</f>
        <v>14200</v>
      </c>
      <c r="D2408" s="1">
        <f>IFERROR(__xludf.DUMMYFUNCTION("""COMPUTED_VALUE"""),13700.0)</f>
        <v>13700</v>
      </c>
      <c r="E2408" s="1">
        <f>IFERROR(__xludf.DUMMYFUNCTION("""COMPUTED_VALUE"""),13800.0)</f>
        <v>13800</v>
      </c>
      <c r="F2408" s="1">
        <f>IFERROR(__xludf.DUMMYFUNCTION("""COMPUTED_VALUE"""),130736.0)</f>
        <v>130736</v>
      </c>
    </row>
    <row r="2409">
      <c r="A2409" s="2">
        <f>IFERROR(__xludf.DUMMYFUNCTION("""COMPUTED_VALUE"""),44491.64583333333)</f>
        <v>44491.64583</v>
      </c>
      <c r="B2409" s="1">
        <f>IFERROR(__xludf.DUMMYFUNCTION("""COMPUTED_VALUE"""),13750.0)</f>
        <v>13750</v>
      </c>
      <c r="C2409" s="1">
        <f>IFERROR(__xludf.DUMMYFUNCTION("""COMPUTED_VALUE"""),14200.0)</f>
        <v>14200</v>
      </c>
      <c r="D2409" s="1">
        <f>IFERROR(__xludf.DUMMYFUNCTION("""COMPUTED_VALUE"""),13700.0)</f>
        <v>13700</v>
      </c>
      <c r="E2409" s="1">
        <f>IFERROR(__xludf.DUMMYFUNCTION("""COMPUTED_VALUE"""),13950.0)</f>
        <v>13950</v>
      </c>
      <c r="F2409" s="1">
        <f>IFERROR(__xludf.DUMMYFUNCTION("""COMPUTED_VALUE"""),143554.0)</f>
        <v>143554</v>
      </c>
    </row>
    <row r="2410">
      <c r="A2410" s="2">
        <f>IFERROR(__xludf.DUMMYFUNCTION("""COMPUTED_VALUE"""),44494.64583333333)</f>
        <v>44494.64583</v>
      </c>
      <c r="B2410" s="1">
        <f>IFERROR(__xludf.DUMMYFUNCTION("""COMPUTED_VALUE"""),13700.0)</f>
        <v>13700</v>
      </c>
      <c r="C2410" s="1">
        <f>IFERROR(__xludf.DUMMYFUNCTION("""COMPUTED_VALUE"""),13800.0)</f>
        <v>13800</v>
      </c>
      <c r="D2410" s="1">
        <f>IFERROR(__xludf.DUMMYFUNCTION("""COMPUTED_VALUE"""),13450.0)</f>
        <v>13450</v>
      </c>
      <c r="E2410" s="1">
        <f>IFERROR(__xludf.DUMMYFUNCTION("""COMPUTED_VALUE"""),13700.0)</f>
        <v>13700</v>
      </c>
      <c r="F2410" s="1">
        <f>IFERROR(__xludf.DUMMYFUNCTION("""COMPUTED_VALUE"""),90014.0)</f>
        <v>90014</v>
      </c>
    </row>
    <row r="2411">
      <c r="A2411" s="2">
        <f>IFERROR(__xludf.DUMMYFUNCTION("""COMPUTED_VALUE"""),44495.64583333333)</f>
        <v>44495.64583</v>
      </c>
      <c r="B2411" s="1">
        <f>IFERROR(__xludf.DUMMYFUNCTION("""COMPUTED_VALUE"""),13800.0)</f>
        <v>13800</v>
      </c>
      <c r="C2411" s="1">
        <f>IFERROR(__xludf.DUMMYFUNCTION("""COMPUTED_VALUE"""),13950.0)</f>
        <v>13950</v>
      </c>
      <c r="D2411" s="1">
        <f>IFERROR(__xludf.DUMMYFUNCTION("""COMPUTED_VALUE"""),13650.0)</f>
        <v>13650</v>
      </c>
      <c r="E2411" s="1">
        <f>IFERROR(__xludf.DUMMYFUNCTION("""COMPUTED_VALUE"""),13700.0)</f>
        <v>13700</v>
      </c>
      <c r="F2411" s="1">
        <f>IFERROR(__xludf.DUMMYFUNCTION("""COMPUTED_VALUE"""),80312.0)</f>
        <v>80312</v>
      </c>
    </row>
    <row r="2412">
      <c r="A2412" s="2">
        <f>IFERROR(__xludf.DUMMYFUNCTION("""COMPUTED_VALUE"""),44496.64583333333)</f>
        <v>44496.64583</v>
      </c>
      <c r="B2412" s="1">
        <f>IFERROR(__xludf.DUMMYFUNCTION("""COMPUTED_VALUE"""),13700.0)</f>
        <v>13700</v>
      </c>
      <c r="C2412" s="1">
        <f>IFERROR(__xludf.DUMMYFUNCTION("""COMPUTED_VALUE"""),13750.0)</f>
        <v>13750</v>
      </c>
      <c r="D2412" s="1">
        <f>IFERROR(__xludf.DUMMYFUNCTION("""COMPUTED_VALUE"""),13450.0)</f>
        <v>13450</v>
      </c>
      <c r="E2412" s="1">
        <f>IFERROR(__xludf.DUMMYFUNCTION("""COMPUTED_VALUE"""),13500.0)</f>
        <v>13500</v>
      </c>
      <c r="F2412" s="1">
        <f>IFERROR(__xludf.DUMMYFUNCTION("""COMPUTED_VALUE"""),56295.0)</f>
        <v>56295</v>
      </c>
    </row>
    <row r="2413">
      <c r="A2413" s="2">
        <f>IFERROR(__xludf.DUMMYFUNCTION("""COMPUTED_VALUE"""),44497.64583333333)</f>
        <v>44497.64583</v>
      </c>
      <c r="B2413" s="1">
        <f>IFERROR(__xludf.DUMMYFUNCTION("""COMPUTED_VALUE"""),13450.0)</f>
        <v>13450</v>
      </c>
      <c r="C2413" s="1">
        <f>IFERROR(__xludf.DUMMYFUNCTION("""COMPUTED_VALUE"""),13750.0)</f>
        <v>13750</v>
      </c>
      <c r="D2413" s="1">
        <f>IFERROR(__xludf.DUMMYFUNCTION("""COMPUTED_VALUE"""),13350.0)</f>
        <v>13350</v>
      </c>
      <c r="E2413" s="1">
        <f>IFERROR(__xludf.DUMMYFUNCTION("""COMPUTED_VALUE"""),13500.0)</f>
        <v>13500</v>
      </c>
      <c r="F2413" s="1">
        <f>IFERROR(__xludf.DUMMYFUNCTION("""COMPUTED_VALUE"""),86264.0)</f>
        <v>86264</v>
      </c>
    </row>
    <row r="2414">
      <c r="A2414" s="2">
        <f>IFERROR(__xludf.DUMMYFUNCTION("""COMPUTED_VALUE"""),44498.64583333333)</f>
        <v>44498.64583</v>
      </c>
      <c r="B2414" s="1">
        <f>IFERROR(__xludf.DUMMYFUNCTION("""COMPUTED_VALUE"""),13500.0)</f>
        <v>13500</v>
      </c>
      <c r="C2414" s="1">
        <f>IFERROR(__xludf.DUMMYFUNCTION("""COMPUTED_VALUE"""),13550.0)</f>
        <v>13550</v>
      </c>
      <c r="D2414" s="1">
        <f>IFERROR(__xludf.DUMMYFUNCTION("""COMPUTED_VALUE"""),13150.0)</f>
        <v>13150</v>
      </c>
      <c r="E2414" s="1">
        <f>IFERROR(__xludf.DUMMYFUNCTION("""COMPUTED_VALUE"""),13250.0)</f>
        <v>13250</v>
      </c>
      <c r="F2414" s="1">
        <f>IFERROR(__xludf.DUMMYFUNCTION("""COMPUTED_VALUE"""),74348.0)</f>
        <v>74348</v>
      </c>
    </row>
    <row r="2415">
      <c r="A2415" s="2">
        <f>IFERROR(__xludf.DUMMYFUNCTION("""COMPUTED_VALUE"""),44501.64583333333)</f>
        <v>44501.64583</v>
      </c>
      <c r="B2415" s="1">
        <f>IFERROR(__xludf.DUMMYFUNCTION("""COMPUTED_VALUE"""),13250.0)</f>
        <v>13250</v>
      </c>
      <c r="C2415" s="1">
        <f>IFERROR(__xludf.DUMMYFUNCTION("""COMPUTED_VALUE"""),13300.0)</f>
        <v>13300</v>
      </c>
      <c r="D2415" s="1">
        <f>IFERROR(__xludf.DUMMYFUNCTION("""COMPUTED_VALUE"""),12850.0)</f>
        <v>12850</v>
      </c>
      <c r="E2415" s="1">
        <f>IFERROR(__xludf.DUMMYFUNCTION("""COMPUTED_VALUE"""),13000.0)</f>
        <v>13000</v>
      </c>
      <c r="F2415" s="1">
        <f>IFERROR(__xludf.DUMMYFUNCTION("""COMPUTED_VALUE"""),121942.0)</f>
        <v>121942</v>
      </c>
    </row>
    <row r="2416">
      <c r="A2416" s="2">
        <f>IFERROR(__xludf.DUMMYFUNCTION("""COMPUTED_VALUE"""),44502.64583333333)</f>
        <v>44502.64583</v>
      </c>
      <c r="B2416" s="1">
        <f>IFERROR(__xludf.DUMMYFUNCTION("""COMPUTED_VALUE"""),12900.0)</f>
        <v>12900</v>
      </c>
      <c r="C2416" s="1">
        <f>IFERROR(__xludf.DUMMYFUNCTION("""COMPUTED_VALUE"""),13150.0)</f>
        <v>13150</v>
      </c>
      <c r="D2416" s="1">
        <f>IFERROR(__xludf.DUMMYFUNCTION("""COMPUTED_VALUE"""),12900.0)</f>
        <v>12900</v>
      </c>
      <c r="E2416" s="1">
        <f>IFERROR(__xludf.DUMMYFUNCTION("""COMPUTED_VALUE"""),13150.0)</f>
        <v>13150</v>
      </c>
      <c r="F2416" s="1">
        <f>IFERROR(__xludf.DUMMYFUNCTION("""COMPUTED_VALUE"""),45794.0)</f>
        <v>45794</v>
      </c>
    </row>
    <row r="2417">
      <c r="A2417" s="2">
        <f>IFERROR(__xludf.DUMMYFUNCTION("""COMPUTED_VALUE"""),44503.64583333333)</f>
        <v>44503.64583</v>
      </c>
      <c r="B2417" s="1">
        <f>IFERROR(__xludf.DUMMYFUNCTION("""COMPUTED_VALUE"""),13200.0)</f>
        <v>13200</v>
      </c>
      <c r="C2417" s="1">
        <f>IFERROR(__xludf.DUMMYFUNCTION("""COMPUTED_VALUE"""),13450.0)</f>
        <v>13450</v>
      </c>
      <c r="D2417" s="1">
        <f>IFERROR(__xludf.DUMMYFUNCTION("""COMPUTED_VALUE"""),13050.0)</f>
        <v>13050</v>
      </c>
      <c r="E2417" s="1">
        <f>IFERROR(__xludf.DUMMYFUNCTION("""COMPUTED_VALUE"""),13300.0)</f>
        <v>13300</v>
      </c>
      <c r="F2417" s="1">
        <f>IFERROR(__xludf.DUMMYFUNCTION("""COMPUTED_VALUE"""),101305.0)</f>
        <v>101305</v>
      </c>
    </row>
    <row r="2418">
      <c r="A2418" s="2">
        <f>IFERROR(__xludf.DUMMYFUNCTION("""COMPUTED_VALUE"""),44504.64583333333)</f>
        <v>44504.64583</v>
      </c>
      <c r="B2418" s="1">
        <f>IFERROR(__xludf.DUMMYFUNCTION("""COMPUTED_VALUE"""),13450.0)</f>
        <v>13450</v>
      </c>
      <c r="C2418" s="1">
        <f>IFERROR(__xludf.DUMMYFUNCTION("""COMPUTED_VALUE"""),14450.0)</f>
        <v>14450</v>
      </c>
      <c r="D2418" s="1">
        <f>IFERROR(__xludf.DUMMYFUNCTION("""COMPUTED_VALUE"""),13400.0)</f>
        <v>13400</v>
      </c>
      <c r="E2418" s="1">
        <f>IFERROR(__xludf.DUMMYFUNCTION("""COMPUTED_VALUE"""),13750.0)</f>
        <v>13750</v>
      </c>
      <c r="F2418" s="1">
        <f>IFERROR(__xludf.DUMMYFUNCTION("""COMPUTED_VALUE"""),829010.0)</f>
        <v>829010</v>
      </c>
    </row>
    <row r="2419">
      <c r="A2419" s="2">
        <f>IFERROR(__xludf.DUMMYFUNCTION("""COMPUTED_VALUE"""),44505.64583333333)</f>
        <v>44505.64583</v>
      </c>
      <c r="B2419" s="1">
        <f>IFERROR(__xludf.DUMMYFUNCTION("""COMPUTED_VALUE"""),13850.0)</f>
        <v>13850</v>
      </c>
      <c r="C2419" s="1">
        <f>IFERROR(__xludf.DUMMYFUNCTION("""COMPUTED_VALUE"""),13950.0)</f>
        <v>13950</v>
      </c>
      <c r="D2419" s="1">
        <f>IFERROR(__xludf.DUMMYFUNCTION("""COMPUTED_VALUE"""),13050.0)</f>
        <v>13050</v>
      </c>
      <c r="E2419" s="1">
        <f>IFERROR(__xludf.DUMMYFUNCTION("""COMPUTED_VALUE"""),13100.0)</f>
        <v>13100</v>
      </c>
      <c r="F2419" s="1">
        <f>IFERROR(__xludf.DUMMYFUNCTION("""COMPUTED_VALUE"""),221482.0)</f>
        <v>221482</v>
      </c>
    </row>
    <row r="2420">
      <c r="A2420" s="2">
        <f>IFERROR(__xludf.DUMMYFUNCTION("""COMPUTED_VALUE"""),44508.64583333333)</f>
        <v>44508.64583</v>
      </c>
      <c r="B2420" s="1">
        <f>IFERROR(__xludf.DUMMYFUNCTION("""COMPUTED_VALUE"""),13150.0)</f>
        <v>13150</v>
      </c>
      <c r="C2420" s="1">
        <f>IFERROR(__xludf.DUMMYFUNCTION("""COMPUTED_VALUE"""),13450.0)</f>
        <v>13450</v>
      </c>
      <c r="D2420" s="1">
        <f>IFERROR(__xludf.DUMMYFUNCTION("""COMPUTED_VALUE"""),13000.0)</f>
        <v>13000</v>
      </c>
      <c r="E2420" s="1">
        <f>IFERROR(__xludf.DUMMYFUNCTION("""COMPUTED_VALUE"""),13150.0)</f>
        <v>13150</v>
      </c>
      <c r="F2420" s="1">
        <f>IFERROR(__xludf.DUMMYFUNCTION("""COMPUTED_VALUE"""),102340.0)</f>
        <v>102340</v>
      </c>
    </row>
    <row r="2421">
      <c r="A2421" s="2">
        <f>IFERROR(__xludf.DUMMYFUNCTION("""COMPUTED_VALUE"""),44509.64583333333)</f>
        <v>44509.64583</v>
      </c>
      <c r="B2421" s="1">
        <f>IFERROR(__xludf.DUMMYFUNCTION("""COMPUTED_VALUE"""),13350.0)</f>
        <v>13350</v>
      </c>
      <c r="C2421" s="1">
        <f>IFERROR(__xludf.DUMMYFUNCTION("""COMPUTED_VALUE"""),13500.0)</f>
        <v>13500</v>
      </c>
      <c r="D2421" s="1">
        <f>IFERROR(__xludf.DUMMYFUNCTION("""COMPUTED_VALUE"""),12900.0)</f>
        <v>12900</v>
      </c>
      <c r="E2421" s="1">
        <f>IFERROR(__xludf.DUMMYFUNCTION("""COMPUTED_VALUE"""),12950.0)</f>
        <v>12950</v>
      </c>
      <c r="F2421" s="1">
        <f>IFERROR(__xludf.DUMMYFUNCTION("""COMPUTED_VALUE"""),113018.0)</f>
        <v>113018</v>
      </c>
    </row>
    <row r="2422">
      <c r="A2422" s="2">
        <f>IFERROR(__xludf.DUMMYFUNCTION("""COMPUTED_VALUE"""),44510.64583333333)</f>
        <v>44510.64583</v>
      </c>
      <c r="B2422" s="1">
        <f>IFERROR(__xludf.DUMMYFUNCTION("""COMPUTED_VALUE"""),12950.0)</f>
        <v>12950</v>
      </c>
      <c r="C2422" s="1">
        <f>IFERROR(__xludf.DUMMYFUNCTION("""COMPUTED_VALUE"""),13000.0)</f>
        <v>13000</v>
      </c>
      <c r="D2422" s="1">
        <f>IFERROR(__xludf.DUMMYFUNCTION("""COMPUTED_VALUE"""),12450.0)</f>
        <v>12450</v>
      </c>
      <c r="E2422" s="1">
        <f>IFERROR(__xludf.DUMMYFUNCTION("""COMPUTED_VALUE"""),12450.0)</f>
        <v>12450</v>
      </c>
      <c r="F2422" s="1">
        <f>IFERROR(__xludf.DUMMYFUNCTION("""COMPUTED_VALUE"""),126256.0)</f>
        <v>126256</v>
      </c>
    </row>
    <row r="2423">
      <c r="A2423" s="2">
        <f>IFERROR(__xludf.DUMMYFUNCTION("""COMPUTED_VALUE"""),44511.64583333333)</f>
        <v>44511.64583</v>
      </c>
      <c r="B2423" s="1">
        <f>IFERROR(__xludf.DUMMYFUNCTION("""COMPUTED_VALUE"""),12350.0)</f>
        <v>12350</v>
      </c>
      <c r="C2423" s="1">
        <f>IFERROR(__xludf.DUMMYFUNCTION("""COMPUTED_VALUE"""),12600.0)</f>
        <v>12600</v>
      </c>
      <c r="D2423" s="1">
        <f>IFERROR(__xludf.DUMMYFUNCTION("""COMPUTED_VALUE"""),12200.0)</f>
        <v>12200</v>
      </c>
      <c r="E2423" s="1">
        <f>IFERROR(__xludf.DUMMYFUNCTION("""COMPUTED_VALUE"""),12300.0)</f>
        <v>12300</v>
      </c>
      <c r="F2423" s="1">
        <f>IFERROR(__xludf.DUMMYFUNCTION("""COMPUTED_VALUE"""),73234.0)</f>
        <v>73234</v>
      </c>
    </row>
    <row r="2424">
      <c r="A2424" s="2">
        <f>IFERROR(__xludf.DUMMYFUNCTION("""COMPUTED_VALUE"""),44512.64583333333)</f>
        <v>44512.64583</v>
      </c>
      <c r="B2424" s="1">
        <f>IFERROR(__xludf.DUMMYFUNCTION("""COMPUTED_VALUE"""),12300.0)</f>
        <v>12300</v>
      </c>
      <c r="C2424" s="1">
        <f>IFERROR(__xludf.DUMMYFUNCTION("""COMPUTED_VALUE"""),12550.0)</f>
        <v>12550</v>
      </c>
      <c r="D2424" s="1">
        <f>IFERROR(__xludf.DUMMYFUNCTION("""COMPUTED_VALUE"""),12300.0)</f>
        <v>12300</v>
      </c>
      <c r="E2424" s="1">
        <f>IFERROR(__xludf.DUMMYFUNCTION("""COMPUTED_VALUE"""),12450.0)</f>
        <v>12450</v>
      </c>
      <c r="F2424" s="1">
        <f>IFERROR(__xludf.DUMMYFUNCTION("""COMPUTED_VALUE"""),51413.0)</f>
        <v>51413</v>
      </c>
    </row>
    <row r="2425">
      <c r="A2425" s="2">
        <f>IFERROR(__xludf.DUMMYFUNCTION("""COMPUTED_VALUE"""),44515.64583333333)</f>
        <v>44515.64583</v>
      </c>
      <c r="B2425" s="1">
        <f>IFERROR(__xludf.DUMMYFUNCTION("""COMPUTED_VALUE"""),12450.0)</f>
        <v>12450</v>
      </c>
      <c r="C2425" s="1">
        <f>IFERROR(__xludf.DUMMYFUNCTION("""COMPUTED_VALUE"""),12750.0)</f>
        <v>12750</v>
      </c>
      <c r="D2425" s="1">
        <f>IFERROR(__xludf.DUMMYFUNCTION("""COMPUTED_VALUE"""),12400.0)</f>
        <v>12400</v>
      </c>
      <c r="E2425" s="1">
        <f>IFERROR(__xludf.DUMMYFUNCTION("""COMPUTED_VALUE"""),12450.0)</f>
        <v>12450</v>
      </c>
      <c r="F2425" s="1">
        <f>IFERROR(__xludf.DUMMYFUNCTION("""COMPUTED_VALUE"""),81221.0)</f>
        <v>81221</v>
      </c>
    </row>
    <row r="2426">
      <c r="A2426" s="2">
        <f>IFERROR(__xludf.DUMMYFUNCTION("""COMPUTED_VALUE"""),44516.64583333333)</f>
        <v>44516.64583</v>
      </c>
      <c r="B2426" s="1">
        <f>IFERROR(__xludf.DUMMYFUNCTION("""COMPUTED_VALUE"""),12300.0)</f>
        <v>12300</v>
      </c>
      <c r="C2426" s="1">
        <f>IFERROR(__xludf.DUMMYFUNCTION("""COMPUTED_VALUE"""),12400.0)</f>
        <v>12400</v>
      </c>
      <c r="D2426" s="1">
        <f>IFERROR(__xludf.DUMMYFUNCTION("""COMPUTED_VALUE"""),12000.0)</f>
        <v>12000</v>
      </c>
      <c r="E2426" s="1">
        <f>IFERROR(__xludf.DUMMYFUNCTION("""COMPUTED_VALUE"""),12350.0)</f>
        <v>12350</v>
      </c>
      <c r="F2426" s="1">
        <f>IFERROR(__xludf.DUMMYFUNCTION("""COMPUTED_VALUE"""),149028.0)</f>
        <v>149028</v>
      </c>
    </row>
    <row r="2427">
      <c r="A2427" s="2">
        <f>IFERROR(__xludf.DUMMYFUNCTION("""COMPUTED_VALUE"""),44517.64583333333)</f>
        <v>44517.64583</v>
      </c>
      <c r="B2427" s="1">
        <f>IFERROR(__xludf.DUMMYFUNCTION("""COMPUTED_VALUE"""),12350.0)</f>
        <v>12350</v>
      </c>
      <c r="C2427" s="1">
        <f>IFERROR(__xludf.DUMMYFUNCTION("""COMPUTED_VALUE"""),12450.0)</f>
        <v>12450</v>
      </c>
      <c r="D2427" s="1">
        <f>IFERROR(__xludf.DUMMYFUNCTION("""COMPUTED_VALUE"""),12000.0)</f>
        <v>12000</v>
      </c>
      <c r="E2427" s="1">
        <f>IFERROR(__xludf.DUMMYFUNCTION("""COMPUTED_VALUE"""),12000.0)</f>
        <v>12000</v>
      </c>
      <c r="F2427" s="1">
        <f>IFERROR(__xludf.DUMMYFUNCTION("""COMPUTED_VALUE"""),62967.0)</f>
        <v>62967</v>
      </c>
    </row>
    <row r="2428">
      <c r="A2428" s="2">
        <f>IFERROR(__xludf.DUMMYFUNCTION("""COMPUTED_VALUE"""),44518.64583333333)</f>
        <v>44518.64583</v>
      </c>
      <c r="B2428" s="1">
        <f>IFERROR(__xludf.DUMMYFUNCTION("""COMPUTED_VALUE"""),12100.0)</f>
        <v>12100</v>
      </c>
      <c r="C2428" s="1">
        <f>IFERROR(__xludf.DUMMYFUNCTION("""COMPUTED_VALUE"""),12100.0)</f>
        <v>12100</v>
      </c>
      <c r="D2428" s="1">
        <f>IFERROR(__xludf.DUMMYFUNCTION("""COMPUTED_VALUE"""),11800.0)</f>
        <v>11800</v>
      </c>
      <c r="E2428" s="1">
        <f>IFERROR(__xludf.DUMMYFUNCTION("""COMPUTED_VALUE"""),11900.0)</f>
        <v>11900</v>
      </c>
      <c r="F2428" s="1">
        <f>IFERROR(__xludf.DUMMYFUNCTION("""COMPUTED_VALUE"""),39507.0)</f>
        <v>39507</v>
      </c>
    </row>
    <row r="2429">
      <c r="A2429" s="2">
        <f>IFERROR(__xludf.DUMMYFUNCTION("""COMPUTED_VALUE"""),44519.64583333333)</f>
        <v>44519.64583</v>
      </c>
      <c r="B2429" s="1">
        <f>IFERROR(__xludf.DUMMYFUNCTION("""COMPUTED_VALUE"""),11850.0)</f>
        <v>11850</v>
      </c>
      <c r="C2429" s="1">
        <f>IFERROR(__xludf.DUMMYFUNCTION("""COMPUTED_VALUE"""),12100.0)</f>
        <v>12100</v>
      </c>
      <c r="D2429" s="1">
        <f>IFERROR(__xludf.DUMMYFUNCTION("""COMPUTED_VALUE"""),11800.0)</f>
        <v>11800</v>
      </c>
      <c r="E2429" s="1">
        <f>IFERROR(__xludf.DUMMYFUNCTION("""COMPUTED_VALUE"""),11900.0)</f>
        <v>11900</v>
      </c>
      <c r="F2429" s="1">
        <f>IFERROR(__xludf.DUMMYFUNCTION("""COMPUTED_VALUE"""),35334.0)</f>
        <v>35334</v>
      </c>
    </row>
    <row r="2430">
      <c r="A2430" s="2">
        <f>IFERROR(__xludf.DUMMYFUNCTION("""COMPUTED_VALUE"""),44522.64583333333)</f>
        <v>44522.64583</v>
      </c>
      <c r="B2430" s="1">
        <f>IFERROR(__xludf.DUMMYFUNCTION("""COMPUTED_VALUE"""),11800.0)</f>
        <v>11800</v>
      </c>
      <c r="C2430" s="1">
        <f>IFERROR(__xludf.DUMMYFUNCTION("""COMPUTED_VALUE"""),11900.0)</f>
        <v>11900</v>
      </c>
      <c r="D2430" s="1">
        <f>IFERROR(__xludf.DUMMYFUNCTION("""COMPUTED_VALUE"""),11450.0)</f>
        <v>11450</v>
      </c>
      <c r="E2430" s="1">
        <f>IFERROR(__xludf.DUMMYFUNCTION("""COMPUTED_VALUE"""),11600.0)</f>
        <v>11600</v>
      </c>
      <c r="F2430" s="1">
        <f>IFERROR(__xludf.DUMMYFUNCTION("""COMPUTED_VALUE"""),77437.0)</f>
        <v>77437</v>
      </c>
    </row>
    <row r="2431">
      <c r="A2431" s="2">
        <f>IFERROR(__xludf.DUMMYFUNCTION("""COMPUTED_VALUE"""),44523.64583333333)</f>
        <v>44523.64583</v>
      </c>
      <c r="B2431" s="1">
        <f>IFERROR(__xludf.DUMMYFUNCTION("""COMPUTED_VALUE"""),11600.0)</f>
        <v>11600</v>
      </c>
      <c r="C2431" s="1">
        <f>IFERROR(__xludf.DUMMYFUNCTION("""COMPUTED_VALUE"""),11750.0)</f>
        <v>11750</v>
      </c>
      <c r="D2431" s="1">
        <f>IFERROR(__xludf.DUMMYFUNCTION("""COMPUTED_VALUE"""),11550.0)</f>
        <v>11550</v>
      </c>
      <c r="E2431" s="1">
        <f>IFERROR(__xludf.DUMMYFUNCTION("""COMPUTED_VALUE"""),11600.0)</f>
        <v>11600</v>
      </c>
      <c r="F2431" s="1">
        <f>IFERROR(__xludf.DUMMYFUNCTION("""COMPUTED_VALUE"""),23697.0)</f>
        <v>23697</v>
      </c>
    </row>
    <row r="2432">
      <c r="A2432" s="2">
        <f>IFERROR(__xludf.DUMMYFUNCTION("""COMPUTED_VALUE"""),44524.64583333333)</f>
        <v>44524.64583</v>
      </c>
      <c r="B2432" s="1">
        <f>IFERROR(__xludf.DUMMYFUNCTION("""COMPUTED_VALUE"""),11500.0)</f>
        <v>11500</v>
      </c>
      <c r="C2432" s="1">
        <f>IFERROR(__xludf.DUMMYFUNCTION("""COMPUTED_VALUE"""),11950.0)</f>
        <v>11950</v>
      </c>
      <c r="D2432" s="1">
        <f>IFERROR(__xludf.DUMMYFUNCTION("""COMPUTED_VALUE"""),11500.0)</f>
        <v>11500</v>
      </c>
      <c r="E2432" s="1">
        <f>IFERROR(__xludf.DUMMYFUNCTION("""COMPUTED_VALUE"""),11750.0)</f>
        <v>11750</v>
      </c>
      <c r="F2432" s="1">
        <f>IFERROR(__xludf.DUMMYFUNCTION("""COMPUTED_VALUE"""),37713.0)</f>
        <v>37713</v>
      </c>
    </row>
    <row r="2433">
      <c r="A2433" s="2">
        <f>IFERROR(__xludf.DUMMYFUNCTION("""COMPUTED_VALUE"""),44525.64583333333)</f>
        <v>44525.64583</v>
      </c>
      <c r="B2433" s="1">
        <f>IFERROR(__xludf.DUMMYFUNCTION("""COMPUTED_VALUE"""),11750.0)</f>
        <v>11750</v>
      </c>
      <c r="C2433" s="1">
        <f>IFERROR(__xludf.DUMMYFUNCTION("""COMPUTED_VALUE"""),11750.0)</f>
        <v>11750</v>
      </c>
      <c r="D2433" s="1">
        <f>IFERROR(__xludf.DUMMYFUNCTION("""COMPUTED_VALUE"""),11550.0)</f>
        <v>11550</v>
      </c>
      <c r="E2433" s="1">
        <f>IFERROR(__xludf.DUMMYFUNCTION("""COMPUTED_VALUE"""),11650.0)</f>
        <v>11650</v>
      </c>
      <c r="F2433" s="1">
        <f>IFERROR(__xludf.DUMMYFUNCTION("""COMPUTED_VALUE"""),32258.0)</f>
        <v>32258</v>
      </c>
    </row>
    <row r="2434">
      <c r="A2434" s="2">
        <f>IFERROR(__xludf.DUMMYFUNCTION("""COMPUTED_VALUE"""),44526.64583333333)</f>
        <v>44526.64583</v>
      </c>
      <c r="B2434" s="1">
        <f>IFERROR(__xludf.DUMMYFUNCTION("""COMPUTED_VALUE"""),11650.0)</f>
        <v>11650</v>
      </c>
      <c r="C2434" s="1">
        <f>IFERROR(__xludf.DUMMYFUNCTION("""COMPUTED_VALUE"""),11650.0)</f>
        <v>11650</v>
      </c>
      <c r="D2434" s="1">
        <f>IFERROR(__xludf.DUMMYFUNCTION("""COMPUTED_VALUE"""),11000.0)</f>
        <v>11000</v>
      </c>
      <c r="E2434" s="1">
        <f>IFERROR(__xludf.DUMMYFUNCTION("""COMPUTED_VALUE"""),11200.0)</f>
        <v>11200</v>
      </c>
      <c r="F2434" s="1">
        <f>IFERROR(__xludf.DUMMYFUNCTION("""COMPUTED_VALUE"""),71821.0)</f>
        <v>71821</v>
      </c>
    </row>
    <row r="2435">
      <c r="A2435" s="2">
        <f>IFERROR(__xludf.DUMMYFUNCTION("""COMPUTED_VALUE"""),44529.64583333333)</f>
        <v>44529.64583</v>
      </c>
      <c r="B2435" s="1">
        <f>IFERROR(__xludf.DUMMYFUNCTION("""COMPUTED_VALUE"""),10800.0)</f>
        <v>10800</v>
      </c>
      <c r="C2435" s="1">
        <f>IFERROR(__xludf.DUMMYFUNCTION("""COMPUTED_VALUE"""),11150.0)</f>
        <v>11150</v>
      </c>
      <c r="D2435" s="1">
        <f>IFERROR(__xludf.DUMMYFUNCTION("""COMPUTED_VALUE"""),10750.0)</f>
        <v>10750</v>
      </c>
      <c r="E2435" s="1">
        <f>IFERROR(__xludf.DUMMYFUNCTION("""COMPUTED_VALUE"""),10800.0)</f>
        <v>10800</v>
      </c>
      <c r="F2435" s="1">
        <f>IFERROR(__xludf.DUMMYFUNCTION("""COMPUTED_VALUE"""),70302.0)</f>
        <v>70302</v>
      </c>
    </row>
    <row r="2436">
      <c r="A2436" s="2">
        <f>IFERROR(__xludf.DUMMYFUNCTION("""COMPUTED_VALUE"""),44530.64583333333)</f>
        <v>44530.64583</v>
      </c>
      <c r="B2436" s="1">
        <f>IFERROR(__xludf.DUMMYFUNCTION("""COMPUTED_VALUE"""),10800.0)</f>
        <v>10800</v>
      </c>
      <c r="C2436" s="1">
        <f>IFERROR(__xludf.DUMMYFUNCTION("""COMPUTED_VALUE"""),11050.0)</f>
        <v>11050</v>
      </c>
      <c r="D2436" s="1">
        <f>IFERROR(__xludf.DUMMYFUNCTION("""COMPUTED_VALUE"""),10200.0)</f>
        <v>10200</v>
      </c>
      <c r="E2436" s="1">
        <f>IFERROR(__xludf.DUMMYFUNCTION("""COMPUTED_VALUE"""),10450.0)</f>
        <v>10450</v>
      </c>
      <c r="F2436" s="1">
        <f>IFERROR(__xludf.DUMMYFUNCTION("""COMPUTED_VALUE"""),103289.0)</f>
        <v>103289</v>
      </c>
    </row>
    <row r="2437">
      <c r="A2437" s="2">
        <f>IFERROR(__xludf.DUMMYFUNCTION("""COMPUTED_VALUE"""),44531.64583333333)</f>
        <v>44531.64583</v>
      </c>
      <c r="B2437" s="1">
        <f>IFERROR(__xludf.DUMMYFUNCTION("""COMPUTED_VALUE"""),10300.0)</f>
        <v>10300</v>
      </c>
      <c r="C2437" s="1">
        <f>IFERROR(__xludf.DUMMYFUNCTION("""COMPUTED_VALUE"""),11000.0)</f>
        <v>11000</v>
      </c>
      <c r="D2437" s="1">
        <f>IFERROR(__xludf.DUMMYFUNCTION("""COMPUTED_VALUE"""),10300.0)</f>
        <v>10300</v>
      </c>
      <c r="E2437" s="1">
        <f>IFERROR(__xludf.DUMMYFUNCTION("""COMPUTED_VALUE"""),10950.0)</f>
        <v>10950</v>
      </c>
      <c r="F2437" s="1">
        <f>IFERROR(__xludf.DUMMYFUNCTION("""COMPUTED_VALUE"""),79794.0)</f>
        <v>79794</v>
      </c>
    </row>
    <row r="2438">
      <c r="A2438" s="2">
        <f>IFERROR(__xludf.DUMMYFUNCTION("""COMPUTED_VALUE"""),44532.64583333333)</f>
        <v>44532.64583</v>
      </c>
      <c r="B2438" s="1">
        <f>IFERROR(__xludf.DUMMYFUNCTION("""COMPUTED_VALUE"""),10700.0)</f>
        <v>10700</v>
      </c>
      <c r="C2438" s="1">
        <f>IFERROR(__xludf.DUMMYFUNCTION("""COMPUTED_VALUE"""),11300.0)</f>
        <v>11300</v>
      </c>
      <c r="D2438" s="1">
        <f>IFERROR(__xludf.DUMMYFUNCTION("""COMPUTED_VALUE"""),10650.0)</f>
        <v>10650</v>
      </c>
      <c r="E2438" s="1">
        <f>IFERROR(__xludf.DUMMYFUNCTION("""COMPUTED_VALUE"""),11150.0)</f>
        <v>11150</v>
      </c>
      <c r="F2438" s="1">
        <f>IFERROR(__xludf.DUMMYFUNCTION("""COMPUTED_VALUE"""),45753.0)</f>
        <v>45753</v>
      </c>
    </row>
    <row r="2439">
      <c r="A2439" s="2">
        <f>IFERROR(__xludf.DUMMYFUNCTION("""COMPUTED_VALUE"""),44533.64583333333)</f>
        <v>44533.64583</v>
      </c>
      <c r="B2439" s="1">
        <f>IFERROR(__xludf.DUMMYFUNCTION("""COMPUTED_VALUE"""),11250.0)</f>
        <v>11250</v>
      </c>
      <c r="C2439" s="1">
        <f>IFERROR(__xludf.DUMMYFUNCTION("""COMPUTED_VALUE"""),11550.0)</f>
        <v>11550</v>
      </c>
      <c r="D2439" s="1">
        <f>IFERROR(__xludf.DUMMYFUNCTION("""COMPUTED_VALUE"""),11050.0)</f>
        <v>11050</v>
      </c>
      <c r="E2439" s="1">
        <f>IFERROR(__xludf.DUMMYFUNCTION("""COMPUTED_VALUE"""),11500.0)</f>
        <v>11500</v>
      </c>
      <c r="F2439" s="1">
        <f>IFERROR(__xludf.DUMMYFUNCTION("""COMPUTED_VALUE"""),65428.0)</f>
        <v>65428</v>
      </c>
    </row>
    <row r="2440">
      <c r="A2440" s="2">
        <f>IFERROR(__xludf.DUMMYFUNCTION("""COMPUTED_VALUE"""),44536.64583333333)</f>
        <v>44536.64583</v>
      </c>
      <c r="B2440" s="1">
        <f>IFERROR(__xludf.DUMMYFUNCTION("""COMPUTED_VALUE"""),11500.0)</f>
        <v>11500</v>
      </c>
      <c r="C2440" s="1">
        <f>IFERROR(__xludf.DUMMYFUNCTION("""COMPUTED_VALUE"""),11550.0)</f>
        <v>11550</v>
      </c>
      <c r="D2440" s="1">
        <f>IFERROR(__xludf.DUMMYFUNCTION("""COMPUTED_VALUE"""),11200.0)</f>
        <v>11200</v>
      </c>
      <c r="E2440" s="1">
        <f>IFERROR(__xludf.DUMMYFUNCTION("""COMPUTED_VALUE"""),11450.0)</f>
        <v>11450</v>
      </c>
      <c r="F2440" s="1">
        <f>IFERROR(__xludf.DUMMYFUNCTION("""COMPUTED_VALUE"""),18290.0)</f>
        <v>18290</v>
      </c>
    </row>
    <row r="2441">
      <c r="A2441" s="2">
        <f>IFERROR(__xludf.DUMMYFUNCTION("""COMPUTED_VALUE"""),44537.64583333333)</f>
        <v>44537.64583</v>
      </c>
      <c r="B2441" s="1">
        <f>IFERROR(__xludf.DUMMYFUNCTION("""COMPUTED_VALUE"""),11450.0)</f>
        <v>11450</v>
      </c>
      <c r="C2441" s="1">
        <f>IFERROR(__xludf.DUMMYFUNCTION("""COMPUTED_VALUE"""),11650.0)</f>
        <v>11650</v>
      </c>
      <c r="D2441" s="1">
        <f>IFERROR(__xludf.DUMMYFUNCTION("""COMPUTED_VALUE"""),11450.0)</f>
        <v>11450</v>
      </c>
      <c r="E2441" s="1">
        <f>IFERROR(__xludf.DUMMYFUNCTION("""COMPUTED_VALUE"""),11550.0)</f>
        <v>11550</v>
      </c>
      <c r="F2441" s="1">
        <f>IFERROR(__xludf.DUMMYFUNCTION("""COMPUTED_VALUE"""),34546.0)</f>
        <v>34546</v>
      </c>
    </row>
    <row r="2442">
      <c r="A2442" s="2">
        <f>IFERROR(__xludf.DUMMYFUNCTION("""COMPUTED_VALUE"""),44538.64583333333)</f>
        <v>44538.64583</v>
      </c>
      <c r="B2442" s="1">
        <f>IFERROR(__xludf.DUMMYFUNCTION("""COMPUTED_VALUE"""),11600.0)</f>
        <v>11600</v>
      </c>
      <c r="C2442" s="1">
        <f>IFERROR(__xludf.DUMMYFUNCTION("""COMPUTED_VALUE"""),11700.0)</f>
        <v>11700</v>
      </c>
      <c r="D2442" s="1">
        <f>IFERROR(__xludf.DUMMYFUNCTION("""COMPUTED_VALUE"""),11450.0)</f>
        <v>11450</v>
      </c>
      <c r="E2442" s="1">
        <f>IFERROR(__xludf.DUMMYFUNCTION("""COMPUTED_VALUE"""),11500.0)</f>
        <v>11500</v>
      </c>
      <c r="F2442" s="1">
        <f>IFERROR(__xludf.DUMMYFUNCTION("""COMPUTED_VALUE"""),27063.0)</f>
        <v>27063</v>
      </c>
    </row>
    <row r="2443">
      <c r="A2443" s="2">
        <f>IFERROR(__xludf.DUMMYFUNCTION("""COMPUTED_VALUE"""),44539.64583333333)</f>
        <v>44539.64583</v>
      </c>
      <c r="B2443" s="1">
        <f>IFERROR(__xludf.DUMMYFUNCTION("""COMPUTED_VALUE"""),11550.0)</f>
        <v>11550</v>
      </c>
      <c r="C2443" s="1">
        <f>IFERROR(__xludf.DUMMYFUNCTION("""COMPUTED_VALUE"""),11850.0)</f>
        <v>11850</v>
      </c>
      <c r="D2443" s="1">
        <f>IFERROR(__xludf.DUMMYFUNCTION("""COMPUTED_VALUE"""),11500.0)</f>
        <v>11500</v>
      </c>
      <c r="E2443" s="1">
        <f>IFERROR(__xludf.DUMMYFUNCTION("""COMPUTED_VALUE"""),11750.0)</f>
        <v>11750</v>
      </c>
      <c r="F2443" s="1">
        <f>IFERROR(__xludf.DUMMYFUNCTION("""COMPUTED_VALUE"""),17163.0)</f>
        <v>17163</v>
      </c>
    </row>
    <row r="2444">
      <c r="A2444" s="2">
        <f>IFERROR(__xludf.DUMMYFUNCTION("""COMPUTED_VALUE"""),44540.64583333333)</f>
        <v>44540.64583</v>
      </c>
      <c r="B2444" s="1">
        <f>IFERROR(__xludf.DUMMYFUNCTION("""COMPUTED_VALUE"""),11750.0)</f>
        <v>11750</v>
      </c>
      <c r="C2444" s="1">
        <f>IFERROR(__xludf.DUMMYFUNCTION("""COMPUTED_VALUE"""),11800.0)</f>
        <v>11800</v>
      </c>
      <c r="D2444" s="1">
        <f>IFERROR(__xludf.DUMMYFUNCTION("""COMPUTED_VALUE"""),11600.0)</f>
        <v>11600</v>
      </c>
      <c r="E2444" s="1">
        <f>IFERROR(__xludf.DUMMYFUNCTION("""COMPUTED_VALUE"""),11600.0)</f>
        <v>11600</v>
      </c>
      <c r="F2444" s="1">
        <f>IFERROR(__xludf.DUMMYFUNCTION("""COMPUTED_VALUE"""),16995.0)</f>
        <v>16995</v>
      </c>
    </row>
    <row r="2445">
      <c r="A2445" s="2">
        <f>IFERROR(__xludf.DUMMYFUNCTION("""COMPUTED_VALUE"""),44543.64583333333)</f>
        <v>44543.64583</v>
      </c>
      <c r="B2445" s="1">
        <f>IFERROR(__xludf.DUMMYFUNCTION("""COMPUTED_VALUE"""),11600.0)</f>
        <v>11600</v>
      </c>
      <c r="C2445" s="1">
        <f>IFERROR(__xludf.DUMMYFUNCTION("""COMPUTED_VALUE"""),11900.0)</f>
        <v>11900</v>
      </c>
      <c r="D2445" s="1">
        <f>IFERROR(__xludf.DUMMYFUNCTION("""COMPUTED_VALUE"""),11550.0)</f>
        <v>11550</v>
      </c>
      <c r="E2445" s="1">
        <f>IFERROR(__xludf.DUMMYFUNCTION("""COMPUTED_VALUE"""),11650.0)</f>
        <v>11650</v>
      </c>
      <c r="F2445" s="1">
        <f>IFERROR(__xludf.DUMMYFUNCTION("""COMPUTED_VALUE"""),20651.0)</f>
        <v>20651</v>
      </c>
    </row>
    <row r="2446">
      <c r="A2446" s="2">
        <f>IFERROR(__xludf.DUMMYFUNCTION("""COMPUTED_VALUE"""),44544.64583333333)</f>
        <v>44544.64583</v>
      </c>
      <c r="B2446" s="1">
        <f>IFERROR(__xludf.DUMMYFUNCTION("""COMPUTED_VALUE"""),11600.0)</f>
        <v>11600</v>
      </c>
      <c r="C2446" s="1">
        <f>IFERROR(__xludf.DUMMYFUNCTION("""COMPUTED_VALUE"""),11650.0)</f>
        <v>11650</v>
      </c>
      <c r="D2446" s="1">
        <f>IFERROR(__xludf.DUMMYFUNCTION("""COMPUTED_VALUE"""),11450.0)</f>
        <v>11450</v>
      </c>
      <c r="E2446" s="1">
        <f>IFERROR(__xludf.DUMMYFUNCTION("""COMPUTED_VALUE"""),11550.0)</f>
        <v>11550</v>
      </c>
      <c r="F2446" s="1">
        <f>IFERROR(__xludf.DUMMYFUNCTION("""COMPUTED_VALUE"""),19700.0)</f>
        <v>19700</v>
      </c>
    </row>
    <row r="2447">
      <c r="A2447" s="2">
        <f>IFERROR(__xludf.DUMMYFUNCTION("""COMPUTED_VALUE"""),44545.64583333333)</f>
        <v>44545.64583</v>
      </c>
      <c r="B2447" s="1">
        <f>IFERROR(__xludf.DUMMYFUNCTION("""COMPUTED_VALUE"""),11500.0)</f>
        <v>11500</v>
      </c>
      <c r="C2447" s="1">
        <f>IFERROR(__xludf.DUMMYFUNCTION("""COMPUTED_VALUE"""),11600.0)</f>
        <v>11600</v>
      </c>
      <c r="D2447" s="1">
        <f>IFERROR(__xludf.DUMMYFUNCTION("""COMPUTED_VALUE"""),11400.0)</f>
        <v>11400</v>
      </c>
      <c r="E2447" s="1">
        <f>IFERROR(__xludf.DUMMYFUNCTION("""COMPUTED_VALUE"""),11550.0)</f>
        <v>11550</v>
      </c>
      <c r="F2447" s="1">
        <f>IFERROR(__xludf.DUMMYFUNCTION("""COMPUTED_VALUE"""),14028.0)</f>
        <v>14028</v>
      </c>
    </row>
    <row r="2448">
      <c r="A2448" s="2">
        <f>IFERROR(__xludf.DUMMYFUNCTION("""COMPUTED_VALUE"""),44546.64583333333)</f>
        <v>44546.64583</v>
      </c>
      <c r="B2448" s="1">
        <f>IFERROR(__xludf.DUMMYFUNCTION("""COMPUTED_VALUE"""),11600.0)</f>
        <v>11600</v>
      </c>
      <c r="C2448" s="1">
        <f>IFERROR(__xludf.DUMMYFUNCTION("""COMPUTED_VALUE"""),11600.0)</f>
        <v>11600</v>
      </c>
      <c r="D2448" s="1">
        <f>IFERROR(__xludf.DUMMYFUNCTION("""COMPUTED_VALUE"""),11300.0)</f>
        <v>11300</v>
      </c>
      <c r="E2448" s="1">
        <f>IFERROR(__xludf.DUMMYFUNCTION("""COMPUTED_VALUE"""),11500.0)</f>
        <v>11500</v>
      </c>
      <c r="F2448" s="1">
        <f>IFERROR(__xludf.DUMMYFUNCTION("""COMPUTED_VALUE"""),30028.0)</f>
        <v>30028</v>
      </c>
    </row>
    <row r="2449">
      <c r="A2449" s="2">
        <f>IFERROR(__xludf.DUMMYFUNCTION("""COMPUTED_VALUE"""),44547.64583333333)</f>
        <v>44547.64583</v>
      </c>
      <c r="B2449" s="1">
        <f>IFERROR(__xludf.DUMMYFUNCTION("""COMPUTED_VALUE"""),11450.0)</f>
        <v>11450</v>
      </c>
      <c r="C2449" s="1">
        <f>IFERROR(__xludf.DUMMYFUNCTION("""COMPUTED_VALUE"""),11700.0)</f>
        <v>11700</v>
      </c>
      <c r="D2449" s="1">
        <f>IFERROR(__xludf.DUMMYFUNCTION("""COMPUTED_VALUE"""),11400.0)</f>
        <v>11400</v>
      </c>
      <c r="E2449" s="1">
        <f>IFERROR(__xludf.DUMMYFUNCTION("""COMPUTED_VALUE"""),11600.0)</f>
        <v>11600</v>
      </c>
      <c r="F2449" s="1">
        <f>IFERROR(__xludf.DUMMYFUNCTION("""COMPUTED_VALUE"""),21948.0)</f>
        <v>21948</v>
      </c>
    </row>
    <row r="2450">
      <c r="A2450" s="2">
        <f>IFERROR(__xludf.DUMMYFUNCTION("""COMPUTED_VALUE"""),44550.64583333333)</f>
        <v>44550.64583</v>
      </c>
      <c r="B2450" s="1">
        <f>IFERROR(__xludf.DUMMYFUNCTION("""COMPUTED_VALUE"""),11600.0)</f>
        <v>11600</v>
      </c>
      <c r="C2450" s="1">
        <f>IFERROR(__xludf.DUMMYFUNCTION("""COMPUTED_VALUE"""),11650.0)</f>
        <v>11650</v>
      </c>
      <c r="D2450" s="1">
        <f>IFERROR(__xludf.DUMMYFUNCTION("""COMPUTED_VALUE"""),11400.0)</f>
        <v>11400</v>
      </c>
      <c r="E2450" s="1">
        <f>IFERROR(__xludf.DUMMYFUNCTION("""COMPUTED_VALUE"""),11450.0)</f>
        <v>11450</v>
      </c>
      <c r="F2450" s="1">
        <f>IFERROR(__xludf.DUMMYFUNCTION("""COMPUTED_VALUE"""),15270.0)</f>
        <v>15270</v>
      </c>
    </row>
    <row r="2451">
      <c r="A2451" s="2">
        <f>IFERROR(__xludf.DUMMYFUNCTION("""COMPUTED_VALUE"""),44551.64583333333)</f>
        <v>44551.64583</v>
      </c>
      <c r="B2451" s="1">
        <f>IFERROR(__xludf.DUMMYFUNCTION("""COMPUTED_VALUE"""),11400.0)</f>
        <v>11400</v>
      </c>
      <c r="C2451" s="1">
        <f>IFERROR(__xludf.DUMMYFUNCTION("""COMPUTED_VALUE"""),11500.0)</f>
        <v>11500</v>
      </c>
      <c r="D2451" s="1">
        <f>IFERROR(__xludf.DUMMYFUNCTION("""COMPUTED_VALUE"""),11300.0)</f>
        <v>11300</v>
      </c>
      <c r="E2451" s="1">
        <f>IFERROR(__xludf.DUMMYFUNCTION("""COMPUTED_VALUE"""),11500.0)</f>
        <v>11500</v>
      </c>
      <c r="F2451" s="1">
        <f>IFERROR(__xludf.DUMMYFUNCTION("""COMPUTED_VALUE"""),18203.0)</f>
        <v>18203</v>
      </c>
    </row>
    <row r="2452">
      <c r="A2452" s="2">
        <f>IFERROR(__xludf.DUMMYFUNCTION("""COMPUTED_VALUE"""),44552.64583333333)</f>
        <v>44552.64583</v>
      </c>
      <c r="B2452" s="1">
        <f>IFERROR(__xludf.DUMMYFUNCTION("""COMPUTED_VALUE"""),11550.0)</f>
        <v>11550</v>
      </c>
      <c r="C2452" s="1">
        <f>IFERROR(__xludf.DUMMYFUNCTION("""COMPUTED_VALUE"""),11850.0)</f>
        <v>11850</v>
      </c>
      <c r="D2452" s="1">
        <f>IFERROR(__xludf.DUMMYFUNCTION("""COMPUTED_VALUE"""),11400.0)</f>
        <v>11400</v>
      </c>
      <c r="E2452" s="1">
        <f>IFERROR(__xludf.DUMMYFUNCTION("""COMPUTED_VALUE"""),11800.0)</f>
        <v>11800</v>
      </c>
      <c r="F2452" s="1">
        <f>IFERROR(__xludf.DUMMYFUNCTION("""COMPUTED_VALUE"""),31026.0)</f>
        <v>31026</v>
      </c>
    </row>
    <row r="2453">
      <c r="A2453" s="2">
        <f>IFERROR(__xludf.DUMMYFUNCTION("""COMPUTED_VALUE"""),44553.64583333333)</f>
        <v>44553.64583</v>
      </c>
      <c r="B2453" s="1">
        <f>IFERROR(__xludf.DUMMYFUNCTION("""COMPUTED_VALUE"""),11800.0)</f>
        <v>11800</v>
      </c>
      <c r="C2453" s="1">
        <f>IFERROR(__xludf.DUMMYFUNCTION("""COMPUTED_VALUE"""),11800.0)</f>
        <v>11800</v>
      </c>
      <c r="D2453" s="1">
        <f>IFERROR(__xludf.DUMMYFUNCTION("""COMPUTED_VALUE"""),11700.0)</f>
        <v>11700</v>
      </c>
      <c r="E2453" s="1">
        <f>IFERROR(__xludf.DUMMYFUNCTION("""COMPUTED_VALUE"""),11750.0)</f>
        <v>11750</v>
      </c>
      <c r="F2453" s="1">
        <f>IFERROR(__xludf.DUMMYFUNCTION("""COMPUTED_VALUE"""),25164.0)</f>
        <v>25164</v>
      </c>
    </row>
    <row r="2454">
      <c r="A2454" s="2">
        <f>IFERROR(__xludf.DUMMYFUNCTION("""COMPUTED_VALUE"""),44554.64583333333)</f>
        <v>44554.64583</v>
      </c>
      <c r="B2454" s="1">
        <f>IFERROR(__xludf.DUMMYFUNCTION("""COMPUTED_VALUE"""),11750.0)</f>
        <v>11750</v>
      </c>
      <c r="C2454" s="1">
        <f>IFERROR(__xludf.DUMMYFUNCTION("""COMPUTED_VALUE"""),12000.0)</f>
        <v>12000</v>
      </c>
      <c r="D2454" s="1">
        <f>IFERROR(__xludf.DUMMYFUNCTION("""COMPUTED_VALUE"""),11700.0)</f>
        <v>11700</v>
      </c>
      <c r="E2454" s="1">
        <f>IFERROR(__xludf.DUMMYFUNCTION("""COMPUTED_VALUE"""),11950.0)</f>
        <v>11950</v>
      </c>
      <c r="F2454" s="1">
        <f>IFERROR(__xludf.DUMMYFUNCTION("""COMPUTED_VALUE"""),30809.0)</f>
        <v>30809</v>
      </c>
    </row>
    <row r="2455">
      <c r="A2455" s="2">
        <f>IFERROR(__xludf.DUMMYFUNCTION("""COMPUTED_VALUE"""),44557.64583333333)</f>
        <v>44557.64583</v>
      </c>
      <c r="B2455" s="1">
        <f>IFERROR(__xludf.DUMMYFUNCTION("""COMPUTED_VALUE"""),11950.0)</f>
        <v>11950</v>
      </c>
      <c r="C2455" s="1">
        <f>IFERROR(__xludf.DUMMYFUNCTION("""COMPUTED_VALUE"""),12100.0)</f>
        <v>12100</v>
      </c>
      <c r="D2455" s="1">
        <f>IFERROR(__xludf.DUMMYFUNCTION("""COMPUTED_VALUE"""),11900.0)</f>
        <v>11900</v>
      </c>
      <c r="E2455" s="1">
        <f>IFERROR(__xludf.DUMMYFUNCTION("""COMPUTED_VALUE"""),12050.0)</f>
        <v>12050</v>
      </c>
      <c r="F2455" s="1">
        <f>IFERROR(__xludf.DUMMYFUNCTION("""COMPUTED_VALUE"""),25128.0)</f>
        <v>25128</v>
      </c>
    </row>
    <row r="2456">
      <c r="A2456" s="2">
        <f>IFERROR(__xludf.DUMMYFUNCTION("""COMPUTED_VALUE"""),44558.64583333333)</f>
        <v>44558.64583</v>
      </c>
      <c r="B2456" s="1">
        <f>IFERROR(__xludf.DUMMYFUNCTION("""COMPUTED_VALUE"""),12100.0)</f>
        <v>12100</v>
      </c>
      <c r="C2456" s="1">
        <f>IFERROR(__xludf.DUMMYFUNCTION("""COMPUTED_VALUE"""),12400.0)</f>
        <v>12400</v>
      </c>
      <c r="D2456" s="1">
        <f>IFERROR(__xludf.DUMMYFUNCTION("""COMPUTED_VALUE"""),12000.0)</f>
        <v>12000</v>
      </c>
      <c r="E2456" s="1">
        <f>IFERROR(__xludf.DUMMYFUNCTION("""COMPUTED_VALUE"""),12150.0)</f>
        <v>12150</v>
      </c>
      <c r="F2456" s="1">
        <f>IFERROR(__xludf.DUMMYFUNCTION("""COMPUTED_VALUE"""),56512.0)</f>
        <v>56512</v>
      </c>
    </row>
    <row r="2457">
      <c r="A2457" s="2">
        <f>IFERROR(__xludf.DUMMYFUNCTION("""COMPUTED_VALUE"""),44559.64583333333)</f>
        <v>44559.64583</v>
      </c>
      <c r="B2457" s="1">
        <f>IFERROR(__xludf.DUMMYFUNCTION("""COMPUTED_VALUE"""),12100.0)</f>
        <v>12100</v>
      </c>
      <c r="C2457" s="1">
        <f>IFERROR(__xludf.DUMMYFUNCTION("""COMPUTED_VALUE"""),12400.0)</f>
        <v>12400</v>
      </c>
      <c r="D2457" s="1">
        <f>IFERROR(__xludf.DUMMYFUNCTION("""COMPUTED_VALUE"""),12000.0)</f>
        <v>12000</v>
      </c>
      <c r="E2457" s="1">
        <f>IFERROR(__xludf.DUMMYFUNCTION("""COMPUTED_VALUE"""),12250.0)</f>
        <v>12250</v>
      </c>
      <c r="F2457" s="1">
        <f>IFERROR(__xludf.DUMMYFUNCTION("""COMPUTED_VALUE"""),37370.0)</f>
        <v>37370</v>
      </c>
    </row>
    <row r="2458">
      <c r="A2458" s="2">
        <f>IFERROR(__xludf.DUMMYFUNCTION("""COMPUTED_VALUE"""),44560.64583333333)</f>
        <v>44560.64583</v>
      </c>
      <c r="B2458" s="1">
        <f>IFERROR(__xludf.DUMMYFUNCTION("""COMPUTED_VALUE"""),12350.0)</f>
        <v>12350</v>
      </c>
      <c r="C2458" s="1">
        <f>IFERROR(__xludf.DUMMYFUNCTION("""COMPUTED_VALUE"""),12350.0)</f>
        <v>12350</v>
      </c>
      <c r="D2458" s="1">
        <f>IFERROR(__xludf.DUMMYFUNCTION("""COMPUTED_VALUE"""),12150.0)</f>
        <v>12150</v>
      </c>
      <c r="E2458" s="1">
        <f>IFERROR(__xludf.DUMMYFUNCTION("""COMPUTED_VALUE"""),12250.0)</f>
        <v>12250</v>
      </c>
      <c r="F2458" s="1">
        <f>IFERROR(__xludf.DUMMYFUNCTION("""COMPUTED_VALUE"""),24828.0)</f>
        <v>24828</v>
      </c>
    </row>
    <row r="2459">
      <c r="A2459" s="2">
        <f>IFERROR(__xludf.DUMMYFUNCTION("""COMPUTED_VALUE"""),44564.64583333333)</f>
        <v>44564.64583</v>
      </c>
      <c r="B2459" s="1">
        <f>IFERROR(__xludf.DUMMYFUNCTION("""COMPUTED_VALUE"""),12250.0)</f>
        <v>12250</v>
      </c>
      <c r="C2459" s="1">
        <f>IFERROR(__xludf.DUMMYFUNCTION("""COMPUTED_VALUE"""),12650.0)</f>
        <v>12650</v>
      </c>
      <c r="D2459" s="1">
        <f>IFERROR(__xludf.DUMMYFUNCTION("""COMPUTED_VALUE"""),12250.0)</f>
        <v>12250</v>
      </c>
      <c r="E2459" s="1">
        <f>IFERROR(__xludf.DUMMYFUNCTION("""COMPUTED_VALUE"""),12550.0)</f>
        <v>12550</v>
      </c>
      <c r="F2459" s="1">
        <f>IFERROR(__xludf.DUMMYFUNCTION("""COMPUTED_VALUE"""),44693.0)</f>
        <v>44693</v>
      </c>
    </row>
    <row r="2460">
      <c r="A2460" s="2">
        <f>IFERROR(__xludf.DUMMYFUNCTION("""COMPUTED_VALUE"""),44565.64583333333)</f>
        <v>44565.64583</v>
      </c>
      <c r="B2460" s="1">
        <f>IFERROR(__xludf.DUMMYFUNCTION("""COMPUTED_VALUE"""),12650.0)</f>
        <v>12650</v>
      </c>
      <c r="C2460" s="1">
        <f>IFERROR(__xludf.DUMMYFUNCTION("""COMPUTED_VALUE"""),12700.0)</f>
        <v>12700</v>
      </c>
      <c r="D2460" s="1">
        <f>IFERROR(__xludf.DUMMYFUNCTION("""COMPUTED_VALUE"""),12500.0)</f>
        <v>12500</v>
      </c>
      <c r="E2460" s="1">
        <f>IFERROR(__xludf.DUMMYFUNCTION("""COMPUTED_VALUE"""),12650.0)</f>
        <v>12650</v>
      </c>
      <c r="F2460" s="1">
        <f>IFERROR(__xludf.DUMMYFUNCTION("""COMPUTED_VALUE"""),38410.0)</f>
        <v>38410</v>
      </c>
    </row>
    <row r="2461">
      <c r="A2461" s="2">
        <f>IFERROR(__xludf.DUMMYFUNCTION("""COMPUTED_VALUE"""),44566.64583333333)</f>
        <v>44566.64583</v>
      </c>
      <c r="B2461" s="1">
        <f>IFERROR(__xludf.DUMMYFUNCTION("""COMPUTED_VALUE"""),12650.0)</f>
        <v>12650</v>
      </c>
      <c r="C2461" s="1">
        <f>IFERROR(__xludf.DUMMYFUNCTION("""COMPUTED_VALUE"""),12650.0)</f>
        <v>12650</v>
      </c>
      <c r="D2461" s="1">
        <f>IFERROR(__xludf.DUMMYFUNCTION("""COMPUTED_VALUE"""),12450.0)</f>
        <v>12450</v>
      </c>
      <c r="E2461" s="1">
        <f>IFERROR(__xludf.DUMMYFUNCTION("""COMPUTED_VALUE"""),12550.0)</f>
        <v>12550</v>
      </c>
      <c r="F2461" s="1">
        <f>IFERROR(__xludf.DUMMYFUNCTION("""COMPUTED_VALUE"""),26993.0)</f>
        <v>26993</v>
      </c>
    </row>
    <row r="2462">
      <c r="A2462" s="2">
        <f>IFERROR(__xludf.DUMMYFUNCTION("""COMPUTED_VALUE"""),44567.64583333333)</f>
        <v>44567.64583</v>
      </c>
      <c r="B2462" s="1">
        <f>IFERROR(__xludf.DUMMYFUNCTION("""COMPUTED_VALUE"""),12350.0)</f>
        <v>12350</v>
      </c>
      <c r="C2462" s="1">
        <f>IFERROR(__xludf.DUMMYFUNCTION("""COMPUTED_VALUE"""),12500.0)</f>
        <v>12500</v>
      </c>
      <c r="D2462" s="1">
        <f>IFERROR(__xludf.DUMMYFUNCTION("""COMPUTED_VALUE"""),12150.0)</f>
        <v>12150</v>
      </c>
      <c r="E2462" s="1">
        <f>IFERROR(__xludf.DUMMYFUNCTION("""COMPUTED_VALUE"""),12300.0)</f>
        <v>12300</v>
      </c>
      <c r="F2462" s="1">
        <f>IFERROR(__xludf.DUMMYFUNCTION("""COMPUTED_VALUE"""),42130.0)</f>
        <v>42130</v>
      </c>
    </row>
    <row r="2463">
      <c r="A2463" s="2">
        <f>IFERROR(__xludf.DUMMYFUNCTION("""COMPUTED_VALUE"""),44568.64583333333)</f>
        <v>44568.64583</v>
      </c>
      <c r="B2463" s="1">
        <f>IFERROR(__xludf.DUMMYFUNCTION("""COMPUTED_VALUE"""),12300.0)</f>
        <v>12300</v>
      </c>
      <c r="C2463" s="1">
        <f>IFERROR(__xludf.DUMMYFUNCTION("""COMPUTED_VALUE"""),12450.0)</f>
        <v>12450</v>
      </c>
      <c r="D2463" s="1">
        <f>IFERROR(__xludf.DUMMYFUNCTION("""COMPUTED_VALUE"""),12250.0)</f>
        <v>12250</v>
      </c>
      <c r="E2463" s="1">
        <f>IFERROR(__xludf.DUMMYFUNCTION("""COMPUTED_VALUE"""),12350.0)</f>
        <v>12350</v>
      </c>
      <c r="F2463" s="1">
        <f>IFERROR(__xludf.DUMMYFUNCTION("""COMPUTED_VALUE"""),19956.0)</f>
        <v>19956</v>
      </c>
    </row>
    <row r="2464">
      <c r="A2464" s="2">
        <f>IFERROR(__xludf.DUMMYFUNCTION("""COMPUTED_VALUE"""),44571.64583333333)</f>
        <v>44571.64583</v>
      </c>
      <c r="B2464" s="1">
        <f>IFERROR(__xludf.DUMMYFUNCTION("""COMPUTED_VALUE"""),12350.0)</f>
        <v>12350</v>
      </c>
      <c r="C2464" s="1">
        <f>IFERROR(__xludf.DUMMYFUNCTION("""COMPUTED_VALUE"""),12450.0)</f>
        <v>12450</v>
      </c>
      <c r="D2464" s="1">
        <f>IFERROR(__xludf.DUMMYFUNCTION("""COMPUTED_VALUE"""),12100.0)</f>
        <v>12100</v>
      </c>
      <c r="E2464" s="1">
        <f>IFERROR(__xludf.DUMMYFUNCTION("""COMPUTED_VALUE"""),12300.0)</f>
        <v>12300</v>
      </c>
      <c r="F2464" s="1">
        <f>IFERROR(__xludf.DUMMYFUNCTION("""COMPUTED_VALUE"""),24438.0)</f>
        <v>24438</v>
      </c>
    </row>
    <row r="2465">
      <c r="A2465" s="2">
        <f>IFERROR(__xludf.DUMMYFUNCTION("""COMPUTED_VALUE"""),44572.64583333333)</f>
        <v>44572.64583</v>
      </c>
      <c r="B2465" s="1">
        <f>IFERROR(__xludf.DUMMYFUNCTION("""COMPUTED_VALUE"""),12300.0)</f>
        <v>12300</v>
      </c>
      <c r="C2465" s="1">
        <f>IFERROR(__xludf.DUMMYFUNCTION("""COMPUTED_VALUE"""),12300.0)</f>
        <v>12300</v>
      </c>
      <c r="D2465" s="1">
        <f>IFERROR(__xludf.DUMMYFUNCTION("""COMPUTED_VALUE"""),11900.0)</f>
        <v>11900</v>
      </c>
      <c r="E2465" s="1">
        <f>IFERROR(__xludf.DUMMYFUNCTION("""COMPUTED_VALUE"""),12000.0)</f>
        <v>12000</v>
      </c>
      <c r="F2465" s="1">
        <f>IFERROR(__xludf.DUMMYFUNCTION("""COMPUTED_VALUE"""),40271.0)</f>
        <v>40271</v>
      </c>
    </row>
    <row r="2466">
      <c r="A2466" s="2">
        <f>IFERROR(__xludf.DUMMYFUNCTION("""COMPUTED_VALUE"""),44573.64583333333)</f>
        <v>44573.64583</v>
      </c>
      <c r="B2466" s="1">
        <f>IFERROR(__xludf.DUMMYFUNCTION("""COMPUTED_VALUE"""),12100.0)</f>
        <v>12100</v>
      </c>
      <c r="C2466" s="1">
        <f>IFERROR(__xludf.DUMMYFUNCTION("""COMPUTED_VALUE"""),12250.0)</f>
        <v>12250</v>
      </c>
      <c r="D2466" s="1">
        <f>IFERROR(__xludf.DUMMYFUNCTION("""COMPUTED_VALUE"""),11950.0)</f>
        <v>11950</v>
      </c>
      <c r="E2466" s="1">
        <f>IFERROR(__xludf.DUMMYFUNCTION("""COMPUTED_VALUE"""),12150.0)</f>
        <v>12150</v>
      </c>
      <c r="F2466" s="1">
        <f>IFERROR(__xludf.DUMMYFUNCTION("""COMPUTED_VALUE"""),13955.0)</f>
        <v>13955</v>
      </c>
    </row>
    <row r="2467">
      <c r="A2467" s="2">
        <f>IFERROR(__xludf.DUMMYFUNCTION("""COMPUTED_VALUE"""),44574.64583333333)</f>
        <v>44574.64583</v>
      </c>
      <c r="B2467" s="1">
        <f>IFERROR(__xludf.DUMMYFUNCTION("""COMPUTED_VALUE"""),12100.0)</f>
        <v>12100</v>
      </c>
      <c r="C2467" s="1">
        <f>IFERROR(__xludf.DUMMYFUNCTION("""COMPUTED_VALUE"""),12250.0)</f>
        <v>12250</v>
      </c>
      <c r="D2467" s="1">
        <f>IFERROR(__xludf.DUMMYFUNCTION("""COMPUTED_VALUE"""),12100.0)</f>
        <v>12100</v>
      </c>
      <c r="E2467" s="1">
        <f>IFERROR(__xludf.DUMMYFUNCTION("""COMPUTED_VALUE"""),12200.0)</f>
        <v>12200</v>
      </c>
      <c r="F2467" s="1">
        <f>IFERROR(__xludf.DUMMYFUNCTION("""COMPUTED_VALUE"""),10413.0)</f>
        <v>10413</v>
      </c>
    </row>
    <row r="2468">
      <c r="A2468" s="2">
        <f>IFERROR(__xludf.DUMMYFUNCTION("""COMPUTED_VALUE"""),44575.64583333333)</f>
        <v>44575.64583</v>
      </c>
      <c r="B2468" s="1">
        <f>IFERROR(__xludf.DUMMYFUNCTION("""COMPUTED_VALUE"""),12200.0)</f>
        <v>12200</v>
      </c>
      <c r="C2468" s="1">
        <f>IFERROR(__xludf.DUMMYFUNCTION("""COMPUTED_VALUE"""),12200.0)</f>
        <v>12200</v>
      </c>
      <c r="D2468" s="1">
        <f>IFERROR(__xludf.DUMMYFUNCTION("""COMPUTED_VALUE"""),12000.0)</f>
        <v>12000</v>
      </c>
      <c r="E2468" s="1">
        <f>IFERROR(__xludf.DUMMYFUNCTION("""COMPUTED_VALUE"""),12100.0)</f>
        <v>12100</v>
      </c>
      <c r="F2468" s="1">
        <f>IFERROR(__xludf.DUMMYFUNCTION("""COMPUTED_VALUE"""),21454.0)</f>
        <v>21454</v>
      </c>
    </row>
    <row r="2469">
      <c r="A2469" s="2">
        <f>IFERROR(__xludf.DUMMYFUNCTION("""COMPUTED_VALUE"""),44578.64583333333)</f>
        <v>44578.64583</v>
      </c>
      <c r="B2469" s="1">
        <f>IFERROR(__xludf.DUMMYFUNCTION("""COMPUTED_VALUE"""),12100.0)</f>
        <v>12100</v>
      </c>
      <c r="C2469" s="1">
        <f>IFERROR(__xludf.DUMMYFUNCTION("""COMPUTED_VALUE"""),13000.0)</f>
        <v>13000</v>
      </c>
      <c r="D2469" s="1">
        <f>IFERROR(__xludf.DUMMYFUNCTION("""COMPUTED_VALUE"""),11800.0)</f>
        <v>11800</v>
      </c>
      <c r="E2469" s="1">
        <f>IFERROR(__xludf.DUMMYFUNCTION("""COMPUTED_VALUE"""),11900.0)</f>
        <v>11900</v>
      </c>
      <c r="F2469" s="1">
        <f>IFERROR(__xludf.DUMMYFUNCTION("""COMPUTED_VALUE"""),208528.0)</f>
        <v>208528</v>
      </c>
    </row>
    <row r="2470">
      <c r="A2470" s="2">
        <f>IFERROR(__xludf.DUMMYFUNCTION("""COMPUTED_VALUE"""),44579.64583333333)</f>
        <v>44579.64583</v>
      </c>
      <c r="B2470" s="1">
        <f>IFERROR(__xludf.DUMMYFUNCTION("""COMPUTED_VALUE"""),11850.0)</f>
        <v>11850</v>
      </c>
      <c r="C2470" s="1">
        <f>IFERROR(__xludf.DUMMYFUNCTION("""COMPUTED_VALUE"""),12000.0)</f>
        <v>12000</v>
      </c>
      <c r="D2470" s="1">
        <f>IFERROR(__xludf.DUMMYFUNCTION("""COMPUTED_VALUE"""),11500.0)</f>
        <v>11500</v>
      </c>
      <c r="E2470" s="1">
        <f>IFERROR(__xludf.DUMMYFUNCTION("""COMPUTED_VALUE"""),11650.0)</f>
        <v>11650</v>
      </c>
      <c r="F2470" s="1">
        <f>IFERROR(__xludf.DUMMYFUNCTION("""COMPUTED_VALUE"""),48928.0)</f>
        <v>48928</v>
      </c>
    </row>
    <row r="2471">
      <c r="A2471" s="2">
        <f>IFERROR(__xludf.DUMMYFUNCTION("""COMPUTED_VALUE"""),44580.64583333333)</f>
        <v>44580.64583</v>
      </c>
      <c r="B2471" s="1">
        <f>IFERROR(__xludf.DUMMYFUNCTION("""COMPUTED_VALUE"""),11400.0)</f>
        <v>11400</v>
      </c>
      <c r="C2471" s="1">
        <f>IFERROR(__xludf.DUMMYFUNCTION("""COMPUTED_VALUE"""),11650.0)</f>
        <v>11650</v>
      </c>
      <c r="D2471" s="1">
        <f>IFERROR(__xludf.DUMMYFUNCTION("""COMPUTED_VALUE"""),11400.0)</f>
        <v>11400</v>
      </c>
      <c r="E2471" s="1">
        <f>IFERROR(__xludf.DUMMYFUNCTION("""COMPUTED_VALUE"""),11500.0)</f>
        <v>11500</v>
      </c>
      <c r="F2471" s="1">
        <f>IFERROR(__xludf.DUMMYFUNCTION("""COMPUTED_VALUE"""),39342.0)</f>
        <v>39342</v>
      </c>
    </row>
    <row r="2472">
      <c r="A2472" s="2">
        <f>IFERROR(__xludf.DUMMYFUNCTION("""COMPUTED_VALUE"""),44581.64583333333)</f>
        <v>44581.64583</v>
      </c>
      <c r="B2472" s="1">
        <f>IFERROR(__xludf.DUMMYFUNCTION("""COMPUTED_VALUE"""),11650.0)</f>
        <v>11650</v>
      </c>
      <c r="C2472" s="1">
        <f>IFERROR(__xludf.DUMMYFUNCTION("""COMPUTED_VALUE"""),11950.0)</f>
        <v>11950</v>
      </c>
      <c r="D2472" s="1">
        <f>IFERROR(__xludf.DUMMYFUNCTION("""COMPUTED_VALUE"""),11450.0)</f>
        <v>11450</v>
      </c>
      <c r="E2472" s="1">
        <f>IFERROR(__xludf.DUMMYFUNCTION("""COMPUTED_VALUE"""),11900.0)</f>
        <v>11900</v>
      </c>
      <c r="F2472" s="1">
        <f>IFERROR(__xludf.DUMMYFUNCTION("""COMPUTED_VALUE"""),18007.0)</f>
        <v>18007</v>
      </c>
    </row>
    <row r="2473">
      <c r="A2473" s="2">
        <f>IFERROR(__xludf.DUMMYFUNCTION("""COMPUTED_VALUE"""),44582.64583333333)</f>
        <v>44582.64583</v>
      </c>
      <c r="B2473" s="1">
        <f>IFERROR(__xludf.DUMMYFUNCTION("""COMPUTED_VALUE"""),11800.0)</f>
        <v>11800</v>
      </c>
      <c r="C2473" s="1">
        <f>IFERROR(__xludf.DUMMYFUNCTION("""COMPUTED_VALUE"""),11950.0)</f>
        <v>11950</v>
      </c>
      <c r="D2473" s="1">
        <f>IFERROR(__xludf.DUMMYFUNCTION("""COMPUTED_VALUE"""),11700.0)</f>
        <v>11700</v>
      </c>
      <c r="E2473" s="1">
        <f>IFERROR(__xludf.DUMMYFUNCTION("""COMPUTED_VALUE"""),11750.0)</f>
        <v>11750</v>
      </c>
      <c r="F2473" s="1">
        <f>IFERROR(__xludf.DUMMYFUNCTION("""COMPUTED_VALUE"""),21636.0)</f>
        <v>21636</v>
      </c>
    </row>
    <row r="2474">
      <c r="A2474" s="2">
        <f>IFERROR(__xludf.DUMMYFUNCTION("""COMPUTED_VALUE"""),44585.64583333333)</f>
        <v>44585.64583</v>
      </c>
      <c r="B2474" s="1">
        <f>IFERROR(__xludf.DUMMYFUNCTION("""COMPUTED_VALUE"""),11650.0)</f>
        <v>11650</v>
      </c>
      <c r="C2474" s="1">
        <f>IFERROR(__xludf.DUMMYFUNCTION("""COMPUTED_VALUE"""),12400.0)</f>
        <v>12400</v>
      </c>
      <c r="D2474" s="1">
        <f>IFERROR(__xludf.DUMMYFUNCTION("""COMPUTED_VALUE"""),11600.0)</f>
        <v>11600</v>
      </c>
      <c r="E2474" s="1">
        <f>IFERROR(__xludf.DUMMYFUNCTION("""COMPUTED_VALUE"""),11750.0)</f>
        <v>11750</v>
      </c>
      <c r="F2474" s="1">
        <f>IFERROR(__xludf.DUMMYFUNCTION("""COMPUTED_VALUE"""),119963.0)</f>
        <v>119963</v>
      </c>
    </row>
    <row r="2475">
      <c r="A2475" s="2">
        <f>IFERROR(__xludf.DUMMYFUNCTION("""COMPUTED_VALUE"""),44586.64583333333)</f>
        <v>44586.64583</v>
      </c>
      <c r="B2475" s="1">
        <f>IFERROR(__xludf.DUMMYFUNCTION("""COMPUTED_VALUE"""),11750.0)</f>
        <v>11750</v>
      </c>
      <c r="C2475" s="1">
        <f>IFERROR(__xludf.DUMMYFUNCTION("""COMPUTED_VALUE"""),12050.0)</f>
        <v>12050</v>
      </c>
      <c r="D2475" s="1">
        <f>IFERROR(__xludf.DUMMYFUNCTION("""COMPUTED_VALUE"""),11500.0)</f>
        <v>11500</v>
      </c>
      <c r="E2475" s="1">
        <f>IFERROR(__xludf.DUMMYFUNCTION("""COMPUTED_VALUE"""),11600.0)</f>
        <v>11600</v>
      </c>
      <c r="F2475" s="1">
        <f>IFERROR(__xludf.DUMMYFUNCTION("""COMPUTED_VALUE"""),66701.0)</f>
        <v>66701</v>
      </c>
    </row>
    <row r="2476">
      <c r="A2476" s="2">
        <f>IFERROR(__xludf.DUMMYFUNCTION("""COMPUTED_VALUE"""),44587.64583333333)</f>
        <v>44587.64583</v>
      </c>
      <c r="B2476" s="1">
        <f>IFERROR(__xludf.DUMMYFUNCTION("""COMPUTED_VALUE"""),11500.0)</f>
        <v>11500</v>
      </c>
      <c r="C2476" s="1">
        <f>IFERROR(__xludf.DUMMYFUNCTION("""COMPUTED_VALUE"""),11800.0)</f>
        <v>11800</v>
      </c>
      <c r="D2476" s="1">
        <f>IFERROR(__xludf.DUMMYFUNCTION("""COMPUTED_VALUE"""),11500.0)</f>
        <v>11500</v>
      </c>
      <c r="E2476" s="1">
        <f>IFERROR(__xludf.DUMMYFUNCTION("""COMPUTED_VALUE"""),11600.0)</f>
        <v>11600</v>
      </c>
      <c r="F2476" s="1">
        <f>IFERROR(__xludf.DUMMYFUNCTION("""COMPUTED_VALUE"""),42249.0)</f>
        <v>42249</v>
      </c>
    </row>
    <row r="2477">
      <c r="A2477" s="2">
        <f>IFERROR(__xludf.DUMMYFUNCTION("""COMPUTED_VALUE"""),44588.64583333333)</f>
        <v>44588.64583</v>
      </c>
      <c r="B2477" s="1">
        <f>IFERROR(__xludf.DUMMYFUNCTION("""COMPUTED_VALUE"""),11550.0)</f>
        <v>11550</v>
      </c>
      <c r="C2477" s="1">
        <f>IFERROR(__xludf.DUMMYFUNCTION("""COMPUTED_VALUE"""),11600.0)</f>
        <v>11600</v>
      </c>
      <c r="D2477" s="1">
        <f>IFERROR(__xludf.DUMMYFUNCTION("""COMPUTED_VALUE"""),11000.0)</f>
        <v>11000</v>
      </c>
      <c r="E2477" s="1">
        <f>IFERROR(__xludf.DUMMYFUNCTION("""COMPUTED_VALUE"""),11150.0)</f>
        <v>11150</v>
      </c>
      <c r="F2477" s="1">
        <f>IFERROR(__xludf.DUMMYFUNCTION("""COMPUTED_VALUE"""),62691.0)</f>
        <v>62691</v>
      </c>
    </row>
    <row r="2478">
      <c r="A2478" s="2">
        <f>IFERROR(__xludf.DUMMYFUNCTION("""COMPUTED_VALUE"""),44589.64583333333)</f>
        <v>44589.64583</v>
      </c>
      <c r="B2478" s="1">
        <f>IFERROR(__xludf.DUMMYFUNCTION("""COMPUTED_VALUE"""),11150.0)</f>
        <v>11150</v>
      </c>
      <c r="C2478" s="1">
        <f>IFERROR(__xludf.DUMMYFUNCTION("""COMPUTED_VALUE"""),11550.0)</f>
        <v>11550</v>
      </c>
      <c r="D2478" s="1">
        <f>IFERROR(__xludf.DUMMYFUNCTION("""COMPUTED_VALUE"""),11050.0)</f>
        <v>11050</v>
      </c>
      <c r="E2478" s="1">
        <f>IFERROR(__xludf.DUMMYFUNCTION("""COMPUTED_VALUE"""),11550.0)</f>
        <v>11550</v>
      </c>
      <c r="F2478" s="1">
        <f>IFERROR(__xludf.DUMMYFUNCTION("""COMPUTED_VALUE"""),24901.0)</f>
        <v>24901</v>
      </c>
    </row>
    <row r="2479">
      <c r="A2479" s="2">
        <f>IFERROR(__xludf.DUMMYFUNCTION("""COMPUTED_VALUE"""),44595.64583333333)</f>
        <v>44595.64583</v>
      </c>
      <c r="B2479" s="1">
        <f>IFERROR(__xludf.DUMMYFUNCTION("""COMPUTED_VALUE"""),11550.0)</f>
        <v>11550</v>
      </c>
      <c r="C2479" s="1">
        <f>IFERROR(__xludf.DUMMYFUNCTION("""COMPUTED_VALUE"""),12700.0)</f>
        <v>12700</v>
      </c>
      <c r="D2479" s="1">
        <f>IFERROR(__xludf.DUMMYFUNCTION("""COMPUTED_VALUE"""),11550.0)</f>
        <v>11550</v>
      </c>
      <c r="E2479" s="1">
        <f>IFERROR(__xludf.DUMMYFUNCTION("""COMPUTED_VALUE"""),11850.0)</f>
        <v>11850</v>
      </c>
      <c r="F2479" s="1">
        <f>IFERROR(__xludf.DUMMYFUNCTION("""COMPUTED_VALUE"""),238500.0)</f>
        <v>238500</v>
      </c>
    </row>
    <row r="2480">
      <c r="A2480" s="2">
        <f>IFERROR(__xludf.DUMMYFUNCTION("""COMPUTED_VALUE"""),44596.64583333333)</f>
        <v>44596.64583</v>
      </c>
      <c r="B2480" s="1">
        <f>IFERROR(__xludf.DUMMYFUNCTION("""COMPUTED_VALUE"""),11850.0)</f>
        <v>11850</v>
      </c>
      <c r="C2480" s="1">
        <f>IFERROR(__xludf.DUMMYFUNCTION("""COMPUTED_VALUE"""),12150.0)</f>
        <v>12150</v>
      </c>
      <c r="D2480" s="1">
        <f>IFERROR(__xludf.DUMMYFUNCTION("""COMPUTED_VALUE"""),11800.0)</f>
        <v>11800</v>
      </c>
      <c r="E2480" s="1">
        <f>IFERROR(__xludf.DUMMYFUNCTION("""COMPUTED_VALUE"""),12100.0)</f>
        <v>12100</v>
      </c>
      <c r="F2480" s="1">
        <f>IFERROR(__xludf.DUMMYFUNCTION("""COMPUTED_VALUE"""),68442.0)</f>
        <v>68442</v>
      </c>
    </row>
    <row r="2481">
      <c r="A2481" s="2">
        <f>IFERROR(__xludf.DUMMYFUNCTION("""COMPUTED_VALUE"""),44599.64583333333)</f>
        <v>44599.64583</v>
      </c>
      <c r="B2481" s="1">
        <f>IFERROR(__xludf.DUMMYFUNCTION("""COMPUTED_VALUE"""),12100.0)</f>
        <v>12100</v>
      </c>
      <c r="C2481" s="1">
        <f>IFERROR(__xludf.DUMMYFUNCTION("""COMPUTED_VALUE"""),12150.0)</f>
        <v>12150</v>
      </c>
      <c r="D2481" s="1">
        <f>IFERROR(__xludf.DUMMYFUNCTION("""COMPUTED_VALUE"""),11950.0)</f>
        <v>11950</v>
      </c>
      <c r="E2481" s="1">
        <f>IFERROR(__xludf.DUMMYFUNCTION("""COMPUTED_VALUE"""),12100.0)</f>
        <v>12100</v>
      </c>
      <c r="F2481" s="1">
        <f>IFERROR(__xludf.DUMMYFUNCTION("""COMPUTED_VALUE"""),38942.0)</f>
        <v>38942</v>
      </c>
    </row>
    <row r="2482">
      <c r="A2482" s="2">
        <f>IFERROR(__xludf.DUMMYFUNCTION("""COMPUTED_VALUE"""),44600.64583333333)</f>
        <v>44600.64583</v>
      </c>
      <c r="B2482" s="1">
        <f>IFERROR(__xludf.DUMMYFUNCTION("""COMPUTED_VALUE"""),12000.0)</f>
        <v>12000</v>
      </c>
      <c r="C2482" s="1">
        <f>IFERROR(__xludf.DUMMYFUNCTION("""COMPUTED_VALUE"""),12200.0)</f>
        <v>12200</v>
      </c>
      <c r="D2482" s="1">
        <f>IFERROR(__xludf.DUMMYFUNCTION("""COMPUTED_VALUE"""),11800.0)</f>
        <v>11800</v>
      </c>
      <c r="E2482" s="1">
        <f>IFERROR(__xludf.DUMMYFUNCTION("""COMPUTED_VALUE"""),11950.0)</f>
        <v>11950</v>
      </c>
      <c r="F2482" s="1">
        <f>IFERROR(__xludf.DUMMYFUNCTION("""COMPUTED_VALUE"""),37476.0)</f>
        <v>37476</v>
      </c>
    </row>
    <row r="2483">
      <c r="A2483" s="2">
        <f>IFERROR(__xludf.DUMMYFUNCTION("""COMPUTED_VALUE"""),44601.64583333333)</f>
        <v>44601.64583</v>
      </c>
      <c r="B2483" s="1">
        <f>IFERROR(__xludf.DUMMYFUNCTION("""COMPUTED_VALUE"""),11950.0)</f>
        <v>11950</v>
      </c>
      <c r="C2483" s="1">
        <f>IFERROR(__xludf.DUMMYFUNCTION("""COMPUTED_VALUE"""),12200.0)</f>
        <v>12200</v>
      </c>
      <c r="D2483" s="1">
        <f>IFERROR(__xludf.DUMMYFUNCTION("""COMPUTED_VALUE"""),11950.0)</f>
        <v>11950</v>
      </c>
      <c r="E2483" s="1">
        <f>IFERROR(__xludf.DUMMYFUNCTION("""COMPUTED_VALUE"""),12050.0)</f>
        <v>12050</v>
      </c>
      <c r="F2483" s="1">
        <f>IFERROR(__xludf.DUMMYFUNCTION("""COMPUTED_VALUE"""),21229.0)</f>
        <v>21229</v>
      </c>
    </row>
    <row r="2484">
      <c r="A2484" s="2">
        <f>IFERROR(__xludf.DUMMYFUNCTION("""COMPUTED_VALUE"""),44602.64583333333)</f>
        <v>44602.64583</v>
      </c>
      <c r="B2484" s="1">
        <f>IFERROR(__xludf.DUMMYFUNCTION("""COMPUTED_VALUE"""),12150.0)</f>
        <v>12150</v>
      </c>
      <c r="C2484" s="1">
        <f>IFERROR(__xludf.DUMMYFUNCTION("""COMPUTED_VALUE"""),12200.0)</f>
        <v>12200</v>
      </c>
      <c r="D2484" s="1">
        <f>IFERROR(__xludf.DUMMYFUNCTION("""COMPUTED_VALUE"""),11950.0)</f>
        <v>11950</v>
      </c>
      <c r="E2484" s="1">
        <f>IFERROR(__xludf.DUMMYFUNCTION("""COMPUTED_VALUE"""),12100.0)</f>
        <v>12100</v>
      </c>
      <c r="F2484" s="1">
        <f>IFERROR(__xludf.DUMMYFUNCTION("""COMPUTED_VALUE"""),27837.0)</f>
        <v>27837</v>
      </c>
    </row>
    <row r="2485">
      <c r="A2485" s="2">
        <f>IFERROR(__xludf.DUMMYFUNCTION("""COMPUTED_VALUE"""),44603.64583333333)</f>
        <v>44603.64583</v>
      </c>
      <c r="B2485" s="1">
        <f>IFERROR(__xludf.DUMMYFUNCTION("""COMPUTED_VALUE"""),11950.0)</f>
        <v>11950</v>
      </c>
      <c r="C2485" s="1">
        <f>IFERROR(__xludf.DUMMYFUNCTION("""COMPUTED_VALUE"""),12700.0)</f>
        <v>12700</v>
      </c>
      <c r="D2485" s="1">
        <f>IFERROR(__xludf.DUMMYFUNCTION("""COMPUTED_VALUE"""),11900.0)</f>
        <v>11900</v>
      </c>
      <c r="E2485" s="1">
        <f>IFERROR(__xludf.DUMMYFUNCTION("""COMPUTED_VALUE"""),12600.0)</f>
        <v>12600</v>
      </c>
      <c r="F2485" s="1">
        <f>IFERROR(__xludf.DUMMYFUNCTION("""COMPUTED_VALUE"""),207214.0)</f>
        <v>207214</v>
      </c>
    </row>
    <row r="2486">
      <c r="A2486" s="2">
        <f>IFERROR(__xludf.DUMMYFUNCTION("""COMPUTED_VALUE"""),44606.64583333333)</f>
        <v>44606.64583</v>
      </c>
      <c r="B2486" s="1">
        <f>IFERROR(__xludf.DUMMYFUNCTION("""COMPUTED_VALUE"""),12500.0)</f>
        <v>12500</v>
      </c>
      <c r="C2486" s="1">
        <f>IFERROR(__xludf.DUMMYFUNCTION("""COMPUTED_VALUE"""),13050.0)</f>
        <v>13050</v>
      </c>
      <c r="D2486" s="1">
        <f>IFERROR(__xludf.DUMMYFUNCTION("""COMPUTED_VALUE"""),12200.0)</f>
        <v>12200</v>
      </c>
      <c r="E2486" s="1">
        <f>IFERROR(__xludf.DUMMYFUNCTION("""COMPUTED_VALUE"""),12200.0)</f>
        <v>12200</v>
      </c>
      <c r="F2486" s="1">
        <f>IFERROR(__xludf.DUMMYFUNCTION("""COMPUTED_VALUE"""),350105.0)</f>
        <v>350105</v>
      </c>
    </row>
    <row r="2487">
      <c r="A2487" s="2">
        <f>IFERROR(__xludf.DUMMYFUNCTION("""COMPUTED_VALUE"""),44607.64583333333)</f>
        <v>44607.64583</v>
      </c>
      <c r="B2487" s="1">
        <f>IFERROR(__xludf.DUMMYFUNCTION("""COMPUTED_VALUE"""),12400.0)</f>
        <v>12400</v>
      </c>
      <c r="C2487" s="1">
        <f>IFERROR(__xludf.DUMMYFUNCTION("""COMPUTED_VALUE"""),13100.0)</f>
        <v>13100</v>
      </c>
      <c r="D2487" s="1">
        <f>IFERROR(__xludf.DUMMYFUNCTION("""COMPUTED_VALUE"""),12250.0)</f>
        <v>12250</v>
      </c>
      <c r="E2487" s="1">
        <f>IFERROR(__xludf.DUMMYFUNCTION("""COMPUTED_VALUE"""),12450.0)</f>
        <v>12450</v>
      </c>
      <c r="F2487" s="1">
        <f>IFERROR(__xludf.DUMMYFUNCTION("""COMPUTED_VALUE"""),501744.0)</f>
        <v>501744</v>
      </c>
    </row>
    <row r="2488">
      <c r="A2488" s="2">
        <f>IFERROR(__xludf.DUMMYFUNCTION("""COMPUTED_VALUE"""),44608.64583333333)</f>
        <v>44608.64583</v>
      </c>
      <c r="B2488" s="1">
        <f>IFERROR(__xludf.DUMMYFUNCTION("""COMPUTED_VALUE"""),12250.0)</f>
        <v>12250</v>
      </c>
      <c r="C2488" s="1">
        <f>IFERROR(__xludf.DUMMYFUNCTION("""COMPUTED_VALUE"""),12350.0)</f>
        <v>12350</v>
      </c>
      <c r="D2488" s="1">
        <f>IFERROR(__xludf.DUMMYFUNCTION("""COMPUTED_VALUE"""),11650.0)</f>
        <v>11650</v>
      </c>
      <c r="E2488" s="1">
        <f>IFERROR(__xludf.DUMMYFUNCTION("""COMPUTED_VALUE"""),12250.0)</f>
        <v>12250</v>
      </c>
      <c r="F2488" s="1">
        <f>IFERROR(__xludf.DUMMYFUNCTION("""COMPUTED_VALUE"""),122860.0)</f>
        <v>122860</v>
      </c>
    </row>
    <row r="2489">
      <c r="A2489" s="2">
        <f>IFERROR(__xludf.DUMMYFUNCTION("""COMPUTED_VALUE"""),44609.64583333333)</f>
        <v>44609.64583</v>
      </c>
      <c r="B2489" s="1">
        <f>IFERROR(__xludf.DUMMYFUNCTION("""COMPUTED_VALUE"""),12250.0)</f>
        <v>12250</v>
      </c>
      <c r="C2489" s="1">
        <f>IFERROR(__xludf.DUMMYFUNCTION("""COMPUTED_VALUE"""),12500.0)</f>
        <v>12500</v>
      </c>
      <c r="D2489" s="1">
        <f>IFERROR(__xludf.DUMMYFUNCTION("""COMPUTED_VALUE"""),12050.0)</f>
        <v>12050</v>
      </c>
      <c r="E2489" s="1">
        <f>IFERROR(__xludf.DUMMYFUNCTION("""COMPUTED_VALUE"""),12150.0)</f>
        <v>12150</v>
      </c>
      <c r="F2489" s="1">
        <f>IFERROR(__xludf.DUMMYFUNCTION("""COMPUTED_VALUE"""),80838.0)</f>
        <v>80838</v>
      </c>
    </row>
    <row r="2490">
      <c r="A2490" s="2">
        <f>IFERROR(__xludf.DUMMYFUNCTION("""COMPUTED_VALUE"""),44610.64583333333)</f>
        <v>44610.64583</v>
      </c>
      <c r="B2490" s="1">
        <f>IFERROR(__xludf.DUMMYFUNCTION("""COMPUTED_VALUE"""),11850.0)</f>
        <v>11850</v>
      </c>
      <c r="C2490" s="1">
        <f>IFERROR(__xludf.DUMMYFUNCTION("""COMPUTED_VALUE"""),12350.0)</f>
        <v>12350</v>
      </c>
      <c r="D2490" s="1">
        <f>IFERROR(__xludf.DUMMYFUNCTION("""COMPUTED_VALUE"""),11850.0)</f>
        <v>11850</v>
      </c>
      <c r="E2490" s="1">
        <f>IFERROR(__xludf.DUMMYFUNCTION("""COMPUTED_VALUE"""),12200.0)</f>
        <v>12200</v>
      </c>
      <c r="F2490" s="1">
        <f>IFERROR(__xludf.DUMMYFUNCTION("""COMPUTED_VALUE"""),69575.0)</f>
        <v>69575</v>
      </c>
    </row>
    <row r="2491">
      <c r="A2491" s="2">
        <f>IFERROR(__xludf.DUMMYFUNCTION("""COMPUTED_VALUE"""),44613.64583333333)</f>
        <v>44613.64583</v>
      </c>
      <c r="B2491" s="1">
        <f>IFERROR(__xludf.DUMMYFUNCTION("""COMPUTED_VALUE"""),12250.0)</f>
        <v>12250</v>
      </c>
      <c r="C2491" s="1">
        <f>IFERROR(__xludf.DUMMYFUNCTION("""COMPUTED_VALUE"""),12550.0)</f>
        <v>12550</v>
      </c>
      <c r="D2491" s="1">
        <f>IFERROR(__xludf.DUMMYFUNCTION("""COMPUTED_VALUE"""),12250.0)</f>
        <v>12250</v>
      </c>
      <c r="E2491" s="1">
        <f>IFERROR(__xludf.DUMMYFUNCTION("""COMPUTED_VALUE"""),12250.0)</f>
        <v>12250</v>
      </c>
      <c r="F2491" s="1">
        <f>IFERROR(__xludf.DUMMYFUNCTION("""COMPUTED_VALUE"""),83986.0)</f>
        <v>83986</v>
      </c>
    </row>
    <row r="2492">
      <c r="A2492" s="2">
        <f>IFERROR(__xludf.DUMMYFUNCTION("""COMPUTED_VALUE"""),44614.64583333333)</f>
        <v>44614.64583</v>
      </c>
      <c r="B2492" s="1">
        <f>IFERROR(__xludf.DUMMYFUNCTION("""COMPUTED_VALUE"""),12350.0)</f>
        <v>12350</v>
      </c>
      <c r="C2492" s="1">
        <f>IFERROR(__xludf.DUMMYFUNCTION("""COMPUTED_VALUE"""),12800.0)</f>
        <v>12800</v>
      </c>
      <c r="D2492" s="1">
        <f>IFERROR(__xludf.DUMMYFUNCTION("""COMPUTED_VALUE"""),12050.0)</f>
        <v>12050</v>
      </c>
      <c r="E2492" s="1">
        <f>IFERROR(__xludf.DUMMYFUNCTION("""COMPUTED_VALUE"""),12400.0)</f>
        <v>12400</v>
      </c>
      <c r="F2492" s="1">
        <f>IFERROR(__xludf.DUMMYFUNCTION("""COMPUTED_VALUE"""),228564.0)</f>
        <v>228564</v>
      </c>
    </row>
    <row r="2493">
      <c r="A2493" s="2">
        <f>IFERROR(__xludf.DUMMYFUNCTION("""COMPUTED_VALUE"""),44615.64583333333)</f>
        <v>44615.64583</v>
      </c>
      <c r="B2493" s="1">
        <f>IFERROR(__xludf.DUMMYFUNCTION("""COMPUTED_VALUE"""),12550.0)</f>
        <v>12550</v>
      </c>
      <c r="C2493" s="1">
        <f>IFERROR(__xludf.DUMMYFUNCTION("""COMPUTED_VALUE"""),12700.0)</f>
        <v>12700</v>
      </c>
      <c r="D2493" s="1">
        <f>IFERROR(__xludf.DUMMYFUNCTION("""COMPUTED_VALUE"""),12300.0)</f>
        <v>12300</v>
      </c>
      <c r="E2493" s="1">
        <f>IFERROR(__xludf.DUMMYFUNCTION("""COMPUTED_VALUE"""),12400.0)</f>
        <v>12400</v>
      </c>
      <c r="F2493" s="1">
        <f>IFERROR(__xludf.DUMMYFUNCTION("""COMPUTED_VALUE"""),87020.0)</f>
        <v>87020</v>
      </c>
    </row>
    <row r="2494">
      <c r="A2494" s="2">
        <f>IFERROR(__xludf.DUMMYFUNCTION("""COMPUTED_VALUE"""),44616.64583333333)</f>
        <v>44616.64583</v>
      </c>
      <c r="B2494" s="1">
        <f>IFERROR(__xludf.DUMMYFUNCTION("""COMPUTED_VALUE"""),12500.0)</f>
        <v>12500</v>
      </c>
      <c r="C2494" s="1">
        <f>IFERROR(__xludf.DUMMYFUNCTION("""COMPUTED_VALUE"""),12700.0)</f>
        <v>12700</v>
      </c>
      <c r="D2494" s="1">
        <f>IFERROR(__xludf.DUMMYFUNCTION("""COMPUTED_VALUE"""),12200.0)</f>
        <v>12200</v>
      </c>
      <c r="E2494" s="1">
        <f>IFERROR(__xludf.DUMMYFUNCTION("""COMPUTED_VALUE"""),12600.0)</f>
        <v>12600</v>
      </c>
      <c r="F2494" s="1">
        <f>IFERROR(__xludf.DUMMYFUNCTION("""COMPUTED_VALUE"""),176353.0)</f>
        <v>176353</v>
      </c>
    </row>
    <row r="2495">
      <c r="A2495" s="2">
        <f>IFERROR(__xludf.DUMMYFUNCTION("""COMPUTED_VALUE"""),44617.64583333333)</f>
        <v>44617.64583</v>
      </c>
      <c r="B2495" s="1">
        <f>IFERROR(__xludf.DUMMYFUNCTION("""COMPUTED_VALUE"""),12600.0)</f>
        <v>12600</v>
      </c>
      <c r="C2495" s="1">
        <f>IFERROR(__xludf.DUMMYFUNCTION("""COMPUTED_VALUE"""),12700.0)</f>
        <v>12700</v>
      </c>
      <c r="D2495" s="1">
        <f>IFERROR(__xludf.DUMMYFUNCTION("""COMPUTED_VALUE"""),12300.0)</f>
        <v>12300</v>
      </c>
      <c r="E2495" s="1">
        <f>IFERROR(__xludf.DUMMYFUNCTION("""COMPUTED_VALUE"""),12550.0)</f>
        <v>12550</v>
      </c>
      <c r="F2495" s="1">
        <f>IFERROR(__xludf.DUMMYFUNCTION("""COMPUTED_VALUE"""),119610.0)</f>
        <v>119610</v>
      </c>
    </row>
    <row r="2496">
      <c r="A2496" s="2">
        <f>IFERROR(__xludf.DUMMYFUNCTION("""COMPUTED_VALUE"""),44620.64583333333)</f>
        <v>44620.64583</v>
      </c>
      <c r="B2496" s="1">
        <f>IFERROR(__xludf.DUMMYFUNCTION("""COMPUTED_VALUE"""),12550.0)</f>
        <v>12550</v>
      </c>
      <c r="C2496" s="1">
        <f>IFERROR(__xludf.DUMMYFUNCTION("""COMPUTED_VALUE"""),12550.0)</f>
        <v>12550</v>
      </c>
      <c r="D2496" s="1">
        <f>IFERROR(__xludf.DUMMYFUNCTION("""COMPUTED_VALUE"""),12250.0)</f>
        <v>12250</v>
      </c>
      <c r="E2496" s="1">
        <f>IFERROR(__xludf.DUMMYFUNCTION("""COMPUTED_VALUE"""),12400.0)</f>
        <v>12400</v>
      </c>
      <c r="F2496" s="1">
        <f>IFERROR(__xludf.DUMMYFUNCTION("""COMPUTED_VALUE"""),51486.0)</f>
        <v>51486</v>
      </c>
    </row>
    <row r="2497">
      <c r="A2497" s="2">
        <f>IFERROR(__xludf.DUMMYFUNCTION("""COMPUTED_VALUE"""),44622.64583333333)</f>
        <v>44622.64583</v>
      </c>
      <c r="B2497" s="1">
        <f>IFERROR(__xludf.DUMMYFUNCTION("""COMPUTED_VALUE"""),12700.0)</f>
        <v>12700</v>
      </c>
      <c r="C2497" s="1">
        <f>IFERROR(__xludf.DUMMYFUNCTION("""COMPUTED_VALUE"""),13000.0)</f>
        <v>13000</v>
      </c>
      <c r="D2497" s="1">
        <f>IFERROR(__xludf.DUMMYFUNCTION("""COMPUTED_VALUE"""),12600.0)</f>
        <v>12600</v>
      </c>
      <c r="E2497" s="1">
        <f>IFERROR(__xludf.DUMMYFUNCTION("""COMPUTED_VALUE"""),12850.0)</f>
        <v>12850</v>
      </c>
      <c r="F2497" s="1">
        <f>IFERROR(__xludf.DUMMYFUNCTION("""COMPUTED_VALUE"""),209206.0)</f>
        <v>209206</v>
      </c>
    </row>
    <row r="2498">
      <c r="A2498" s="2">
        <f>IFERROR(__xludf.DUMMYFUNCTION("""COMPUTED_VALUE"""),44623.64583333333)</f>
        <v>44623.64583</v>
      </c>
      <c r="B2498" s="1">
        <f>IFERROR(__xludf.DUMMYFUNCTION("""COMPUTED_VALUE"""),12900.0)</f>
        <v>12900</v>
      </c>
      <c r="C2498" s="1">
        <f>IFERROR(__xludf.DUMMYFUNCTION("""COMPUTED_VALUE"""),12950.0)</f>
        <v>12950</v>
      </c>
      <c r="D2498" s="1">
        <f>IFERROR(__xludf.DUMMYFUNCTION("""COMPUTED_VALUE"""),12600.0)</f>
        <v>12600</v>
      </c>
      <c r="E2498" s="1">
        <f>IFERROR(__xludf.DUMMYFUNCTION("""COMPUTED_VALUE"""),12750.0)</f>
        <v>12750</v>
      </c>
      <c r="F2498" s="1">
        <f>IFERROR(__xludf.DUMMYFUNCTION("""COMPUTED_VALUE"""),83722.0)</f>
        <v>83722</v>
      </c>
    </row>
    <row r="2499">
      <c r="A2499" s="2">
        <f>IFERROR(__xludf.DUMMYFUNCTION("""COMPUTED_VALUE"""),44624.64583333333)</f>
        <v>44624.64583</v>
      </c>
      <c r="B2499" s="1">
        <f>IFERROR(__xludf.DUMMYFUNCTION("""COMPUTED_VALUE"""),12800.0)</f>
        <v>12800</v>
      </c>
      <c r="C2499" s="1">
        <f>IFERROR(__xludf.DUMMYFUNCTION("""COMPUTED_VALUE"""),14050.0)</f>
        <v>14050</v>
      </c>
      <c r="D2499" s="1">
        <f>IFERROR(__xludf.DUMMYFUNCTION("""COMPUTED_VALUE"""),12750.0)</f>
        <v>12750</v>
      </c>
      <c r="E2499" s="1">
        <f>IFERROR(__xludf.DUMMYFUNCTION("""COMPUTED_VALUE"""),13100.0)</f>
        <v>13100</v>
      </c>
      <c r="F2499" s="1">
        <f>IFERROR(__xludf.DUMMYFUNCTION("""COMPUTED_VALUE"""),1316611.0)</f>
        <v>1316611</v>
      </c>
    </row>
    <row r="2500">
      <c r="A2500" s="2">
        <f>IFERROR(__xludf.DUMMYFUNCTION("""COMPUTED_VALUE"""),44627.64583333333)</f>
        <v>44627.64583</v>
      </c>
      <c r="B2500" s="1">
        <f>IFERROR(__xludf.DUMMYFUNCTION("""COMPUTED_VALUE"""),13600.0)</f>
        <v>13600</v>
      </c>
      <c r="C2500" s="1">
        <f>IFERROR(__xludf.DUMMYFUNCTION("""COMPUTED_VALUE"""),13950.0)</f>
        <v>13950</v>
      </c>
      <c r="D2500" s="1">
        <f>IFERROR(__xludf.DUMMYFUNCTION("""COMPUTED_VALUE"""),13200.0)</f>
        <v>13200</v>
      </c>
      <c r="E2500" s="1">
        <f>IFERROR(__xludf.DUMMYFUNCTION("""COMPUTED_VALUE"""),13600.0)</f>
        <v>13600</v>
      </c>
      <c r="F2500" s="1">
        <f>IFERROR(__xludf.DUMMYFUNCTION("""COMPUTED_VALUE"""),568641.0)</f>
        <v>568641</v>
      </c>
    </row>
    <row r="2501">
      <c r="A2501" s="2">
        <f>IFERROR(__xludf.DUMMYFUNCTION("""COMPUTED_VALUE"""),44628.64583333333)</f>
        <v>44628.64583</v>
      </c>
      <c r="B2501" s="1">
        <f>IFERROR(__xludf.DUMMYFUNCTION("""COMPUTED_VALUE"""),13400.0)</f>
        <v>13400</v>
      </c>
      <c r="C2501" s="1">
        <f>IFERROR(__xludf.DUMMYFUNCTION("""COMPUTED_VALUE"""),13750.0)</f>
        <v>13750</v>
      </c>
      <c r="D2501" s="1">
        <f>IFERROR(__xludf.DUMMYFUNCTION("""COMPUTED_VALUE"""),12750.0)</f>
        <v>12750</v>
      </c>
      <c r="E2501" s="1">
        <f>IFERROR(__xludf.DUMMYFUNCTION("""COMPUTED_VALUE"""),12850.0)</f>
        <v>12850</v>
      </c>
      <c r="F2501" s="1">
        <f>IFERROR(__xludf.DUMMYFUNCTION("""COMPUTED_VALUE"""),275960.0)</f>
        <v>275960</v>
      </c>
    </row>
    <row r="2502">
      <c r="A2502" s="2">
        <f>IFERROR(__xludf.DUMMYFUNCTION("""COMPUTED_VALUE"""),44630.64583333333)</f>
        <v>44630.64583</v>
      </c>
      <c r="B2502" s="1">
        <f>IFERROR(__xludf.DUMMYFUNCTION("""COMPUTED_VALUE"""),12800.0)</f>
        <v>12800</v>
      </c>
      <c r="C2502" s="1">
        <f>IFERROR(__xludf.DUMMYFUNCTION("""COMPUTED_VALUE"""),12850.0)</f>
        <v>12850</v>
      </c>
      <c r="D2502" s="1">
        <f>IFERROR(__xludf.DUMMYFUNCTION("""COMPUTED_VALUE"""),12400.0)</f>
        <v>12400</v>
      </c>
      <c r="E2502" s="1">
        <f>IFERROR(__xludf.DUMMYFUNCTION("""COMPUTED_VALUE"""),12650.0)</f>
        <v>12650</v>
      </c>
      <c r="F2502" s="1">
        <f>IFERROR(__xludf.DUMMYFUNCTION("""COMPUTED_VALUE"""),92627.0)</f>
        <v>92627</v>
      </c>
    </row>
    <row r="2503">
      <c r="A2503" s="2">
        <f>IFERROR(__xludf.DUMMYFUNCTION("""COMPUTED_VALUE"""),44631.64583333333)</f>
        <v>44631.64583</v>
      </c>
      <c r="B2503" s="1">
        <f>IFERROR(__xludf.DUMMYFUNCTION("""COMPUTED_VALUE"""),12800.0)</f>
        <v>12800</v>
      </c>
      <c r="C2503" s="1">
        <f>IFERROR(__xludf.DUMMYFUNCTION("""COMPUTED_VALUE"""),13000.0)</f>
        <v>13000</v>
      </c>
      <c r="D2503" s="1">
        <f>IFERROR(__xludf.DUMMYFUNCTION("""COMPUTED_VALUE"""),12500.0)</f>
        <v>12500</v>
      </c>
      <c r="E2503" s="1">
        <f>IFERROR(__xludf.DUMMYFUNCTION("""COMPUTED_VALUE"""),12700.0)</f>
        <v>12700</v>
      </c>
      <c r="F2503" s="1">
        <f>IFERROR(__xludf.DUMMYFUNCTION("""COMPUTED_VALUE"""),124571.0)</f>
        <v>124571</v>
      </c>
    </row>
    <row r="2504">
      <c r="A2504" s="2">
        <f>IFERROR(__xludf.DUMMYFUNCTION("""COMPUTED_VALUE"""),44634.64583333333)</f>
        <v>44634.64583</v>
      </c>
      <c r="B2504" s="1">
        <f>IFERROR(__xludf.DUMMYFUNCTION("""COMPUTED_VALUE"""),12800.0)</f>
        <v>12800</v>
      </c>
      <c r="C2504" s="1">
        <f>IFERROR(__xludf.DUMMYFUNCTION("""COMPUTED_VALUE"""),13250.0)</f>
        <v>13250</v>
      </c>
      <c r="D2504" s="1">
        <f>IFERROR(__xludf.DUMMYFUNCTION("""COMPUTED_VALUE"""),12750.0)</f>
        <v>12750</v>
      </c>
      <c r="E2504" s="1">
        <f>IFERROR(__xludf.DUMMYFUNCTION("""COMPUTED_VALUE"""),12800.0)</f>
        <v>12800</v>
      </c>
      <c r="F2504" s="1">
        <f>IFERROR(__xludf.DUMMYFUNCTION("""COMPUTED_VALUE"""),119684.0)</f>
        <v>119684</v>
      </c>
    </row>
    <row r="2505">
      <c r="A2505" s="2">
        <f>IFERROR(__xludf.DUMMYFUNCTION("""COMPUTED_VALUE"""),44635.64583333333)</f>
        <v>44635.64583</v>
      </c>
      <c r="B2505" s="1">
        <f>IFERROR(__xludf.DUMMYFUNCTION("""COMPUTED_VALUE"""),12850.0)</f>
        <v>12850</v>
      </c>
      <c r="C2505" s="1">
        <f>IFERROR(__xludf.DUMMYFUNCTION("""COMPUTED_VALUE"""),12950.0)</f>
        <v>12950</v>
      </c>
      <c r="D2505" s="1">
        <f>IFERROR(__xludf.DUMMYFUNCTION("""COMPUTED_VALUE"""),12650.0)</f>
        <v>12650</v>
      </c>
      <c r="E2505" s="1">
        <f>IFERROR(__xludf.DUMMYFUNCTION("""COMPUTED_VALUE"""),12650.0)</f>
        <v>12650</v>
      </c>
      <c r="F2505" s="1">
        <f>IFERROR(__xludf.DUMMYFUNCTION("""COMPUTED_VALUE"""),68244.0)</f>
        <v>68244</v>
      </c>
    </row>
    <row r="2506">
      <c r="A2506" s="2">
        <f>IFERROR(__xludf.DUMMYFUNCTION("""COMPUTED_VALUE"""),44636.64583333333)</f>
        <v>44636.64583</v>
      </c>
      <c r="B2506" s="1">
        <f>IFERROR(__xludf.DUMMYFUNCTION("""COMPUTED_VALUE"""),12750.0)</f>
        <v>12750</v>
      </c>
      <c r="C2506" s="1">
        <f>IFERROR(__xludf.DUMMYFUNCTION("""COMPUTED_VALUE"""),12800.0)</f>
        <v>12800</v>
      </c>
      <c r="D2506" s="1">
        <f>IFERROR(__xludf.DUMMYFUNCTION("""COMPUTED_VALUE"""),12550.0)</f>
        <v>12550</v>
      </c>
      <c r="E2506" s="1">
        <f>IFERROR(__xludf.DUMMYFUNCTION("""COMPUTED_VALUE"""),12650.0)</f>
        <v>12650</v>
      </c>
      <c r="F2506" s="1">
        <f>IFERROR(__xludf.DUMMYFUNCTION("""COMPUTED_VALUE"""),57972.0)</f>
        <v>57972</v>
      </c>
    </row>
    <row r="2507">
      <c r="A2507" s="2">
        <f>IFERROR(__xludf.DUMMYFUNCTION("""COMPUTED_VALUE"""),44637.64583333333)</f>
        <v>44637.64583</v>
      </c>
      <c r="B2507" s="1">
        <f>IFERROR(__xludf.DUMMYFUNCTION("""COMPUTED_VALUE"""),12700.0)</f>
        <v>12700</v>
      </c>
      <c r="C2507" s="1">
        <f>IFERROR(__xludf.DUMMYFUNCTION("""COMPUTED_VALUE"""),12900.0)</f>
        <v>12900</v>
      </c>
      <c r="D2507" s="1">
        <f>IFERROR(__xludf.DUMMYFUNCTION("""COMPUTED_VALUE"""),12600.0)</f>
        <v>12600</v>
      </c>
      <c r="E2507" s="1">
        <f>IFERROR(__xludf.DUMMYFUNCTION("""COMPUTED_VALUE"""),12750.0)</f>
        <v>12750</v>
      </c>
      <c r="F2507" s="1">
        <f>IFERROR(__xludf.DUMMYFUNCTION("""COMPUTED_VALUE"""),55596.0)</f>
        <v>55596</v>
      </c>
    </row>
    <row r="2508">
      <c r="A2508" s="2">
        <f>IFERROR(__xludf.DUMMYFUNCTION("""COMPUTED_VALUE"""),44638.64583333333)</f>
        <v>44638.64583</v>
      </c>
      <c r="B2508" s="1">
        <f>IFERROR(__xludf.DUMMYFUNCTION("""COMPUTED_VALUE"""),12800.0)</f>
        <v>12800</v>
      </c>
      <c r="C2508" s="1">
        <f>IFERROR(__xludf.DUMMYFUNCTION("""COMPUTED_VALUE"""),13100.0)</f>
        <v>13100</v>
      </c>
      <c r="D2508" s="1">
        <f>IFERROR(__xludf.DUMMYFUNCTION("""COMPUTED_VALUE"""),12700.0)</f>
        <v>12700</v>
      </c>
      <c r="E2508" s="1">
        <f>IFERROR(__xludf.DUMMYFUNCTION("""COMPUTED_VALUE"""),12850.0)</f>
        <v>12850</v>
      </c>
      <c r="F2508" s="1">
        <f>IFERROR(__xludf.DUMMYFUNCTION("""COMPUTED_VALUE"""),63847.0)</f>
        <v>63847</v>
      </c>
    </row>
    <row r="2509">
      <c r="A2509" s="2">
        <f>IFERROR(__xludf.DUMMYFUNCTION("""COMPUTED_VALUE"""),44641.64583333333)</f>
        <v>44641.64583</v>
      </c>
      <c r="B2509" s="1">
        <f>IFERROR(__xludf.DUMMYFUNCTION("""COMPUTED_VALUE"""),12950.0)</f>
        <v>12950</v>
      </c>
      <c r="C2509" s="1">
        <f>IFERROR(__xludf.DUMMYFUNCTION("""COMPUTED_VALUE"""),13400.0)</f>
        <v>13400</v>
      </c>
      <c r="D2509" s="1">
        <f>IFERROR(__xludf.DUMMYFUNCTION("""COMPUTED_VALUE"""),12750.0)</f>
        <v>12750</v>
      </c>
      <c r="E2509" s="1">
        <f>IFERROR(__xludf.DUMMYFUNCTION("""COMPUTED_VALUE"""),13350.0)</f>
        <v>13350</v>
      </c>
      <c r="F2509" s="1">
        <f>IFERROR(__xludf.DUMMYFUNCTION("""COMPUTED_VALUE"""),226879.0)</f>
        <v>226879</v>
      </c>
    </row>
    <row r="2510">
      <c r="A2510" s="2">
        <f>IFERROR(__xludf.DUMMYFUNCTION("""COMPUTED_VALUE"""),44642.64583333333)</f>
        <v>44642.64583</v>
      </c>
      <c r="B2510" s="1">
        <f>IFERROR(__xludf.DUMMYFUNCTION("""COMPUTED_VALUE"""),13750.0)</f>
        <v>13750</v>
      </c>
      <c r="C2510" s="1">
        <f>IFERROR(__xludf.DUMMYFUNCTION("""COMPUTED_VALUE"""),13950.0)</f>
        <v>13950</v>
      </c>
      <c r="D2510" s="1">
        <f>IFERROR(__xludf.DUMMYFUNCTION("""COMPUTED_VALUE"""),13400.0)</f>
        <v>13400</v>
      </c>
      <c r="E2510" s="1">
        <f>IFERROR(__xludf.DUMMYFUNCTION("""COMPUTED_VALUE"""),13650.0)</f>
        <v>13650</v>
      </c>
      <c r="F2510" s="1">
        <f>IFERROR(__xludf.DUMMYFUNCTION("""COMPUTED_VALUE"""),593343.0)</f>
        <v>593343</v>
      </c>
    </row>
    <row r="2511">
      <c r="A2511" s="2">
        <f>IFERROR(__xludf.DUMMYFUNCTION("""COMPUTED_VALUE"""),44643.64583333333)</f>
        <v>44643.64583</v>
      </c>
      <c r="B2511" s="1">
        <f>IFERROR(__xludf.DUMMYFUNCTION("""COMPUTED_VALUE"""),13650.0)</f>
        <v>13650</v>
      </c>
      <c r="C2511" s="1">
        <f>IFERROR(__xludf.DUMMYFUNCTION("""COMPUTED_VALUE"""),13800.0)</f>
        <v>13800</v>
      </c>
      <c r="D2511" s="1">
        <f>IFERROR(__xludf.DUMMYFUNCTION("""COMPUTED_VALUE"""),13450.0)</f>
        <v>13450</v>
      </c>
      <c r="E2511" s="1">
        <f>IFERROR(__xludf.DUMMYFUNCTION("""COMPUTED_VALUE"""),13650.0)</f>
        <v>13650</v>
      </c>
      <c r="F2511" s="1">
        <f>IFERROR(__xludf.DUMMYFUNCTION("""COMPUTED_VALUE"""),181262.0)</f>
        <v>181262</v>
      </c>
    </row>
    <row r="2512">
      <c r="A2512" s="2">
        <f>IFERROR(__xludf.DUMMYFUNCTION("""COMPUTED_VALUE"""),44644.64583333333)</f>
        <v>44644.64583</v>
      </c>
      <c r="B2512" s="1">
        <f>IFERROR(__xludf.DUMMYFUNCTION("""COMPUTED_VALUE"""),13800.0)</f>
        <v>13800</v>
      </c>
      <c r="C2512" s="1">
        <f>IFERROR(__xludf.DUMMYFUNCTION("""COMPUTED_VALUE"""),13950.0)</f>
        <v>13950</v>
      </c>
      <c r="D2512" s="1">
        <f>IFERROR(__xludf.DUMMYFUNCTION("""COMPUTED_VALUE"""),13650.0)</f>
        <v>13650</v>
      </c>
      <c r="E2512" s="1">
        <f>IFERROR(__xludf.DUMMYFUNCTION("""COMPUTED_VALUE"""),13750.0)</f>
        <v>13750</v>
      </c>
      <c r="F2512" s="1">
        <f>IFERROR(__xludf.DUMMYFUNCTION("""COMPUTED_VALUE"""),177774.0)</f>
        <v>177774</v>
      </c>
    </row>
    <row r="2513">
      <c r="A2513" s="2">
        <f>IFERROR(__xludf.DUMMYFUNCTION("""COMPUTED_VALUE"""),44645.64583333333)</f>
        <v>44645.64583</v>
      </c>
      <c r="B2513" s="1">
        <f>IFERROR(__xludf.DUMMYFUNCTION("""COMPUTED_VALUE"""),13700.0)</f>
        <v>13700</v>
      </c>
      <c r="C2513" s="1">
        <f>IFERROR(__xludf.DUMMYFUNCTION("""COMPUTED_VALUE"""),14350.0)</f>
        <v>14350</v>
      </c>
      <c r="D2513" s="1">
        <f>IFERROR(__xludf.DUMMYFUNCTION("""COMPUTED_VALUE"""),13350.0)</f>
        <v>13350</v>
      </c>
      <c r="E2513" s="1">
        <f>IFERROR(__xludf.DUMMYFUNCTION("""COMPUTED_VALUE"""),13650.0)</f>
        <v>13650</v>
      </c>
      <c r="F2513" s="1">
        <f>IFERROR(__xludf.DUMMYFUNCTION("""COMPUTED_VALUE"""),396556.0)</f>
        <v>396556</v>
      </c>
    </row>
    <row r="2514">
      <c r="A2514" s="2">
        <f>IFERROR(__xludf.DUMMYFUNCTION("""COMPUTED_VALUE"""),44648.64583333333)</f>
        <v>44648.64583</v>
      </c>
      <c r="B2514" s="1">
        <f>IFERROR(__xludf.DUMMYFUNCTION("""COMPUTED_VALUE"""),13800.0)</f>
        <v>13800</v>
      </c>
      <c r="C2514" s="1">
        <f>IFERROR(__xludf.DUMMYFUNCTION("""COMPUTED_VALUE"""),13800.0)</f>
        <v>13800</v>
      </c>
      <c r="D2514" s="1">
        <f>IFERROR(__xludf.DUMMYFUNCTION("""COMPUTED_VALUE"""),13450.0)</f>
        <v>13450</v>
      </c>
      <c r="E2514" s="1">
        <f>IFERROR(__xludf.DUMMYFUNCTION("""COMPUTED_VALUE"""),13650.0)</f>
        <v>13650</v>
      </c>
      <c r="F2514" s="1">
        <f>IFERROR(__xludf.DUMMYFUNCTION("""COMPUTED_VALUE"""),88319.0)</f>
        <v>88319</v>
      </c>
    </row>
    <row r="2515">
      <c r="A2515" s="2">
        <f>IFERROR(__xludf.DUMMYFUNCTION("""COMPUTED_VALUE"""),44649.64583333333)</f>
        <v>44649.64583</v>
      </c>
      <c r="B2515" s="1">
        <f>IFERROR(__xludf.DUMMYFUNCTION("""COMPUTED_VALUE"""),13650.0)</f>
        <v>13650</v>
      </c>
      <c r="C2515" s="1">
        <f>IFERROR(__xludf.DUMMYFUNCTION("""COMPUTED_VALUE"""),13700.0)</f>
        <v>13700</v>
      </c>
      <c r="D2515" s="1">
        <f>IFERROR(__xludf.DUMMYFUNCTION("""COMPUTED_VALUE"""),13300.0)</f>
        <v>13300</v>
      </c>
      <c r="E2515" s="1">
        <f>IFERROR(__xludf.DUMMYFUNCTION("""COMPUTED_VALUE"""),13500.0)</f>
        <v>13500</v>
      </c>
      <c r="F2515" s="1">
        <f>IFERROR(__xludf.DUMMYFUNCTION("""COMPUTED_VALUE"""),88400.0)</f>
        <v>88400</v>
      </c>
    </row>
    <row r="2516">
      <c r="A2516" s="2">
        <f>IFERROR(__xludf.DUMMYFUNCTION("""COMPUTED_VALUE"""),44650.64583333333)</f>
        <v>44650.64583</v>
      </c>
      <c r="B2516" s="1">
        <f>IFERROR(__xludf.DUMMYFUNCTION("""COMPUTED_VALUE"""),13350.0)</f>
        <v>13350</v>
      </c>
      <c r="C2516" s="1">
        <f>IFERROR(__xludf.DUMMYFUNCTION("""COMPUTED_VALUE"""),13450.0)</f>
        <v>13450</v>
      </c>
      <c r="D2516" s="1">
        <f>IFERROR(__xludf.DUMMYFUNCTION("""COMPUTED_VALUE"""),13250.0)</f>
        <v>13250</v>
      </c>
      <c r="E2516" s="1">
        <f>IFERROR(__xludf.DUMMYFUNCTION("""COMPUTED_VALUE"""),13300.0)</f>
        <v>13300</v>
      </c>
      <c r="F2516" s="1">
        <f>IFERROR(__xludf.DUMMYFUNCTION("""COMPUTED_VALUE"""),76895.0)</f>
        <v>76895</v>
      </c>
    </row>
    <row r="2517">
      <c r="A2517" s="2">
        <f>IFERROR(__xludf.DUMMYFUNCTION("""COMPUTED_VALUE"""),44651.64583333333)</f>
        <v>44651.64583</v>
      </c>
      <c r="B2517" s="1">
        <f>IFERROR(__xludf.DUMMYFUNCTION("""COMPUTED_VALUE"""),13400.0)</f>
        <v>13400</v>
      </c>
      <c r="C2517" s="1">
        <f>IFERROR(__xludf.DUMMYFUNCTION("""COMPUTED_VALUE"""),13650.0)</f>
        <v>13650</v>
      </c>
      <c r="D2517" s="1">
        <f>IFERROR(__xludf.DUMMYFUNCTION("""COMPUTED_VALUE"""),13350.0)</f>
        <v>13350</v>
      </c>
      <c r="E2517" s="1">
        <f>IFERROR(__xludf.DUMMYFUNCTION("""COMPUTED_VALUE"""),13400.0)</f>
        <v>13400</v>
      </c>
      <c r="F2517" s="1">
        <f>IFERROR(__xludf.DUMMYFUNCTION("""COMPUTED_VALUE"""),78103.0)</f>
        <v>78103</v>
      </c>
    </row>
    <row r="2518">
      <c r="A2518" s="2">
        <f>IFERROR(__xludf.DUMMYFUNCTION("""COMPUTED_VALUE"""),44652.64583333333)</f>
        <v>44652.64583</v>
      </c>
      <c r="B2518" s="1">
        <f>IFERROR(__xludf.DUMMYFUNCTION("""COMPUTED_VALUE"""),13400.0)</f>
        <v>13400</v>
      </c>
      <c r="C2518" s="1">
        <f>IFERROR(__xludf.DUMMYFUNCTION("""COMPUTED_VALUE"""),13550.0)</f>
        <v>13550</v>
      </c>
      <c r="D2518" s="1">
        <f>IFERROR(__xludf.DUMMYFUNCTION("""COMPUTED_VALUE"""),13300.0)</f>
        <v>13300</v>
      </c>
      <c r="E2518" s="1">
        <f>IFERROR(__xludf.DUMMYFUNCTION("""COMPUTED_VALUE"""),13450.0)</f>
        <v>13450</v>
      </c>
      <c r="F2518" s="1">
        <f>IFERROR(__xludf.DUMMYFUNCTION("""COMPUTED_VALUE"""),64096.0)</f>
        <v>64096</v>
      </c>
    </row>
    <row r="2519">
      <c r="A2519" s="2">
        <f>IFERROR(__xludf.DUMMYFUNCTION("""COMPUTED_VALUE"""),44655.64583333333)</f>
        <v>44655.64583</v>
      </c>
      <c r="B2519" s="1">
        <f>IFERROR(__xludf.DUMMYFUNCTION("""COMPUTED_VALUE"""),13450.0)</f>
        <v>13450</v>
      </c>
      <c r="C2519" s="1">
        <f>IFERROR(__xludf.DUMMYFUNCTION("""COMPUTED_VALUE"""),13550.0)</f>
        <v>13550</v>
      </c>
      <c r="D2519" s="1">
        <f>IFERROR(__xludf.DUMMYFUNCTION("""COMPUTED_VALUE"""),13300.0)</f>
        <v>13300</v>
      </c>
      <c r="E2519" s="1">
        <f>IFERROR(__xludf.DUMMYFUNCTION("""COMPUTED_VALUE"""),13500.0)</f>
        <v>13500</v>
      </c>
      <c r="F2519" s="1">
        <f>IFERROR(__xludf.DUMMYFUNCTION("""COMPUTED_VALUE"""),52917.0)</f>
        <v>52917</v>
      </c>
    </row>
    <row r="2520">
      <c r="A2520" s="2">
        <f>IFERROR(__xludf.DUMMYFUNCTION("""COMPUTED_VALUE"""),44656.64583333333)</f>
        <v>44656.64583</v>
      </c>
      <c r="B2520" s="1">
        <f>IFERROR(__xludf.DUMMYFUNCTION("""COMPUTED_VALUE"""),13750.0)</f>
        <v>13750</v>
      </c>
      <c r="C2520" s="1">
        <f>IFERROR(__xludf.DUMMYFUNCTION("""COMPUTED_VALUE"""),13800.0)</f>
        <v>13800</v>
      </c>
      <c r="D2520" s="1">
        <f>IFERROR(__xludf.DUMMYFUNCTION("""COMPUTED_VALUE"""),13500.0)</f>
        <v>13500</v>
      </c>
      <c r="E2520" s="1">
        <f>IFERROR(__xludf.DUMMYFUNCTION("""COMPUTED_VALUE"""),13600.0)</f>
        <v>13600</v>
      </c>
      <c r="F2520" s="1">
        <f>IFERROR(__xludf.DUMMYFUNCTION("""COMPUTED_VALUE"""),85100.0)</f>
        <v>85100</v>
      </c>
    </row>
    <row r="2521">
      <c r="A2521" s="2">
        <f>IFERROR(__xludf.DUMMYFUNCTION("""COMPUTED_VALUE"""),44657.64583333333)</f>
        <v>44657.64583</v>
      </c>
      <c r="B2521" s="1">
        <f>IFERROR(__xludf.DUMMYFUNCTION("""COMPUTED_VALUE"""),13600.0)</f>
        <v>13600</v>
      </c>
      <c r="C2521" s="1">
        <f>IFERROR(__xludf.DUMMYFUNCTION("""COMPUTED_VALUE"""),13650.0)</f>
        <v>13650</v>
      </c>
      <c r="D2521" s="1">
        <f>IFERROR(__xludf.DUMMYFUNCTION("""COMPUTED_VALUE"""),13400.0)</f>
        <v>13400</v>
      </c>
      <c r="E2521" s="1">
        <f>IFERROR(__xludf.DUMMYFUNCTION("""COMPUTED_VALUE"""),13550.0)</f>
        <v>13550</v>
      </c>
      <c r="F2521" s="1">
        <f>IFERROR(__xludf.DUMMYFUNCTION("""COMPUTED_VALUE"""),39821.0)</f>
        <v>39821</v>
      </c>
    </row>
    <row r="2522">
      <c r="A2522" s="2">
        <f>IFERROR(__xludf.DUMMYFUNCTION("""COMPUTED_VALUE"""),44658.64583333333)</f>
        <v>44658.64583</v>
      </c>
      <c r="B2522" s="1">
        <f>IFERROR(__xludf.DUMMYFUNCTION("""COMPUTED_VALUE"""),13400.0)</f>
        <v>13400</v>
      </c>
      <c r="C2522" s="1">
        <f>IFERROR(__xludf.DUMMYFUNCTION("""COMPUTED_VALUE"""),13650.0)</f>
        <v>13650</v>
      </c>
      <c r="D2522" s="1">
        <f>IFERROR(__xludf.DUMMYFUNCTION("""COMPUTED_VALUE"""),13350.0)</f>
        <v>13350</v>
      </c>
      <c r="E2522" s="1">
        <f>IFERROR(__xludf.DUMMYFUNCTION("""COMPUTED_VALUE"""),13450.0)</f>
        <v>13450</v>
      </c>
      <c r="F2522" s="1">
        <f>IFERROR(__xludf.DUMMYFUNCTION("""COMPUTED_VALUE"""),49932.0)</f>
        <v>49932</v>
      </c>
    </row>
    <row r="2523">
      <c r="A2523" s="2">
        <f>IFERROR(__xludf.DUMMYFUNCTION("""COMPUTED_VALUE"""),44659.64583333333)</f>
        <v>44659.64583</v>
      </c>
      <c r="B2523" s="1">
        <f>IFERROR(__xludf.DUMMYFUNCTION("""COMPUTED_VALUE"""),13450.0)</f>
        <v>13450</v>
      </c>
      <c r="C2523" s="1">
        <f>IFERROR(__xludf.DUMMYFUNCTION("""COMPUTED_VALUE"""),13600.0)</f>
        <v>13600</v>
      </c>
      <c r="D2523" s="1">
        <f>IFERROR(__xludf.DUMMYFUNCTION("""COMPUTED_VALUE"""),13250.0)</f>
        <v>13250</v>
      </c>
      <c r="E2523" s="1">
        <f>IFERROR(__xludf.DUMMYFUNCTION("""COMPUTED_VALUE"""),13350.0)</f>
        <v>13350</v>
      </c>
      <c r="F2523" s="1">
        <f>IFERROR(__xludf.DUMMYFUNCTION("""COMPUTED_VALUE"""),52319.0)</f>
        <v>52319</v>
      </c>
    </row>
    <row r="2524">
      <c r="A2524" s="2">
        <f>IFERROR(__xludf.DUMMYFUNCTION("""COMPUTED_VALUE"""),44662.64583333333)</f>
        <v>44662.64583</v>
      </c>
      <c r="B2524" s="1">
        <f>IFERROR(__xludf.DUMMYFUNCTION("""COMPUTED_VALUE"""),13400.0)</f>
        <v>13400</v>
      </c>
      <c r="C2524" s="1">
        <f>IFERROR(__xludf.DUMMYFUNCTION("""COMPUTED_VALUE"""),14000.0)</f>
        <v>14000</v>
      </c>
      <c r="D2524" s="1">
        <f>IFERROR(__xludf.DUMMYFUNCTION("""COMPUTED_VALUE"""),13350.0)</f>
        <v>13350</v>
      </c>
      <c r="E2524" s="1">
        <f>IFERROR(__xludf.DUMMYFUNCTION("""COMPUTED_VALUE"""),13850.0)</f>
        <v>13850</v>
      </c>
      <c r="F2524" s="1">
        <f>IFERROR(__xludf.DUMMYFUNCTION("""COMPUTED_VALUE"""),251200.0)</f>
        <v>251200</v>
      </c>
    </row>
    <row r="2525">
      <c r="A2525" s="2">
        <f>IFERROR(__xludf.DUMMYFUNCTION("""COMPUTED_VALUE"""),44663.64583333333)</f>
        <v>44663.64583</v>
      </c>
      <c r="B2525" s="1">
        <f>IFERROR(__xludf.DUMMYFUNCTION("""COMPUTED_VALUE"""),13800.0)</f>
        <v>13800</v>
      </c>
      <c r="C2525" s="1">
        <f>IFERROR(__xludf.DUMMYFUNCTION("""COMPUTED_VALUE"""),13800.0)</f>
        <v>13800</v>
      </c>
      <c r="D2525" s="1">
        <f>IFERROR(__xludf.DUMMYFUNCTION("""COMPUTED_VALUE"""),13300.0)</f>
        <v>13300</v>
      </c>
      <c r="E2525" s="1">
        <f>IFERROR(__xludf.DUMMYFUNCTION("""COMPUTED_VALUE"""),13600.0)</f>
        <v>13600</v>
      </c>
      <c r="F2525" s="1">
        <f>IFERROR(__xludf.DUMMYFUNCTION("""COMPUTED_VALUE"""),132008.0)</f>
        <v>132008</v>
      </c>
    </row>
    <row r="2526">
      <c r="A2526" s="2">
        <f>IFERROR(__xludf.DUMMYFUNCTION("""COMPUTED_VALUE"""),44664.64583333333)</f>
        <v>44664.64583</v>
      </c>
      <c r="B2526" s="1">
        <f>IFERROR(__xludf.DUMMYFUNCTION("""COMPUTED_VALUE"""),13950.0)</f>
        <v>13950</v>
      </c>
      <c r="C2526" s="1">
        <f>IFERROR(__xludf.DUMMYFUNCTION("""COMPUTED_VALUE"""),14300.0)</f>
        <v>14300</v>
      </c>
      <c r="D2526" s="1">
        <f>IFERROR(__xludf.DUMMYFUNCTION("""COMPUTED_VALUE"""),13700.0)</f>
        <v>13700</v>
      </c>
      <c r="E2526" s="1">
        <f>IFERROR(__xludf.DUMMYFUNCTION("""COMPUTED_VALUE"""),13950.0)</f>
        <v>13950</v>
      </c>
      <c r="F2526" s="1">
        <f>IFERROR(__xludf.DUMMYFUNCTION("""COMPUTED_VALUE"""),316315.0)</f>
        <v>316315</v>
      </c>
    </row>
    <row r="2527">
      <c r="A2527" s="2">
        <f>IFERROR(__xludf.DUMMYFUNCTION("""COMPUTED_VALUE"""),44665.64583333333)</f>
        <v>44665.64583</v>
      </c>
      <c r="B2527" s="1">
        <f>IFERROR(__xludf.DUMMYFUNCTION("""COMPUTED_VALUE"""),13950.0)</f>
        <v>13950</v>
      </c>
      <c r="C2527" s="1">
        <f>IFERROR(__xludf.DUMMYFUNCTION("""COMPUTED_VALUE"""),14400.0)</f>
        <v>14400</v>
      </c>
      <c r="D2527" s="1">
        <f>IFERROR(__xludf.DUMMYFUNCTION("""COMPUTED_VALUE"""),13850.0)</f>
        <v>13850</v>
      </c>
      <c r="E2527" s="1">
        <f>IFERROR(__xludf.DUMMYFUNCTION("""COMPUTED_VALUE"""),14000.0)</f>
        <v>14000</v>
      </c>
      <c r="F2527" s="1">
        <f>IFERROR(__xludf.DUMMYFUNCTION("""COMPUTED_VALUE"""),323455.0)</f>
        <v>323455</v>
      </c>
    </row>
    <row r="2528">
      <c r="A2528" s="2">
        <f>IFERROR(__xludf.DUMMYFUNCTION("""COMPUTED_VALUE"""),44666.64583333333)</f>
        <v>44666.64583</v>
      </c>
      <c r="B2528" s="1">
        <f>IFERROR(__xludf.DUMMYFUNCTION("""COMPUTED_VALUE"""),14000.0)</f>
        <v>14000</v>
      </c>
      <c r="C2528" s="1">
        <f>IFERROR(__xludf.DUMMYFUNCTION("""COMPUTED_VALUE"""),14300.0)</f>
        <v>14300</v>
      </c>
      <c r="D2528" s="1">
        <f>IFERROR(__xludf.DUMMYFUNCTION("""COMPUTED_VALUE"""),13950.0)</f>
        <v>13950</v>
      </c>
      <c r="E2528" s="1">
        <f>IFERROR(__xludf.DUMMYFUNCTION("""COMPUTED_VALUE"""),14250.0)</f>
        <v>14250</v>
      </c>
      <c r="F2528" s="1">
        <f>IFERROR(__xludf.DUMMYFUNCTION("""COMPUTED_VALUE"""),170090.0)</f>
        <v>170090</v>
      </c>
    </row>
    <row r="2529">
      <c r="A2529" s="2">
        <f>IFERROR(__xludf.DUMMYFUNCTION("""COMPUTED_VALUE"""),44669.64583333333)</f>
        <v>44669.64583</v>
      </c>
      <c r="B2529" s="1">
        <f>IFERROR(__xludf.DUMMYFUNCTION("""COMPUTED_VALUE"""),14150.0)</f>
        <v>14150</v>
      </c>
      <c r="C2529" s="1">
        <f>IFERROR(__xludf.DUMMYFUNCTION("""COMPUTED_VALUE"""),14700.0)</f>
        <v>14700</v>
      </c>
      <c r="D2529" s="1">
        <f>IFERROR(__xludf.DUMMYFUNCTION("""COMPUTED_VALUE"""),14050.0)</f>
        <v>14050</v>
      </c>
      <c r="E2529" s="1">
        <f>IFERROR(__xludf.DUMMYFUNCTION("""COMPUTED_VALUE"""),14700.0)</f>
        <v>14700</v>
      </c>
      <c r="F2529" s="1">
        <f>IFERROR(__xludf.DUMMYFUNCTION("""COMPUTED_VALUE"""),286398.0)</f>
        <v>286398</v>
      </c>
    </row>
    <row r="2530">
      <c r="A2530" s="2">
        <f>IFERROR(__xludf.DUMMYFUNCTION("""COMPUTED_VALUE"""),44670.64583333333)</f>
        <v>44670.64583</v>
      </c>
      <c r="B2530" s="1">
        <f>IFERROR(__xludf.DUMMYFUNCTION("""COMPUTED_VALUE"""),14600.0)</f>
        <v>14600</v>
      </c>
      <c r="C2530" s="1">
        <f>IFERROR(__xludf.DUMMYFUNCTION("""COMPUTED_VALUE"""),14850.0)</f>
        <v>14850</v>
      </c>
      <c r="D2530" s="1">
        <f>IFERROR(__xludf.DUMMYFUNCTION("""COMPUTED_VALUE"""),14250.0)</f>
        <v>14250</v>
      </c>
      <c r="E2530" s="1">
        <f>IFERROR(__xludf.DUMMYFUNCTION("""COMPUTED_VALUE"""),14550.0)</f>
        <v>14550</v>
      </c>
      <c r="F2530" s="1">
        <f>IFERROR(__xludf.DUMMYFUNCTION("""COMPUTED_VALUE"""),269693.0)</f>
        <v>269693</v>
      </c>
    </row>
    <row r="2531">
      <c r="A2531" s="2">
        <f>IFERROR(__xludf.DUMMYFUNCTION("""COMPUTED_VALUE"""),44671.64583333333)</f>
        <v>44671.64583</v>
      </c>
      <c r="B2531" s="1">
        <f>IFERROR(__xludf.DUMMYFUNCTION("""COMPUTED_VALUE"""),14550.0)</f>
        <v>14550</v>
      </c>
      <c r="C2531" s="1">
        <f>IFERROR(__xludf.DUMMYFUNCTION("""COMPUTED_VALUE"""),14550.0)</f>
        <v>14550</v>
      </c>
      <c r="D2531" s="1">
        <f>IFERROR(__xludf.DUMMYFUNCTION("""COMPUTED_VALUE"""),14350.0)</f>
        <v>14350</v>
      </c>
      <c r="E2531" s="1">
        <f>IFERROR(__xludf.DUMMYFUNCTION("""COMPUTED_VALUE"""),14350.0)</f>
        <v>14350</v>
      </c>
      <c r="F2531" s="1">
        <f>IFERROR(__xludf.DUMMYFUNCTION("""COMPUTED_VALUE"""),114180.0)</f>
        <v>114180</v>
      </c>
    </row>
    <row r="2532">
      <c r="A2532" s="2">
        <f>IFERROR(__xludf.DUMMYFUNCTION("""COMPUTED_VALUE"""),44672.64583333333)</f>
        <v>44672.64583</v>
      </c>
      <c r="B2532" s="1">
        <f>IFERROR(__xludf.DUMMYFUNCTION("""COMPUTED_VALUE"""),14350.0)</f>
        <v>14350</v>
      </c>
      <c r="C2532" s="1">
        <f>IFERROR(__xludf.DUMMYFUNCTION("""COMPUTED_VALUE"""),14400.0)</f>
        <v>14400</v>
      </c>
      <c r="D2532" s="1">
        <f>IFERROR(__xludf.DUMMYFUNCTION("""COMPUTED_VALUE"""),14050.0)</f>
        <v>14050</v>
      </c>
      <c r="E2532" s="1">
        <f>IFERROR(__xludf.DUMMYFUNCTION("""COMPUTED_VALUE"""),14150.0)</f>
        <v>14150</v>
      </c>
      <c r="F2532" s="1">
        <f>IFERROR(__xludf.DUMMYFUNCTION("""COMPUTED_VALUE"""),102034.0)</f>
        <v>102034</v>
      </c>
    </row>
    <row r="2533">
      <c r="A2533" s="2">
        <f>IFERROR(__xludf.DUMMYFUNCTION("""COMPUTED_VALUE"""),44673.64583333333)</f>
        <v>44673.64583</v>
      </c>
      <c r="B2533" s="1">
        <f>IFERROR(__xludf.DUMMYFUNCTION("""COMPUTED_VALUE"""),14150.0)</f>
        <v>14150</v>
      </c>
      <c r="C2533" s="1">
        <f>IFERROR(__xludf.DUMMYFUNCTION("""COMPUTED_VALUE"""),14650.0)</f>
        <v>14650</v>
      </c>
      <c r="D2533" s="1">
        <f>IFERROR(__xludf.DUMMYFUNCTION("""COMPUTED_VALUE"""),14150.0)</f>
        <v>14150</v>
      </c>
      <c r="E2533" s="1">
        <f>IFERROR(__xludf.DUMMYFUNCTION("""COMPUTED_VALUE"""),14350.0)</f>
        <v>14350</v>
      </c>
      <c r="F2533" s="1">
        <f>IFERROR(__xludf.DUMMYFUNCTION("""COMPUTED_VALUE"""),248806.0)</f>
        <v>248806</v>
      </c>
    </row>
    <row r="2534">
      <c r="A2534" s="2">
        <f>IFERROR(__xludf.DUMMYFUNCTION("""COMPUTED_VALUE"""),44676.64583333333)</f>
        <v>44676.64583</v>
      </c>
      <c r="B2534" s="1">
        <f>IFERROR(__xludf.DUMMYFUNCTION("""COMPUTED_VALUE"""),14250.0)</f>
        <v>14250</v>
      </c>
      <c r="C2534" s="1">
        <f>IFERROR(__xludf.DUMMYFUNCTION("""COMPUTED_VALUE"""),14950.0)</f>
        <v>14950</v>
      </c>
      <c r="D2534" s="1">
        <f>IFERROR(__xludf.DUMMYFUNCTION("""COMPUTED_VALUE"""),14150.0)</f>
        <v>14150</v>
      </c>
      <c r="E2534" s="1">
        <f>IFERROR(__xludf.DUMMYFUNCTION("""COMPUTED_VALUE"""),14500.0)</f>
        <v>14500</v>
      </c>
      <c r="F2534" s="1">
        <f>IFERROR(__xludf.DUMMYFUNCTION("""COMPUTED_VALUE"""),410411.0)</f>
        <v>410411</v>
      </c>
    </row>
    <row r="2535">
      <c r="A2535" s="2">
        <f>IFERROR(__xludf.DUMMYFUNCTION("""COMPUTED_VALUE"""),44677.64583333333)</f>
        <v>44677.64583</v>
      </c>
      <c r="B2535" s="1">
        <f>IFERROR(__xludf.DUMMYFUNCTION("""COMPUTED_VALUE"""),14700.0)</f>
        <v>14700</v>
      </c>
      <c r="C2535" s="1">
        <f>IFERROR(__xludf.DUMMYFUNCTION("""COMPUTED_VALUE"""),14750.0)</f>
        <v>14750</v>
      </c>
      <c r="D2535" s="1">
        <f>IFERROR(__xludf.DUMMYFUNCTION("""COMPUTED_VALUE"""),14250.0)</f>
        <v>14250</v>
      </c>
      <c r="E2535" s="1">
        <f>IFERROR(__xludf.DUMMYFUNCTION("""COMPUTED_VALUE"""),14450.0)</f>
        <v>14450</v>
      </c>
      <c r="F2535" s="1">
        <f>IFERROR(__xludf.DUMMYFUNCTION("""COMPUTED_VALUE"""),140987.0)</f>
        <v>140987</v>
      </c>
    </row>
    <row r="2536">
      <c r="A2536" s="2">
        <f>IFERROR(__xludf.DUMMYFUNCTION("""COMPUTED_VALUE"""),44678.64583333333)</f>
        <v>44678.64583</v>
      </c>
      <c r="B2536" s="1">
        <f>IFERROR(__xludf.DUMMYFUNCTION("""COMPUTED_VALUE"""),14350.0)</f>
        <v>14350</v>
      </c>
      <c r="C2536" s="1">
        <f>IFERROR(__xludf.DUMMYFUNCTION("""COMPUTED_VALUE"""),14800.0)</f>
        <v>14800</v>
      </c>
      <c r="D2536" s="1">
        <f>IFERROR(__xludf.DUMMYFUNCTION("""COMPUTED_VALUE"""),13950.0)</f>
        <v>13950</v>
      </c>
      <c r="E2536" s="1">
        <f>IFERROR(__xludf.DUMMYFUNCTION("""COMPUTED_VALUE"""),14150.0)</f>
        <v>14150</v>
      </c>
      <c r="F2536" s="1">
        <f>IFERROR(__xludf.DUMMYFUNCTION("""COMPUTED_VALUE"""),184008.0)</f>
        <v>184008</v>
      </c>
    </row>
    <row r="2537">
      <c r="A2537" s="2">
        <f>IFERROR(__xludf.DUMMYFUNCTION("""COMPUTED_VALUE"""),44679.64583333333)</f>
        <v>44679.64583</v>
      </c>
      <c r="B2537" s="1">
        <f>IFERROR(__xludf.DUMMYFUNCTION("""COMPUTED_VALUE"""),14150.0)</f>
        <v>14150</v>
      </c>
      <c r="C2537" s="1">
        <f>IFERROR(__xludf.DUMMYFUNCTION("""COMPUTED_VALUE"""),14350.0)</f>
        <v>14350</v>
      </c>
      <c r="D2537" s="1">
        <f>IFERROR(__xludf.DUMMYFUNCTION("""COMPUTED_VALUE"""),13950.0)</f>
        <v>13950</v>
      </c>
      <c r="E2537" s="1">
        <f>IFERROR(__xludf.DUMMYFUNCTION("""COMPUTED_VALUE"""),14300.0)</f>
        <v>14300</v>
      </c>
      <c r="F2537" s="1">
        <f>IFERROR(__xludf.DUMMYFUNCTION("""COMPUTED_VALUE"""),98637.0)</f>
        <v>98637</v>
      </c>
    </row>
    <row r="2538">
      <c r="A2538" s="2">
        <f>IFERROR(__xludf.DUMMYFUNCTION("""COMPUTED_VALUE"""),44680.64583333333)</f>
        <v>44680.64583</v>
      </c>
      <c r="B2538" s="1">
        <f>IFERROR(__xludf.DUMMYFUNCTION("""COMPUTED_VALUE"""),14300.0)</f>
        <v>14300</v>
      </c>
      <c r="C2538" s="1">
        <f>IFERROR(__xludf.DUMMYFUNCTION("""COMPUTED_VALUE"""),14300.0)</f>
        <v>14300</v>
      </c>
      <c r="D2538" s="1">
        <f>IFERROR(__xludf.DUMMYFUNCTION("""COMPUTED_VALUE"""),14050.0)</f>
        <v>14050</v>
      </c>
      <c r="E2538" s="1">
        <f>IFERROR(__xludf.DUMMYFUNCTION("""COMPUTED_VALUE"""),14100.0)</f>
        <v>14100</v>
      </c>
      <c r="F2538" s="1">
        <f>IFERROR(__xludf.DUMMYFUNCTION("""COMPUTED_VALUE"""),68417.0)</f>
        <v>68417</v>
      </c>
    </row>
    <row r="2539">
      <c r="A2539" s="2">
        <f>IFERROR(__xludf.DUMMYFUNCTION("""COMPUTED_VALUE"""),44683.64583333333)</f>
        <v>44683.64583</v>
      </c>
      <c r="B2539" s="1">
        <f>IFERROR(__xludf.DUMMYFUNCTION("""COMPUTED_VALUE"""),13950.0)</f>
        <v>13950</v>
      </c>
      <c r="C2539" s="1">
        <f>IFERROR(__xludf.DUMMYFUNCTION("""COMPUTED_VALUE"""),14700.0)</f>
        <v>14700</v>
      </c>
      <c r="D2539" s="1">
        <f>IFERROR(__xludf.DUMMYFUNCTION("""COMPUTED_VALUE"""),13950.0)</f>
        <v>13950</v>
      </c>
      <c r="E2539" s="1">
        <f>IFERROR(__xludf.DUMMYFUNCTION("""COMPUTED_VALUE"""),14250.0)</f>
        <v>14250</v>
      </c>
      <c r="F2539" s="1">
        <f>IFERROR(__xludf.DUMMYFUNCTION("""COMPUTED_VALUE"""),216704.0)</f>
        <v>216704</v>
      </c>
    </row>
    <row r="2540">
      <c r="A2540" s="2">
        <f>IFERROR(__xludf.DUMMYFUNCTION("""COMPUTED_VALUE"""),44684.64583333333)</f>
        <v>44684.64583</v>
      </c>
      <c r="B2540" s="1">
        <f>IFERROR(__xludf.DUMMYFUNCTION("""COMPUTED_VALUE"""),14400.0)</f>
        <v>14400</v>
      </c>
      <c r="C2540" s="1">
        <f>IFERROR(__xludf.DUMMYFUNCTION("""COMPUTED_VALUE"""),14750.0)</f>
        <v>14750</v>
      </c>
      <c r="D2540" s="1">
        <f>IFERROR(__xludf.DUMMYFUNCTION("""COMPUTED_VALUE"""),14150.0)</f>
        <v>14150</v>
      </c>
      <c r="E2540" s="1">
        <f>IFERROR(__xludf.DUMMYFUNCTION("""COMPUTED_VALUE"""),14700.0)</f>
        <v>14700</v>
      </c>
      <c r="F2540" s="1">
        <f>IFERROR(__xludf.DUMMYFUNCTION("""COMPUTED_VALUE"""),233323.0)</f>
        <v>233323</v>
      </c>
    </row>
    <row r="2541">
      <c r="A2541" s="2">
        <f>IFERROR(__xludf.DUMMYFUNCTION("""COMPUTED_VALUE"""),44685.64583333333)</f>
        <v>44685.64583</v>
      </c>
      <c r="B2541" s="1">
        <f>IFERROR(__xludf.DUMMYFUNCTION("""COMPUTED_VALUE"""),14500.0)</f>
        <v>14500</v>
      </c>
      <c r="C2541" s="1">
        <f>IFERROR(__xludf.DUMMYFUNCTION("""COMPUTED_VALUE"""),14550.0)</f>
        <v>14550</v>
      </c>
      <c r="D2541" s="1">
        <f>IFERROR(__xludf.DUMMYFUNCTION("""COMPUTED_VALUE"""),14200.0)</f>
        <v>14200</v>
      </c>
      <c r="E2541" s="1">
        <f>IFERROR(__xludf.DUMMYFUNCTION("""COMPUTED_VALUE"""),14200.0)</f>
        <v>14200</v>
      </c>
      <c r="F2541" s="1">
        <f>IFERROR(__xludf.DUMMYFUNCTION("""COMPUTED_VALUE"""),110397.0)</f>
        <v>110397</v>
      </c>
    </row>
    <row r="2542">
      <c r="A2542" s="2">
        <f>IFERROR(__xludf.DUMMYFUNCTION("""COMPUTED_VALUE"""),44687.64583333333)</f>
        <v>44687.64583</v>
      </c>
      <c r="B2542" s="1">
        <f>IFERROR(__xludf.DUMMYFUNCTION("""COMPUTED_VALUE"""),14050.0)</f>
        <v>14050</v>
      </c>
      <c r="C2542" s="1">
        <f>IFERROR(__xludf.DUMMYFUNCTION("""COMPUTED_VALUE"""),14400.0)</f>
        <v>14400</v>
      </c>
      <c r="D2542" s="1">
        <f>IFERROR(__xludf.DUMMYFUNCTION("""COMPUTED_VALUE"""),13950.0)</f>
        <v>13950</v>
      </c>
      <c r="E2542" s="1">
        <f>IFERROR(__xludf.DUMMYFUNCTION("""COMPUTED_VALUE"""),14100.0)</f>
        <v>14100</v>
      </c>
      <c r="F2542" s="1">
        <f>IFERROR(__xludf.DUMMYFUNCTION("""COMPUTED_VALUE"""),77150.0)</f>
        <v>77150</v>
      </c>
    </row>
    <row r="2543">
      <c r="A2543" s="2">
        <f>IFERROR(__xludf.DUMMYFUNCTION("""COMPUTED_VALUE"""),44690.64583333333)</f>
        <v>44690.64583</v>
      </c>
      <c r="B2543" s="1">
        <f>IFERROR(__xludf.DUMMYFUNCTION("""COMPUTED_VALUE"""),14050.0)</f>
        <v>14050</v>
      </c>
      <c r="C2543" s="1">
        <f>IFERROR(__xludf.DUMMYFUNCTION("""COMPUTED_VALUE"""),14200.0)</f>
        <v>14200</v>
      </c>
      <c r="D2543" s="1">
        <f>IFERROR(__xludf.DUMMYFUNCTION("""COMPUTED_VALUE"""),13450.0)</f>
        <v>13450</v>
      </c>
      <c r="E2543" s="1">
        <f>IFERROR(__xludf.DUMMYFUNCTION("""COMPUTED_VALUE"""),13500.0)</f>
        <v>13500</v>
      </c>
      <c r="F2543" s="1">
        <f>IFERROR(__xludf.DUMMYFUNCTION("""COMPUTED_VALUE"""),100631.0)</f>
        <v>100631</v>
      </c>
    </row>
    <row r="2544">
      <c r="A2544" s="2">
        <f>IFERROR(__xludf.DUMMYFUNCTION("""COMPUTED_VALUE"""),44691.64583333333)</f>
        <v>44691.64583</v>
      </c>
      <c r="B2544" s="1">
        <f>IFERROR(__xludf.DUMMYFUNCTION("""COMPUTED_VALUE"""),13300.0)</f>
        <v>13300</v>
      </c>
      <c r="C2544" s="1">
        <f>IFERROR(__xludf.DUMMYFUNCTION("""COMPUTED_VALUE"""),13550.0)</f>
        <v>13550</v>
      </c>
      <c r="D2544" s="1">
        <f>IFERROR(__xludf.DUMMYFUNCTION("""COMPUTED_VALUE"""),12750.0)</f>
        <v>12750</v>
      </c>
      <c r="E2544" s="1">
        <f>IFERROR(__xludf.DUMMYFUNCTION("""COMPUTED_VALUE"""),13150.0)</f>
        <v>13150</v>
      </c>
      <c r="F2544" s="1">
        <f>IFERROR(__xludf.DUMMYFUNCTION("""COMPUTED_VALUE"""),119703.0)</f>
        <v>119703</v>
      </c>
    </row>
    <row r="2545">
      <c r="A2545" s="2">
        <f>IFERROR(__xludf.DUMMYFUNCTION("""COMPUTED_VALUE"""),44692.64583333333)</f>
        <v>44692.64583</v>
      </c>
      <c r="B2545" s="1">
        <f>IFERROR(__xludf.DUMMYFUNCTION("""COMPUTED_VALUE"""),13050.0)</f>
        <v>13050</v>
      </c>
      <c r="C2545" s="1">
        <f>IFERROR(__xludf.DUMMYFUNCTION("""COMPUTED_VALUE"""),13450.0)</f>
        <v>13450</v>
      </c>
      <c r="D2545" s="1">
        <f>IFERROR(__xludf.DUMMYFUNCTION("""COMPUTED_VALUE"""),13000.0)</f>
        <v>13000</v>
      </c>
      <c r="E2545" s="1">
        <f>IFERROR(__xludf.DUMMYFUNCTION("""COMPUTED_VALUE"""),13050.0)</f>
        <v>13050</v>
      </c>
      <c r="F2545" s="1">
        <f>IFERROR(__xludf.DUMMYFUNCTION("""COMPUTED_VALUE"""),38846.0)</f>
        <v>38846</v>
      </c>
    </row>
    <row r="2546">
      <c r="A2546" s="2">
        <f>IFERROR(__xludf.DUMMYFUNCTION("""COMPUTED_VALUE"""),44693.64583333333)</f>
        <v>44693.64583</v>
      </c>
      <c r="B2546" s="1">
        <f>IFERROR(__xludf.DUMMYFUNCTION("""COMPUTED_VALUE"""),12950.0)</f>
        <v>12950</v>
      </c>
      <c r="C2546" s="1">
        <f>IFERROR(__xludf.DUMMYFUNCTION("""COMPUTED_VALUE"""),13050.0)</f>
        <v>13050</v>
      </c>
      <c r="D2546" s="1">
        <f>IFERROR(__xludf.DUMMYFUNCTION("""COMPUTED_VALUE"""),12550.0)</f>
        <v>12550</v>
      </c>
      <c r="E2546" s="1">
        <f>IFERROR(__xludf.DUMMYFUNCTION("""COMPUTED_VALUE"""),12650.0)</f>
        <v>12650</v>
      </c>
      <c r="F2546" s="1">
        <f>IFERROR(__xludf.DUMMYFUNCTION("""COMPUTED_VALUE"""),66526.0)</f>
        <v>66526</v>
      </c>
    </row>
    <row r="2547">
      <c r="A2547" s="2">
        <f>IFERROR(__xludf.DUMMYFUNCTION("""COMPUTED_VALUE"""),44694.64583333333)</f>
        <v>44694.64583</v>
      </c>
      <c r="B2547" s="1">
        <f>IFERROR(__xludf.DUMMYFUNCTION("""COMPUTED_VALUE"""),12600.0)</f>
        <v>12600</v>
      </c>
      <c r="C2547" s="1">
        <f>IFERROR(__xludf.DUMMYFUNCTION("""COMPUTED_VALUE"""),12800.0)</f>
        <v>12800</v>
      </c>
      <c r="D2547" s="1">
        <f>IFERROR(__xludf.DUMMYFUNCTION("""COMPUTED_VALUE"""),12500.0)</f>
        <v>12500</v>
      </c>
      <c r="E2547" s="1">
        <f>IFERROR(__xludf.DUMMYFUNCTION("""COMPUTED_VALUE"""),12750.0)</f>
        <v>12750</v>
      </c>
      <c r="F2547" s="1">
        <f>IFERROR(__xludf.DUMMYFUNCTION("""COMPUTED_VALUE"""),52331.0)</f>
        <v>52331</v>
      </c>
    </row>
    <row r="2548">
      <c r="A2548" s="2">
        <f>IFERROR(__xludf.DUMMYFUNCTION("""COMPUTED_VALUE"""),44697.64583333333)</f>
        <v>44697.64583</v>
      </c>
      <c r="B2548" s="1">
        <f>IFERROR(__xludf.DUMMYFUNCTION("""COMPUTED_VALUE"""),13000.0)</f>
        <v>13000</v>
      </c>
      <c r="C2548" s="1">
        <f>IFERROR(__xludf.DUMMYFUNCTION("""COMPUTED_VALUE"""),15200.0)</f>
        <v>15200</v>
      </c>
      <c r="D2548" s="1">
        <f>IFERROR(__xludf.DUMMYFUNCTION("""COMPUTED_VALUE"""),12850.0)</f>
        <v>12850</v>
      </c>
      <c r="E2548" s="1">
        <f>IFERROR(__xludf.DUMMYFUNCTION("""COMPUTED_VALUE"""),13900.0)</f>
        <v>13900</v>
      </c>
      <c r="F2548" s="1">
        <f>IFERROR(__xludf.DUMMYFUNCTION("""COMPUTED_VALUE"""),1493423.0)</f>
        <v>1493423</v>
      </c>
    </row>
    <row r="2549">
      <c r="A2549" s="2">
        <f>IFERROR(__xludf.DUMMYFUNCTION("""COMPUTED_VALUE"""),44698.64583333333)</f>
        <v>44698.64583</v>
      </c>
      <c r="B2549" s="1">
        <f>IFERROR(__xludf.DUMMYFUNCTION("""COMPUTED_VALUE"""),14000.0)</f>
        <v>14000</v>
      </c>
      <c r="C2549" s="1">
        <f>IFERROR(__xludf.DUMMYFUNCTION("""COMPUTED_VALUE"""),14150.0)</f>
        <v>14150</v>
      </c>
      <c r="D2549" s="1">
        <f>IFERROR(__xludf.DUMMYFUNCTION("""COMPUTED_VALUE"""),13600.0)</f>
        <v>13600</v>
      </c>
      <c r="E2549" s="1">
        <f>IFERROR(__xludf.DUMMYFUNCTION("""COMPUTED_VALUE"""),13700.0)</f>
        <v>13700</v>
      </c>
      <c r="F2549" s="1">
        <f>IFERROR(__xludf.DUMMYFUNCTION("""COMPUTED_VALUE"""),211969.0)</f>
        <v>211969</v>
      </c>
    </row>
    <row r="2550">
      <c r="A2550" s="2">
        <f>IFERROR(__xludf.DUMMYFUNCTION("""COMPUTED_VALUE"""),44699.64583333333)</f>
        <v>44699.64583</v>
      </c>
      <c r="B2550" s="1">
        <f>IFERROR(__xludf.DUMMYFUNCTION("""COMPUTED_VALUE"""),13500.0)</f>
        <v>13500</v>
      </c>
      <c r="C2550" s="1">
        <f>IFERROR(__xludf.DUMMYFUNCTION("""COMPUTED_VALUE"""),14050.0)</f>
        <v>14050</v>
      </c>
      <c r="D2550" s="1">
        <f>IFERROR(__xludf.DUMMYFUNCTION("""COMPUTED_VALUE"""),13400.0)</f>
        <v>13400</v>
      </c>
      <c r="E2550" s="1">
        <f>IFERROR(__xludf.DUMMYFUNCTION("""COMPUTED_VALUE"""),13550.0)</f>
        <v>13550</v>
      </c>
      <c r="F2550" s="1">
        <f>IFERROR(__xludf.DUMMYFUNCTION("""COMPUTED_VALUE"""),161166.0)</f>
        <v>161166</v>
      </c>
    </row>
    <row r="2551">
      <c r="A2551" s="2">
        <f>IFERROR(__xludf.DUMMYFUNCTION("""COMPUTED_VALUE"""),44700.64583333333)</f>
        <v>44700.64583</v>
      </c>
      <c r="B2551" s="1">
        <f>IFERROR(__xludf.DUMMYFUNCTION("""COMPUTED_VALUE"""),13100.0)</f>
        <v>13100</v>
      </c>
      <c r="C2551" s="1">
        <f>IFERROR(__xludf.DUMMYFUNCTION("""COMPUTED_VALUE"""),13450.0)</f>
        <v>13450</v>
      </c>
      <c r="D2551" s="1">
        <f>IFERROR(__xludf.DUMMYFUNCTION("""COMPUTED_VALUE"""),13050.0)</f>
        <v>13050</v>
      </c>
      <c r="E2551" s="1">
        <f>IFERROR(__xludf.DUMMYFUNCTION("""COMPUTED_VALUE"""),13150.0)</f>
        <v>13150</v>
      </c>
      <c r="F2551" s="1">
        <f>IFERROR(__xludf.DUMMYFUNCTION("""COMPUTED_VALUE"""),113419.0)</f>
        <v>113419</v>
      </c>
    </row>
    <row r="2552">
      <c r="A2552" s="2">
        <f>IFERROR(__xludf.DUMMYFUNCTION("""COMPUTED_VALUE"""),44701.64583333333)</f>
        <v>44701.64583</v>
      </c>
      <c r="B2552" s="1">
        <f>IFERROR(__xludf.DUMMYFUNCTION("""COMPUTED_VALUE"""),13150.0)</f>
        <v>13150</v>
      </c>
      <c r="C2552" s="1">
        <f>IFERROR(__xludf.DUMMYFUNCTION("""COMPUTED_VALUE"""),13400.0)</f>
        <v>13400</v>
      </c>
      <c r="D2552" s="1">
        <f>IFERROR(__xludf.DUMMYFUNCTION("""COMPUTED_VALUE"""),13050.0)</f>
        <v>13050</v>
      </c>
      <c r="E2552" s="1">
        <f>IFERROR(__xludf.DUMMYFUNCTION("""COMPUTED_VALUE"""),13200.0)</f>
        <v>13200</v>
      </c>
      <c r="F2552" s="1">
        <f>IFERROR(__xludf.DUMMYFUNCTION("""COMPUTED_VALUE"""),55433.0)</f>
        <v>55433</v>
      </c>
    </row>
    <row r="2553">
      <c r="A2553" s="2">
        <f>IFERROR(__xludf.DUMMYFUNCTION("""COMPUTED_VALUE"""),44704.64583333333)</f>
        <v>44704.64583</v>
      </c>
      <c r="B2553" s="1">
        <f>IFERROR(__xludf.DUMMYFUNCTION("""COMPUTED_VALUE"""),13100.0)</f>
        <v>13100</v>
      </c>
      <c r="C2553" s="1">
        <f>IFERROR(__xludf.DUMMYFUNCTION("""COMPUTED_VALUE"""),13200.0)</f>
        <v>13200</v>
      </c>
      <c r="D2553" s="1">
        <f>IFERROR(__xludf.DUMMYFUNCTION("""COMPUTED_VALUE"""),12800.0)</f>
        <v>12800</v>
      </c>
      <c r="E2553" s="1">
        <f>IFERROR(__xludf.DUMMYFUNCTION("""COMPUTED_VALUE"""),12900.0)</f>
        <v>12900</v>
      </c>
      <c r="F2553" s="1">
        <f>IFERROR(__xludf.DUMMYFUNCTION("""COMPUTED_VALUE"""),71494.0)</f>
        <v>71494</v>
      </c>
    </row>
    <row r="2554">
      <c r="A2554" s="2">
        <f>IFERROR(__xludf.DUMMYFUNCTION("""COMPUTED_VALUE"""),44705.64583333333)</f>
        <v>44705.64583</v>
      </c>
      <c r="B2554" s="1">
        <f>IFERROR(__xludf.DUMMYFUNCTION("""COMPUTED_VALUE"""),13000.0)</f>
        <v>13000</v>
      </c>
      <c r="C2554" s="1">
        <f>IFERROR(__xludf.DUMMYFUNCTION("""COMPUTED_VALUE"""),13050.0)</f>
        <v>13050</v>
      </c>
      <c r="D2554" s="1">
        <f>IFERROR(__xludf.DUMMYFUNCTION("""COMPUTED_VALUE"""),12750.0)</f>
        <v>12750</v>
      </c>
      <c r="E2554" s="1">
        <f>IFERROR(__xludf.DUMMYFUNCTION("""COMPUTED_VALUE"""),12800.0)</f>
        <v>12800</v>
      </c>
      <c r="F2554" s="1">
        <f>IFERROR(__xludf.DUMMYFUNCTION("""COMPUTED_VALUE"""),39743.0)</f>
        <v>39743</v>
      </c>
    </row>
    <row r="2555">
      <c r="A2555" s="2">
        <f>IFERROR(__xludf.DUMMYFUNCTION("""COMPUTED_VALUE"""),44706.64583333333)</f>
        <v>44706.64583</v>
      </c>
      <c r="B2555" s="1">
        <f>IFERROR(__xludf.DUMMYFUNCTION("""COMPUTED_VALUE"""),12800.0)</f>
        <v>12800</v>
      </c>
      <c r="C2555" s="1">
        <f>IFERROR(__xludf.DUMMYFUNCTION("""COMPUTED_VALUE"""),13200.0)</f>
        <v>13200</v>
      </c>
      <c r="D2555" s="1">
        <f>IFERROR(__xludf.DUMMYFUNCTION("""COMPUTED_VALUE"""),12700.0)</f>
        <v>12700</v>
      </c>
      <c r="E2555" s="1">
        <f>IFERROR(__xludf.DUMMYFUNCTION("""COMPUTED_VALUE"""),12950.0)</f>
        <v>12950</v>
      </c>
      <c r="F2555" s="1">
        <f>IFERROR(__xludf.DUMMYFUNCTION("""COMPUTED_VALUE"""),35823.0)</f>
        <v>35823</v>
      </c>
    </row>
    <row r="2556">
      <c r="A2556" s="2">
        <f>IFERROR(__xludf.DUMMYFUNCTION("""COMPUTED_VALUE"""),44707.64583333333)</f>
        <v>44707.64583</v>
      </c>
      <c r="B2556" s="1">
        <f>IFERROR(__xludf.DUMMYFUNCTION("""COMPUTED_VALUE"""),12950.0)</f>
        <v>12950</v>
      </c>
      <c r="C2556" s="1">
        <f>IFERROR(__xludf.DUMMYFUNCTION("""COMPUTED_VALUE"""),13150.0)</f>
        <v>13150</v>
      </c>
      <c r="D2556" s="1">
        <f>IFERROR(__xludf.DUMMYFUNCTION("""COMPUTED_VALUE"""),12850.0)</f>
        <v>12850</v>
      </c>
      <c r="E2556" s="1">
        <f>IFERROR(__xludf.DUMMYFUNCTION("""COMPUTED_VALUE"""),12950.0)</f>
        <v>12950</v>
      </c>
      <c r="F2556" s="1">
        <f>IFERROR(__xludf.DUMMYFUNCTION("""COMPUTED_VALUE"""),58858.0)</f>
        <v>58858</v>
      </c>
    </row>
    <row r="2557">
      <c r="A2557" s="2">
        <f>IFERROR(__xludf.DUMMYFUNCTION("""COMPUTED_VALUE"""),44708.64583333333)</f>
        <v>44708.64583</v>
      </c>
      <c r="B2557" s="1">
        <f>IFERROR(__xludf.DUMMYFUNCTION("""COMPUTED_VALUE"""),13000.0)</f>
        <v>13000</v>
      </c>
      <c r="C2557" s="1">
        <f>IFERROR(__xludf.DUMMYFUNCTION("""COMPUTED_VALUE"""),13650.0)</f>
        <v>13650</v>
      </c>
      <c r="D2557" s="1">
        <f>IFERROR(__xludf.DUMMYFUNCTION("""COMPUTED_VALUE"""),13000.0)</f>
        <v>13000</v>
      </c>
      <c r="E2557" s="1">
        <f>IFERROR(__xludf.DUMMYFUNCTION("""COMPUTED_VALUE"""),13250.0)</f>
        <v>13250</v>
      </c>
      <c r="F2557" s="1">
        <f>IFERROR(__xludf.DUMMYFUNCTION("""COMPUTED_VALUE"""),166396.0)</f>
        <v>166396</v>
      </c>
    </row>
    <row r="2558">
      <c r="A2558" s="2">
        <f>IFERROR(__xludf.DUMMYFUNCTION("""COMPUTED_VALUE"""),44711.64583333333)</f>
        <v>44711.64583</v>
      </c>
      <c r="B2558" s="1">
        <f>IFERROR(__xludf.DUMMYFUNCTION("""COMPUTED_VALUE"""),13400.0)</f>
        <v>13400</v>
      </c>
      <c r="C2558" s="1">
        <f>IFERROR(__xludf.DUMMYFUNCTION("""COMPUTED_VALUE"""),13600.0)</f>
        <v>13600</v>
      </c>
      <c r="D2558" s="1">
        <f>IFERROR(__xludf.DUMMYFUNCTION("""COMPUTED_VALUE"""),13300.0)</f>
        <v>13300</v>
      </c>
      <c r="E2558" s="1">
        <f>IFERROR(__xludf.DUMMYFUNCTION("""COMPUTED_VALUE"""),13600.0)</f>
        <v>13600</v>
      </c>
      <c r="F2558" s="1">
        <f>IFERROR(__xludf.DUMMYFUNCTION("""COMPUTED_VALUE"""),98677.0)</f>
        <v>98677</v>
      </c>
    </row>
    <row r="2559">
      <c r="A2559" s="2">
        <f>IFERROR(__xludf.DUMMYFUNCTION("""COMPUTED_VALUE"""),44712.64583333333)</f>
        <v>44712.64583</v>
      </c>
      <c r="B2559" s="1">
        <f>IFERROR(__xludf.DUMMYFUNCTION("""COMPUTED_VALUE"""),13600.0)</f>
        <v>13600</v>
      </c>
      <c r="C2559" s="1">
        <f>IFERROR(__xludf.DUMMYFUNCTION("""COMPUTED_VALUE"""),13650.0)</f>
        <v>13650</v>
      </c>
      <c r="D2559" s="1">
        <f>IFERROR(__xludf.DUMMYFUNCTION("""COMPUTED_VALUE"""),13400.0)</f>
        <v>13400</v>
      </c>
      <c r="E2559" s="1">
        <f>IFERROR(__xludf.DUMMYFUNCTION("""COMPUTED_VALUE"""),13500.0)</f>
        <v>13500</v>
      </c>
      <c r="F2559" s="1">
        <f>IFERROR(__xludf.DUMMYFUNCTION("""COMPUTED_VALUE"""),49834.0)</f>
        <v>49834</v>
      </c>
    </row>
    <row r="2560">
      <c r="A2560" s="2">
        <f>IFERROR(__xludf.DUMMYFUNCTION("""COMPUTED_VALUE"""),44714.64583333333)</f>
        <v>44714.64583</v>
      </c>
      <c r="B2560" s="1">
        <f>IFERROR(__xludf.DUMMYFUNCTION("""COMPUTED_VALUE"""),13500.0)</f>
        <v>13500</v>
      </c>
      <c r="C2560" s="1">
        <f>IFERROR(__xludf.DUMMYFUNCTION("""COMPUTED_VALUE"""),13600.0)</f>
        <v>13600</v>
      </c>
      <c r="D2560" s="1">
        <f>IFERROR(__xludf.DUMMYFUNCTION("""COMPUTED_VALUE"""),13250.0)</f>
        <v>13250</v>
      </c>
      <c r="E2560" s="1">
        <f>IFERROR(__xludf.DUMMYFUNCTION("""COMPUTED_VALUE"""),13500.0)</f>
        <v>13500</v>
      </c>
      <c r="F2560" s="1">
        <f>IFERROR(__xludf.DUMMYFUNCTION("""COMPUTED_VALUE"""),54908.0)</f>
        <v>54908</v>
      </c>
    </row>
    <row r="2561">
      <c r="A2561" s="2">
        <f>IFERROR(__xludf.DUMMYFUNCTION("""COMPUTED_VALUE"""),44715.64583333333)</f>
        <v>44715.64583</v>
      </c>
      <c r="B2561" s="1">
        <f>IFERROR(__xludf.DUMMYFUNCTION("""COMPUTED_VALUE"""),13500.0)</f>
        <v>13500</v>
      </c>
      <c r="C2561" s="1">
        <f>IFERROR(__xludf.DUMMYFUNCTION("""COMPUTED_VALUE"""),13600.0)</f>
        <v>13600</v>
      </c>
      <c r="D2561" s="1">
        <f>IFERROR(__xludf.DUMMYFUNCTION("""COMPUTED_VALUE"""),13350.0)</f>
        <v>13350</v>
      </c>
      <c r="E2561" s="1">
        <f>IFERROR(__xludf.DUMMYFUNCTION("""COMPUTED_VALUE"""),13350.0)</f>
        <v>13350</v>
      </c>
      <c r="F2561" s="1">
        <f>IFERROR(__xludf.DUMMYFUNCTION("""COMPUTED_VALUE"""),35157.0)</f>
        <v>35157</v>
      </c>
    </row>
    <row r="2562">
      <c r="A2562" s="2">
        <f>IFERROR(__xludf.DUMMYFUNCTION("""COMPUTED_VALUE"""),44719.64583333333)</f>
        <v>44719.64583</v>
      </c>
      <c r="B2562" s="1">
        <f>IFERROR(__xludf.DUMMYFUNCTION("""COMPUTED_VALUE"""),13450.0)</f>
        <v>13450</v>
      </c>
      <c r="C2562" s="1">
        <f>IFERROR(__xludf.DUMMYFUNCTION("""COMPUTED_VALUE"""),13600.0)</f>
        <v>13600</v>
      </c>
      <c r="D2562" s="1">
        <f>IFERROR(__xludf.DUMMYFUNCTION("""COMPUTED_VALUE"""),13150.0)</f>
        <v>13150</v>
      </c>
      <c r="E2562" s="1">
        <f>IFERROR(__xludf.DUMMYFUNCTION("""COMPUTED_VALUE"""),13500.0)</f>
        <v>13500</v>
      </c>
      <c r="F2562" s="1">
        <f>IFERROR(__xludf.DUMMYFUNCTION("""COMPUTED_VALUE"""),74680.0)</f>
        <v>74680</v>
      </c>
    </row>
    <row r="2563">
      <c r="A2563" s="2">
        <f>IFERROR(__xludf.DUMMYFUNCTION("""COMPUTED_VALUE"""),44720.64583333333)</f>
        <v>44720.64583</v>
      </c>
      <c r="B2563" s="1">
        <f>IFERROR(__xludf.DUMMYFUNCTION("""COMPUTED_VALUE"""),13400.0)</f>
        <v>13400</v>
      </c>
      <c r="C2563" s="1">
        <f>IFERROR(__xludf.DUMMYFUNCTION("""COMPUTED_VALUE"""),13550.0)</f>
        <v>13550</v>
      </c>
      <c r="D2563" s="1">
        <f>IFERROR(__xludf.DUMMYFUNCTION("""COMPUTED_VALUE"""),13350.0)</f>
        <v>13350</v>
      </c>
      <c r="E2563" s="1">
        <f>IFERROR(__xludf.DUMMYFUNCTION("""COMPUTED_VALUE"""),13400.0)</f>
        <v>13400</v>
      </c>
      <c r="F2563" s="1">
        <f>IFERROR(__xludf.DUMMYFUNCTION("""COMPUTED_VALUE"""),50104.0)</f>
        <v>50104</v>
      </c>
    </row>
    <row r="2564">
      <c r="A2564" s="2">
        <f>IFERROR(__xludf.DUMMYFUNCTION("""COMPUTED_VALUE"""),44721.64583333333)</f>
        <v>44721.64583</v>
      </c>
      <c r="B2564" s="1">
        <f>IFERROR(__xludf.DUMMYFUNCTION("""COMPUTED_VALUE"""),13400.0)</f>
        <v>13400</v>
      </c>
      <c r="C2564" s="1">
        <f>IFERROR(__xludf.DUMMYFUNCTION("""COMPUTED_VALUE"""),13400.0)</f>
        <v>13400</v>
      </c>
      <c r="D2564" s="1">
        <f>IFERROR(__xludf.DUMMYFUNCTION("""COMPUTED_VALUE"""),13150.0)</f>
        <v>13150</v>
      </c>
      <c r="E2564" s="1">
        <f>IFERROR(__xludf.DUMMYFUNCTION("""COMPUTED_VALUE"""),13250.0)</f>
        <v>13250</v>
      </c>
      <c r="F2564" s="1">
        <f>IFERROR(__xludf.DUMMYFUNCTION("""COMPUTED_VALUE"""),55602.0)</f>
        <v>55602</v>
      </c>
    </row>
    <row r="2565">
      <c r="A2565" s="2">
        <f>IFERROR(__xludf.DUMMYFUNCTION("""COMPUTED_VALUE"""),44722.64583333333)</f>
        <v>44722.64583</v>
      </c>
      <c r="B2565" s="1">
        <f>IFERROR(__xludf.DUMMYFUNCTION("""COMPUTED_VALUE"""),13250.0)</f>
        <v>13250</v>
      </c>
      <c r="C2565" s="1">
        <f>IFERROR(__xludf.DUMMYFUNCTION("""COMPUTED_VALUE"""),13650.0)</f>
        <v>13650</v>
      </c>
      <c r="D2565" s="1">
        <f>IFERROR(__xludf.DUMMYFUNCTION("""COMPUTED_VALUE"""),13150.0)</f>
        <v>13150</v>
      </c>
      <c r="E2565" s="1">
        <f>IFERROR(__xludf.DUMMYFUNCTION("""COMPUTED_VALUE"""),13500.0)</f>
        <v>13500</v>
      </c>
      <c r="F2565" s="1">
        <f>IFERROR(__xludf.DUMMYFUNCTION("""COMPUTED_VALUE"""),99028.0)</f>
        <v>99028</v>
      </c>
    </row>
    <row r="2566">
      <c r="A2566" s="2">
        <f>IFERROR(__xludf.DUMMYFUNCTION("""COMPUTED_VALUE"""),44725.64583333333)</f>
        <v>44725.64583</v>
      </c>
      <c r="B2566" s="1">
        <f>IFERROR(__xludf.DUMMYFUNCTION("""COMPUTED_VALUE"""),13300.0)</f>
        <v>13300</v>
      </c>
      <c r="C2566" s="1">
        <f>IFERROR(__xludf.DUMMYFUNCTION("""COMPUTED_VALUE"""),13600.0)</f>
        <v>13600</v>
      </c>
      <c r="D2566" s="1">
        <f>IFERROR(__xludf.DUMMYFUNCTION("""COMPUTED_VALUE"""),13100.0)</f>
        <v>13100</v>
      </c>
      <c r="E2566" s="1">
        <f>IFERROR(__xludf.DUMMYFUNCTION("""COMPUTED_VALUE"""),13350.0)</f>
        <v>13350</v>
      </c>
      <c r="F2566" s="1">
        <f>IFERROR(__xludf.DUMMYFUNCTION("""COMPUTED_VALUE"""),138505.0)</f>
        <v>138505</v>
      </c>
    </row>
    <row r="2567">
      <c r="A2567" s="2">
        <f>IFERROR(__xludf.DUMMYFUNCTION("""COMPUTED_VALUE"""),44726.64583333333)</f>
        <v>44726.64583</v>
      </c>
      <c r="B2567" s="1">
        <f>IFERROR(__xludf.DUMMYFUNCTION("""COMPUTED_VALUE"""),13200.0)</f>
        <v>13200</v>
      </c>
      <c r="C2567" s="1">
        <f>IFERROR(__xludf.DUMMYFUNCTION("""COMPUTED_VALUE"""),13500.0)</f>
        <v>13500</v>
      </c>
      <c r="D2567" s="1">
        <f>IFERROR(__xludf.DUMMYFUNCTION("""COMPUTED_VALUE"""),12500.0)</f>
        <v>12500</v>
      </c>
      <c r="E2567" s="1">
        <f>IFERROR(__xludf.DUMMYFUNCTION("""COMPUTED_VALUE"""),12650.0)</f>
        <v>12650</v>
      </c>
      <c r="F2567" s="1">
        <f>IFERROR(__xludf.DUMMYFUNCTION("""COMPUTED_VALUE"""),141709.0)</f>
        <v>141709</v>
      </c>
    </row>
    <row r="2568">
      <c r="A2568" s="2">
        <f>IFERROR(__xludf.DUMMYFUNCTION("""COMPUTED_VALUE"""),44727.64583333333)</f>
        <v>44727.64583</v>
      </c>
      <c r="B2568" s="1">
        <f>IFERROR(__xludf.DUMMYFUNCTION("""COMPUTED_VALUE"""),12500.0)</f>
        <v>12500</v>
      </c>
      <c r="C2568" s="1">
        <f>IFERROR(__xludf.DUMMYFUNCTION("""COMPUTED_VALUE"""),12900.0)</f>
        <v>12900</v>
      </c>
      <c r="D2568" s="1">
        <f>IFERROR(__xludf.DUMMYFUNCTION("""COMPUTED_VALUE"""),12000.0)</f>
        <v>12000</v>
      </c>
      <c r="E2568" s="1">
        <f>IFERROR(__xludf.DUMMYFUNCTION("""COMPUTED_VALUE"""),12100.0)</f>
        <v>12100</v>
      </c>
      <c r="F2568" s="1">
        <f>IFERROR(__xludf.DUMMYFUNCTION("""COMPUTED_VALUE"""),104026.0)</f>
        <v>104026</v>
      </c>
    </row>
    <row r="2569">
      <c r="A2569" s="2">
        <f>IFERROR(__xludf.DUMMYFUNCTION("""COMPUTED_VALUE"""),44728.64583333333)</f>
        <v>44728.64583</v>
      </c>
      <c r="B2569" s="1">
        <f>IFERROR(__xludf.DUMMYFUNCTION("""COMPUTED_VALUE"""),12150.0)</f>
        <v>12150</v>
      </c>
      <c r="C2569" s="1">
        <f>IFERROR(__xludf.DUMMYFUNCTION("""COMPUTED_VALUE"""),12550.0)</f>
        <v>12550</v>
      </c>
      <c r="D2569" s="1">
        <f>IFERROR(__xludf.DUMMYFUNCTION("""COMPUTED_VALUE"""),12050.0)</f>
        <v>12050</v>
      </c>
      <c r="E2569" s="1">
        <f>IFERROR(__xludf.DUMMYFUNCTION("""COMPUTED_VALUE"""),12050.0)</f>
        <v>12050</v>
      </c>
      <c r="F2569" s="1">
        <f>IFERROR(__xludf.DUMMYFUNCTION("""COMPUTED_VALUE"""),59417.0)</f>
        <v>59417</v>
      </c>
    </row>
    <row r="2570">
      <c r="A2570" s="2">
        <f>IFERROR(__xludf.DUMMYFUNCTION("""COMPUTED_VALUE"""),44729.64583333333)</f>
        <v>44729.64583</v>
      </c>
      <c r="B2570" s="1">
        <f>IFERROR(__xludf.DUMMYFUNCTION("""COMPUTED_VALUE"""),11850.0)</f>
        <v>11850</v>
      </c>
      <c r="C2570" s="1">
        <f>IFERROR(__xludf.DUMMYFUNCTION("""COMPUTED_VALUE"""),12250.0)</f>
        <v>12250</v>
      </c>
      <c r="D2570" s="1">
        <f>IFERROR(__xludf.DUMMYFUNCTION("""COMPUTED_VALUE"""),11550.0)</f>
        <v>11550</v>
      </c>
      <c r="E2570" s="1">
        <f>IFERROR(__xludf.DUMMYFUNCTION("""COMPUTED_VALUE"""),11950.0)</f>
        <v>11950</v>
      </c>
      <c r="F2570" s="1">
        <f>IFERROR(__xludf.DUMMYFUNCTION("""COMPUTED_VALUE"""),118336.0)</f>
        <v>118336</v>
      </c>
    </row>
    <row r="2571">
      <c r="A2571" s="2">
        <f>IFERROR(__xludf.DUMMYFUNCTION("""COMPUTED_VALUE"""),44732.64583333333)</f>
        <v>44732.64583</v>
      </c>
      <c r="B2571" s="1">
        <f>IFERROR(__xludf.DUMMYFUNCTION("""COMPUTED_VALUE"""),11900.0)</f>
        <v>11900</v>
      </c>
      <c r="C2571" s="1">
        <f>IFERROR(__xludf.DUMMYFUNCTION("""COMPUTED_VALUE"""),12000.0)</f>
        <v>12000</v>
      </c>
      <c r="D2571" s="1">
        <f>IFERROR(__xludf.DUMMYFUNCTION("""COMPUTED_VALUE"""),11200.0)</f>
        <v>11200</v>
      </c>
      <c r="E2571" s="1">
        <f>IFERROR(__xludf.DUMMYFUNCTION("""COMPUTED_VALUE"""),11300.0)</f>
        <v>11300</v>
      </c>
      <c r="F2571" s="1">
        <f>IFERROR(__xludf.DUMMYFUNCTION("""COMPUTED_VALUE"""),93988.0)</f>
        <v>93988</v>
      </c>
    </row>
    <row r="2572">
      <c r="A2572" s="2">
        <f>IFERROR(__xludf.DUMMYFUNCTION("""COMPUTED_VALUE"""),44733.64583333333)</f>
        <v>44733.64583</v>
      </c>
      <c r="B2572" s="1">
        <f>IFERROR(__xludf.DUMMYFUNCTION("""COMPUTED_VALUE"""),12200.0)</f>
        <v>12200</v>
      </c>
      <c r="C2572" s="1">
        <f>IFERROR(__xludf.DUMMYFUNCTION("""COMPUTED_VALUE"""),12950.0)</f>
        <v>12950</v>
      </c>
      <c r="D2572" s="1">
        <f>IFERROR(__xludf.DUMMYFUNCTION("""COMPUTED_VALUE"""),11500.0)</f>
        <v>11500</v>
      </c>
      <c r="E2572" s="1">
        <f>IFERROR(__xludf.DUMMYFUNCTION("""COMPUTED_VALUE"""),11700.0)</f>
        <v>11700</v>
      </c>
      <c r="F2572" s="1">
        <f>IFERROR(__xludf.DUMMYFUNCTION("""COMPUTED_VALUE"""),459437.0)</f>
        <v>459437</v>
      </c>
    </row>
    <row r="2573">
      <c r="A2573" s="2">
        <f>IFERROR(__xludf.DUMMYFUNCTION("""COMPUTED_VALUE"""),44734.64583333333)</f>
        <v>44734.64583</v>
      </c>
      <c r="B2573" s="1">
        <f>IFERROR(__xludf.DUMMYFUNCTION("""COMPUTED_VALUE"""),12150.0)</f>
        <v>12150</v>
      </c>
      <c r="C2573" s="1">
        <f>IFERROR(__xludf.DUMMYFUNCTION("""COMPUTED_VALUE"""),12600.0)</f>
        <v>12600</v>
      </c>
      <c r="D2573" s="1">
        <f>IFERROR(__xludf.DUMMYFUNCTION("""COMPUTED_VALUE"""),11900.0)</f>
        <v>11900</v>
      </c>
      <c r="E2573" s="1">
        <f>IFERROR(__xludf.DUMMYFUNCTION("""COMPUTED_VALUE"""),12150.0)</f>
        <v>12150</v>
      </c>
      <c r="F2573" s="1">
        <f>IFERROR(__xludf.DUMMYFUNCTION("""COMPUTED_VALUE"""),342863.0)</f>
        <v>342863</v>
      </c>
    </row>
    <row r="2574">
      <c r="A2574" s="2">
        <f>IFERROR(__xludf.DUMMYFUNCTION("""COMPUTED_VALUE"""),44735.64583333333)</f>
        <v>44735.64583</v>
      </c>
      <c r="B2574" s="1">
        <f>IFERROR(__xludf.DUMMYFUNCTION("""COMPUTED_VALUE"""),11900.0)</f>
        <v>11900</v>
      </c>
      <c r="C2574" s="1">
        <f>IFERROR(__xludf.DUMMYFUNCTION("""COMPUTED_VALUE"""),12050.0)</f>
        <v>12050</v>
      </c>
      <c r="D2574" s="1">
        <f>IFERROR(__xludf.DUMMYFUNCTION("""COMPUTED_VALUE"""),10950.0)</f>
        <v>10950</v>
      </c>
      <c r="E2574" s="1">
        <f>IFERROR(__xludf.DUMMYFUNCTION("""COMPUTED_VALUE"""),10950.0)</f>
        <v>10950</v>
      </c>
      <c r="F2574" s="1">
        <f>IFERROR(__xludf.DUMMYFUNCTION("""COMPUTED_VALUE"""),184430.0)</f>
        <v>184430</v>
      </c>
    </row>
    <row r="2575">
      <c r="A2575" s="2">
        <f>IFERROR(__xludf.DUMMYFUNCTION("""COMPUTED_VALUE"""),44736.64583333333)</f>
        <v>44736.64583</v>
      </c>
      <c r="B2575" s="1">
        <f>IFERROR(__xludf.DUMMYFUNCTION("""COMPUTED_VALUE"""),10750.0)</f>
        <v>10750</v>
      </c>
      <c r="C2575" s="1">
        <f>IFERROR(__xludf.DUMMYFUNCTION("""COMPUTED_VALUE"""),11150.0)</f>
        <v>11150</v>
      </c>
      <c r="D2575" s="1">
        <f>IFERROR(__xludf.DUMMYFUNCTION("""COMPUTED_VALUE"""),10750.0)</f>
        <v>10750</v>
      </c>
      <c r="E2575" s="1">
        <f>IFERROR(__xludf.DUMMYFUNCTION("""COMPUTED_VALUE"""),11100.0)</f>
        <v>11100</v>
      </c>
      <c r="F2575" s="1">
        <f>IFERROR(__xludf.DUMMYFUNCTION("""COMPUTED_VALUE"""),113658.0)</f>
        <v>113658</v>
      </c>
    </row>
    <row r="2576">
      <c r="A2576" s="2">
        <f>IFERROR(__xludf.DUMMYFUNCTION("""COMPUTED_VALUE"""),44739.64583333333)</f>
        <v>44739.64583</v>
      </c>
      <c r="B2576" s="1">
        <f>IFERROR(__xludf.DUMMYFUNCTION("""COMPUTED_VALUE"""),11100.0)</f>
        <v>11100</v>
      </c>
      <c r="C2576" s="1">
        <f>IFERROR(__xludf.DUMMYFUNCTION("""COMPUTED_VALUE"""),11450.0)</f>
        <v>11450</v>
      </c>
      <c r="D2576" s="1">
        <f>IFERROR(__xludf.DUMMYFUNCTION("""COMPUTED_VALUE"""),11050.0)</f>
        <v>11050</v>
      </c>
      <c r="E2576" s="1">
        <f>IFERROR(__xludf.DUMMYFUNCTION("""COMPUTED_VALUE"""),11350.0)</f>
        <v>11350</v>
      </c>
      <c r="F2576" s="1">
        <f>IFERROR(__xludf.DUMMYFUNCTION("""COMPUTED_VALUE"""),71916.0)</f>
        <v>71916</v>
      </c>
    </row>
    <row r="2577">
      <c r="A2577" s="2">
        <f>IFERROR(__xludf.DUMMYFUNCTION("""COMPUTED_VALUE"""),44740.64583333333)</f>
        <v>44740.64583</v>
      </c>
      <c r="B2577" s="1">
        <f>IFERROR(__xludf.DUMMYFUNCTION("""COMPUTED_VALUE"""),11350.0)</f>
        <v>11350</v>
      </c>
      <c r="C2577" s="1">
        <f>IFERROR(__xludf.DUMMYFUNCTION("""COMPUTED_VALUE"""),11450.0)</f>
        <v>11450</v>
      </c>
      <c r="D2577" s="1">
        <f>IFERROR(__xludf.DUMMYFUNCTION("""COMPUTED_VALUE"""),11200.0)</f>
        <v>11200</v>
      </c>
      <c r="E2577" s="1">
        <f>IFERROR(__xludf.DUMMYFUNCTION("""COMPUTED_VALUE"""),11300.0)</f>
        <v>11300</v>
      </c>
      <c r="F2577" s="1">
        <f>IFERROR(__xludf.DUMMYFUNCTION("""COMPUTED_VALUE"""),37829.0)</f>
        <v>37829</v>
      </c>
    </row>
    <row r="2578">
      <c r="A2578" s="2">
        <f>IFERROR(__xludf.DUMMYFUNCTION("""COMPUTED_VALUE"""),44741.64583333333)</f>
        <v>44741.64583</v>
      </c>
      <c r="B2578" s="1">
        <f>IFERROR(__xludf.DUMMYFUNCTION("""COMPUTED_VALUE"""),11100.0)</f>
        <v>11100</v>
      </c>
      <c r="C2578" s="1">
        <f>IFERROR(__xludf.DUMMYFUNCTION("""COMPUTED_VALUE"""),11300.0)</f>
        <v>11300</v>
      </c>
      <c r="D2578" s="1">
        <f>IFERROR(__xludf.DUMMYFUNCTION("""COMPUTED_VALUE"""),11100.0)</f>
        <v>11100</v>
      </c>
      <c r="E2578" s="1">
        <f>IFERROR(__xludf.DUMMYFUNCTION("""COMPUTED_VALUE"""),11150.0)</f>
        <v>11150</v>
      </c>
      <c r="F2578" s="1">
        <f>IFERROR(__xludf.DUMMYFUNCTION("""COMPUTED_VALUE"""),38304.0)</f>
        <v>38304</v>
      </c>
    </row>
    <row r="2579">
      <c r="A2579" s="2">
        <f>IFERROR(__xludf.DUMMYFUNCTION("""COMPUTED_VALUE"""),44742.64583333333)</f>
        <v>44742.64583</v>
      </c>
      <c r="B2579" s="1">
        <f>IFERROR(__xludf.DUMMYFUNCTION("""COMPUTED_VALUE"""),11350.0)</f>
        <v>11350</v>
      </c>
      <c r="C2579" s="1">
        <f>IFERROR(__xludf.DUMMYFUNCTION("""COMPUTED_VALUE"""),11450.0)</f>
        <v>11450</v>
      </c>
      <c r="D2579" s="1">
        <f>IFERROR(__xludf.DUMMYFUNCTION("""COMPUTED_VALUE"""),11150.0)</f>
        <v>11150</v>
      </c>
      <c r="E2579" s="1">
        <f>IFERROR(__xludf.DUMMYFUNCTION("""COMPUTED_VALUE"""),11150.0)</f>
        <v>11150</v>
      </c>
      <c r="F2579" s="1">
        <f>IFERROR(__xludf.DUMMYFUNCTION("""COMPUTED_VALUE"""),73151.0)</f>
        <v>73151</v>
      </c>
    </row>
    <row r="2580">
      <c r="A2580" s="2">
        <f>IFERROR(__xludf.DUMMYFUNCTION("""COMPUTED_VALUE"""),44743.64583333333)</f>
        <v>44743.64583</v>
      </c>
      <c r="B2580" s="1">
        <f>IFERROR(__xludf.DUMMYFUNCTION("""COMPUTED_VALUE"""),11600.0)</f>
        <v>11600</v>
      </c>
      <c r="C2580" s="1">
        <f>IFERROR(__xludf.DUMMYFUNCTION("""COMPUTED_VALUE"""),11600.0)</f>
        <v>11600</v>
      </c>
      <c r="D2580" s="1">
        <f>IFERROR(__xludf.DUMMYFUNCTION("""COMPUTED_VALUE"""),10750.0)</f>
        <v>10750</v>
      </c>
      <c r="E2580" s="1">
        <f>IFERROR(__xludf.DUMMYFUNCTION("""COMPUTED_VALUE"""),10850.0)</f>
        <v>10850</v>
      </c>
      <c r="F2580" s="1">
        <f>IFERROR(__xludf.DUMMYFUNCTION("""COMPUTED_VALUE"""),83897.0)</f>
        <v>83897</v>
      </c>
    </row>
    <row r="2581">
      <c r="A2581" s="2">
        <f>IFERROR(__xludf.DUMMYFUNCTION("""COMPUTED_VALUE"""),44746.64583333333)</f>
        <v>44746.64583</v>
      </c>
      <c r="B2581" s="1">
        <f>IFERROR(__xludf.DUMMYFUNCTION("""COMPUTED_VALUE"""),10900.0)</f>
        <v>10900</v>
      </c>
      <c r="C2581" s="1">
        <f>IFERROR(__xludf.DUMMYFUNCTION("""COMPUTED_VALUE"""),10900.0)</f>
        <v>10900</v>
      </c>
      <c r="D2581" s="1">
        <f>IFERROR(__xludf.DUMMYFUNCTION("""COMPUTED_VALUE"""),10450.0)</f>
        <v>10450</v>
      </c>
      <c r="E2581" s="1">
        <f>IFERROR(__xludf.DUMMYFUNCTION("""COMPUTED_VALUE"""),10600.0)</f>
        <v>10600</v>
      </c>
      <c r="F2581" s="1">
        <f>IFERROR(__xludf.DUMMYFUNCTION("""COMPUTED_VALUE"""),56233.0)</f>
        <v>56233</v>
      </c>
    </row>
    <row r="2582">
      <c r="A2582" s="2">
        <f>IFERROR(__xludf.DUMMYFUNCTION("""COMPUTED_VALUE"""),44747.64583333333)</f>
        <v>44747.64583</v>
      </c>
      <c r="B2582" s="1">
        <f>IFERROR(__xludf.DUMMYFUNCTION("""COMPUTED_VALUE"""),10500.0)</f>
        <v>10500</v>
      </c>
      <c r="C2582" s="1">
        <f>IFERROR(__xludf.DUMMYFUNCTION("""COMPUTED_VALUE"""),10850.0)</f>
        <v>10850</v>
      </c>
      <c r="D2582" s="1">
        <f>IFERROR(__xludf.DUMMYFUNCTION("""COMPUTED_VALUE"""),10500.0)</f>
        <v>10500</v>
      </c>
      <c r="E2582" s="1">
        <f>IFERROR(__xludf.DUMMYFUNCTION("""COMPUTED_VALUE"""),10750.0)</f>
        <v>10750</v>
      </c>
      <c r="F2582" s="1">
        <f>IFERROR(__xludf.DUMMYFUNCTION("""COMPUTED_VALUE"""),29124.0)</f>
        <v>29124</v>
      </c>
    </row>
    <row r="2583">
      <c r="A2583" s="2">
        <f>IFERROR(__xludf.DUMMYFUNCTION("""COMPUTED_VALUE"""),44748.64583333333)</f>
        <v>44748.64583</v>
      </c>
      <c r="B2583" s="1">
        <f>IFERROR(__xludf.DUMMYFUNCTION("""COMPUTED_VALUE"""),10650.0)</f>
        <v>10650</v>
      </c>
      <c r="C2583" s="1">
        <f>IFERROR(__xludf.DUMMYFUNCTION("""COMPUTED_VALUE"""),10750.0)</f>
        <v>10750</v>
      </c>
      <c r="D2583" s="1">
        <f>IFERROR(__xludf.DUMMYFUNCTION("""COMPUTED_VALUE"""),10500.0)</f>
        <v>10500</v>
      </c>
      <c r="E2583" s="1">
        <f>IFERROR(__xludf.DUMMYFUNCTION("""COMPUTED_VALUE"""),10550.0)</f>
        <v>10550</v>
      </c>
      <c r="F2583" s="1">
        <f>IFERROR(__xludf.DUMMYFUNCTION("""COMPUTED_VALUE"""),32387.0)</f>
        <v>32387</v>
      </c>
    </row>
    <row r="2584">
      <c r="A2584" s="2">
        <f>IFERROR(__xludf.DUMMYFUNCTION("""COMPUTED_VALUE"""),44749.64583333333)</f>
        <v>44749.64583</v>
      </c>
      <c r="B2584" s="1">
        <f>IFERROR(__xludf.DUMMYFUNCTION("""COMPUTED_VALUE"""),10600.0)</f>
        <v>10600</v>
      </c>
      <c r="C2584" s="1">
        <f>IFERROR(__xludf.DUMMYFUNCTION("""COMPUTED_VALUE"""),10750.0)</f>
        <v>10750</v>
      </c>
      <c r="D2584" s="1">
        <f>IFERROR(__xludf.DUMMYFUNCTION("""COMPUTED_VALUE"""),10550.0)</f>
        <v>10550</v>
      </c>
      <c r="E2584" s="1">
        <f>IFERROR(__xludf.DUMMYFUNCTION("""COMPUTED_VALUE"""),10750.0)</f>
        <v>10750</v>
      </c>
      <c r="F2584" s="1">
        <f>IFERROR(__xludf.DUMMYFUNCTION("""COMPUTED_VALUE"""),30915.0)</f>
        <v>30915</v>
      </c>
    </row>
    <row r="2585">
      <c r="A2585" s="2">
        <f>IFERROR(__xludf.DUMMYFUNCTION("""COMPUTED_VALUE"""),44750.64583333333)</f>
        <v>44750.64583</v>
      </c>
      <c r="B2585" s="1">
        <f>IFERROR(__xludf.DUMMYFUNCTION("""COMPUTED_VALUE"""),10750.0)</f>
        <v>10750</v>
      </c>
      <c r="C2585" s="1">
        <f>IFERROR(__xludf.DUMMYFUNCTION("""COMPUTED_VALUE"""),11000.0)</f>
        <v>11000</v>
      </c>
      <c r="D2585" s="1">
        <f>IFERROR(__xludf.DUMMYFUNCTION("""COMPUTED_VALUE"""),10750.0)</f>
        <v>10750</v>
      </c>
      <c r="E2585" s="1">
        <f>IFERROR(__xludf.DUMMYFUNCTION("""COMPUTED_VALUE"""),10850.0)</f>
        <v>10850</v>
      </c>
      <c r="F2585" s="1">
        <f>IFERROR(__xludf.DUMMYFUNCTION("""COMPUTED_VALUE"""),33476.0)</f>
        <v>33476</v>
      </c>
    </row>
    <row r="2586">
      <c r="A2586" s="2">
        <f>IFERROR(__xludf.DUMMYFUNCTION("""COMPUTED_VALUE"""),44753.64583333333)</f>
        <v>44753.64583</v>
      </c>
      <c r="B2586" s="1">
        <f>IFERROR(__xludf.DUMMYFUNCTION("""COMPUTED_VALUE"""),10900.0)</f>
        <v>10900</v>
      </c>
      <c r="C2586" s="1">
        <f>IFERROR(__xludf.DUMMYFUNCTION("""COMPUTED_VALUE"""),10900.0)</f>
        <v>10900</v>
      </c>
      <c r="D2586" s="1">
        <f>IFERROR(__xludf.DUMMYFUNCTION("""COMPUTED_VALUE"""),10700.0)</f>
        <v>10700</v>
      </c>
      <c r="E2586" s="1">
        <f>IFERROR(__xludf.DUMMYFUNCTION("""COMPUTED_VALUE"""),10850.0)</f>
        <v>10850</v>
      </c>
      <c r="F2586" s="1">
        <f>IFERROR(__xludf.DUMMYFUNCTION("""COMPUTED_VALUE"""),26092.0)</f>
        <v>26092</v>
      </c>
    </row>
    <row r="2587">
      <c r="A2587" s="2">
        <f>IFERROR(__xludf.DUMMYFUNCTION("""COMPUTED_VALUE"""),44754.64583333333)</f>
        <v>44754.64583</v>
      </c>
      <c r="B2587" s="1">
        <f>IFERROR(__xludf.DUMMYFUNCTION("""COMPUTED_VALUE"""),10750.0)</f>
        <v>10750</v>
      </c>
      <c r="C2587" s="1">
        <f>IFERROR(__xludf.DUMMYFUNCTION("""COMPUTED_VALUE"""),10800.0)</f>
        <v>10800</v>
      </c>
      <c r="D2587" s="1">
        <f>IFERROR(__xludf.DUMMYFUNCTION("""COMPUTED_VALUE"""),10450.0)</f>
        <v>10450</v>
      </c>
      <c r="E2587" s="1">
        <f>IFERROR(__xludf.DUMMYFUNCTION("""COMPUTED_VALUE"""),10550.0)</f>
        <v>10550</v>
      </c>
      <c r="F2587" s="1">
        <f>IFERROR(__xludf.DUMMYFUNCTION("""COMPUTED_VALUE"""),37889.0)</f>
        <v>37889</v>
      </c>
    </row>
    <row r="2588">
      <c r="A2588" s="2">
        <f>IFERROR(__xludf.DUMMYFUNCTION("""COMPUTED_VALUE"""),44755.64583333333)</f>
        <v>44755.64583</v>
      </c>
      <c r="B2588" s="1">
        <f>IFERROR(__xludf.DUMMYFUNCTION("""COMPUTED_VALUE"""),10600.0)</f>
        <v>10600</v>
      </c>
      <c r="C2588" s="1">
        <f>IFERROR(__xludf.DUMMYFUNCTION("""COMPUTED_VALUE"""),10650.0)</f>
        <v>10650</v>
      </c>
      <c r="D2588" s="1">
        <f>IFERROR(__xludf.DUMMYFUNCTION("""COMPUTED_VALUE"""),10400.0)</f>
        <v>10400</v>
      </c>
      <c r="E2588" s="1">
        <f>IFERROR(__xludf.DUMMYFUNCTION("""COMPUTED_VALUE"""),10550.0)</f>
        <v>10550</v>
      </c>
      <c r="F2588" s="1">
        <f>IFERROR(__xludf.DUMMYFUNCTION("""COMPUTED_VALUE"""),45756.0)</f>
        <v>45756</v>
      </c>
    </row>
    <row r="2589">
      <c r="A2589" s="2">
        <f>IFERROR(__xludf.DUMMYFUNCTION("""COMPUTED_VALUE"""),44756.64583333333)</f>
        <v>44756.64583</v>
      </c>
      <c r="B2589" s="1">
        <f>IFERROR(__xludf.DUMMYFUNCTION("""COMPUTED_VALUE"""),10700.0)</f>
        <v>10700</v>
      </c>
      <c r="C2589" s="1">
        <f>IFERROR(__xludf.DUMMYFUNCTION("""COMPUTED_VALUE"""),10900.0)</f>
        <v>10900</v>
      </c>
      <c r="D2589" s="1">
        <f>IFERROR(__xludf.DUMMYFUNCTION("""COMPUTED_VALUE"""),10650.0)</f>
        <v>10650</v>
      </c>
      <c r="E2589" s="1">
        <f>IFERROR(__xludf.DUMMYFUNCTION("""COMPUTED_VALUE"""),10800.0)</f>
        <v>10800</v>
      </c>
      <c r="F2589" s="1">
        <f>IFERROR(__xludf.DUMMYFUNCTION("""COMPUTED_VALUE"""),43906.0)</f>
        <v>43906</v>
      </c>
    </row>
    <row r="2590">
      <c r="A2590" s="2">
        <f>IFERROR(__xludf.DUMMYFUNCTION("""COMPUTED_VALUE"""),44757.64583333333)</f>
        <v>44757.64583</v>
      </c>
      <c r="B2590" s="1">
        <f>IFERROR(__xludf.DUMMYFUNCTION("""COMPUTED_VALUE"""),10800.0)</f>
        <v>10800</v>
      </c>
      <c r="C2590" s="1">
        <f>IFERROR(__xludf.DUMMYFUNCTION("""COMPUTED_VALUE"""),10800.0)</f>
        <v>10800</v>
      </c>
      <c r="D2590" s="1">
        <f>IFERROR(__xludf.DUMMYFUNCTION("""COMPUTED_VALUE"""),10500.0)</f>
        <v>10500</v>
      </c>
      <c r="E2590" s="1">
        <f>IFERROR(__xludf.DUMMYFUNCTION("""COMPUTED_VALUE"""),10700.0)</f>
        <v>10700</v>
      </c>
      <c r="F2590" s="1">
        <f>IFERROR(__xludf.DUMMYFUNCTION("""COMPUTED_VALUE"""),18853.0)</f>
        <v>18853</v>
      </c>
    </row>
    <row r="2591">
      <c r="A2591" s="2">
        <f>IFERROR(__xludf.DUMMYFUNCTION("""COMPUTED_VALUE"""),44760.64583333333)</f>
        <v>44760.64583</v>
      </c>
      <c r="B2591" s="1">
        <f>IFERROR(__xludf.DUMMYFUNCTION("""COMPUTED_VALUE"""),10650.0)</f>
        <v>10650</v>
      </c>
      <c r="C2591" s="1">
        <f>IFERROR(__xludf.DUMMYFUNCTION("""COMPUTED_VALUE"""),10900.0)</f>
        <v>10900</v>
      </c>
      <c r="D2591" s="1">
        <f>IFERROR(__xludf.DUMMYFUNCTION("""COMPUTED_VALUE"""),10650.0)</f>
        <v>10650</v>
      </c>
      <c r="E2591" s="1">
        <f>IFERROR(__xludf.DUMMYFUNCTION("""COMPUTED_VALUE"""),10800.0)</f>
        <v>10800</v>
      </c>
      <c r="F2591" s="1">
        <f>IFERROR(__xludf.DUMMYFUNCTION("""COMPUTED_VALUE"""),34205.0)</f>
        <v>34205</v>
      </c>
    </row>
    <row r="2592">
      <c r="A2592" s="2">
        <f>IFERROR(__xludf.DUMMYFUNCTION("""COMPUTED_VALUE"""),44761.64583333333)</f>
        <v>44761.64583</v>
      </c>
      <c r="B2592" s="1">
        <f>IFERROR(__xludf.DUMMYFUNCTION("""COMPUTED_VALUE"""),10750.0)</f>
        <v>10750</v>
      </c>
      <c r="C2592" s="1">
        <f>IFERROR(__xludf.DUMMYFUNCTION("""COMPUTED_VALUE"""),10950.0)</f>
        <v>10950</v>
      </c>
      <c r="D2592" s="1">
        <f>IFERROR(__xludf.DUMMYFUNCTION("""COMPUTED_VALUE"""),10750.0)</f>
        <v>10750</v>
      </c>
      <c r="E2592" s="1">
        <f>IFERROR(__xludf.DUMMYFUNCTION("""COMPUTED_VALUE"""),10850.0)</f>
        <v>10850</v>
      </c>
      <c r="F2592" s="1">
        <f>IFERROR(__xludf.DUMMYFUNCTION("""COMPUTED_VALUE"""),25938.0)</f>
        <v>25938</v>
      </c>
    </row>
    <row r="2593">
      <c r="A2593" s="2">
        <f>IFERROR(__xludf.DUMMYFUNCTION("""COMPUTED_VALUE"""),44762.64583333333)</f>
        <v>44762.64583</v>
      </c>
      <c r="B2593" s="1">
        <f>IFERROR(__xludf.DUMMYFUNCTION("""COMPUTED_VALUE"""),11050.0)</f>
        <v>11050</v>
      </c>
      <c r="C2593" s="1">
        <f>IFERROR(__xludf.DUMMYFUNCTION("""COMPUTED_VALUE"""),11050.0)</f>
        <v>11050</v>
      </c>
      <c r="D2593" s="1">
        <f>IFERROR(__xludf.DUMMYFUNCTION("""COMPUTED_VALUE"""),10900.0)</f>
        <v>10900</v>
      </c>
      <c r="E2593" s="1">
        <f>IFERROR(__xludf.DUMMYFUNCTION("""COMPUTED_VALUE"""),10950.0)</f>
        <v>10950</v>
      </c>
      <c r="F2593" s="1">
        <f>IFERROR(__xludf.DUMMYFUNCTION("""COMPUTED_VALUE"""),36115.0)</f>
        <v>36115</v>
      </c>
    </row>
    <row r="2594">
      <c r="A2594" s="2">
        <f>IFERROR(__xludf.DUMMYFUNCTION("""COMPUTED_VALUE"""),44763.64583333333)</f>
        <v>44763.64583</v>
      </c>
      <c r="B2594" s="1">
        <f>IFERROR(__xludf.DUMMYFUNCTION("""COMPUTED_VALUE"""),11050.0)</f>
        <v>11050</v>
      </c>
      <c r="C2594" s="1">
        <f>IFERROR(__xludf.DUMMYFUNCTION("""COMPUTED_VALUE"""),11050.0)</f>
        <v>11050</v>
      </c>
      <c r="D2594" s="1">
        <f>IFERROR(__xludf.DUMMYFUNCTION("""COMPUTED_VALUE"""),10900.0)</f>
        <v>10900</v>
      </c>
      <c r="E2594" s="1">
        <f>IFERROR(__xludf.DUMMYFUNCTION("""COMPUTED_VALUE"""),10950.0)</f>
        <v>10950</v>
      </c>
      <c r="F2594" s="1">
        <f>IFERROR(__xludf.DUMMYFUNCTION("""COMPUTED_VALUE"""),31037.0)</f>
        <v>31037</v>
      </c>
    </row>
    <row r="2595">
      <c r="A2595" s="2">
        <f>IFERROR(__xludf.DUMMYFUNCTION("""COMPUTED_VALUE"""),44764.64583333333)</f>
        <v>44764.64583</v>
      </c>
      <c r="B2595" s="1">
        <f>IFERROR(__xludf.DUMMYFUNCTION("""COMPUTED_VALUE"""),10950.0)</f>
        <v>10950</v>
      </c>
      <c r="C2595" s="1">
        <f>IFERROR(__xludf.DUMMYFUNCTION("""COMPUTED_VALUE"""),11050.0)</f>
        <v>11050</v>
      </c>
      <c r="D2595" s="1">
        <f>IFERROR(__xludf.DUMMYFUNCTION("""COMPUTED_VALUE"""),10850.0)</f>
        <v>10850</v>
      </c>
      <c r="E2595" s="1">
        <f>IFERROR(__xludf.DUMMYFUNCTION("""COMPUTED_VALUE"""),10900.0)</f>
        <v>10900</v>
      </c>
      <c r="F2595" s="1">
        <f>IFERROR(__xludf.DUMMYFUNCTION("""COMPUTED_VALUE"""),29099.0)</f>
        <v>29099</v>
      </c>
    </row>
    <row r="2596">
      <c r="A2596" s="2">
        <f>IFERROR(__xludf.DUMMYFUNCTION("""COMPUTED_VALUE"""),44767.64583333333)</f>
        <v>44767.64583</v>
      </c>
      <c r="B2596" s="1">
        <f>IFERROR(__xludf.DUMMYFUNCTION("""COMPUTED_VALUE"""),10900.0)</f>
        <v>10900</v>
      </c>
      <c r="C2596" s="1">
        <f>IFERROR(__xludf.DUMMYFUNCTION("""COMPUTED_VALUE"""),11000.0)</f>
        <v>11000</v>
      </c>
      <c r="D2596" s="1">
        <f>IFERROR(__xludf.DUMMYFUNCTION("""COMPUTED_VALUE"""),10850.0)</f>
        <v>10850</v>
      </c>
      <c r="E2596" s="1">
        <f>IFERROR(__xludf.DUMMYFUNCTION("""COMPUTED_VALUE"""),10950.0)</f>
        <v>10950</v>
      </c>
      <c r="F2596" s="1">
        <f>IFERROR(__xludf.DUMMYFUNCTION("""COMPUTED_VALUE"""),24665.0)</f>
        <v>24665</v>
      </c>
    </row>
    <row r="2597">
      <c r="A2597" s="2">
        <f>IFERROR(__xludf.DUMMYFUNCTION("""COMPUTED_VALUE"""),44768.64583333333)</f>
        <v>44768.64583</v>
      </c>
      <c r="B2597" s="1">
        <f>IFERROR(__xludf.DUMMYFUNCTION("""COMPUTED_VALUE"""),10950.0)</f>
        <v>10950</v>
      </c>
      <c r="C2597" s="1">
        <f>IFERROR(__xludf.DUMMYFUNCTION("""COMPUTED_VALUE"""),11150.0)</f>
        <v>11150</v>
      </c>
      <c r="D2597" s="1">
        <f>IFERROR(__xludf.DUMMYFUNCTION("""COMPUTED_VALUE"""),10900.0)</f>
        <v>10900</v>
      </c>
      <c r="E2597" s="1">
        <f>IFERROR(__xludf.DUMMYFUNCTION("""COMPUTED_VALUE"""),11100.0)</f>
        <v>11100</v>
      </c>
      <c r="F2597" s="1">
        <f>IFERROR(__xludf.DUMMYFUNCTION("""COMPUTED_VALUE"""),51658.0)</f>
        <v>51658</v>
      </c>
    </row>
    <row r="2598">
      <c r="A2598" s="2">
        <f>IFERROR(__xludf.DUMMYFUNCTION("""COMPUTED_VALUE"""),44769.64583333333)</f>
        <v>44769.64583</v>
      </c>
      <c r="B2598" s="1">
        <f>IFERROR(__xludf.DUMMYFUNCTION("""COMPUTED_VALUE"""),11050.0)</f>
        <v>11050</v>
      </c>
      <c r="C2598" s="1">
        <f>IFERROR(__xludf.DUMMYFUNCTION("""COMPUTED_VALUE"""),11050.0)</f>
        <v>11050</v>
      </c>
      <c r="D2598" s="1">
        <f>IFERROR(__xludf.DUMMYFUNCTION("""COMPUTED_VALUE"""),10900.0)</f>
        <v>10900</v>
      </c>
      <c r="E2598" s="1">
        <f>IFERROR(__xludf.DUMMYFUNCTION("""COMPUTED_VALUE"""),11000.0)</f>
        <v>11000</v>
      </c>
      <c r="F2598" s="1">
        <f>IFERROR(__xludf.DUMMYFUNCTION("""COMPUTED_VALUE"""),15610.0)</f>
        <v>15610</v>
      </c>
    </row>
    <row r="2599">
      <c r="A2599" s="2">
        <f>IFERROR(__xludf.DUMMYFUNCTION("""COMPUTED_VALUE"""),44770.64583333333)</f>
        <v>44770.64583</v>
      </c>
      <c r="B2599" s="1">
        <f>IFERROR(__xludf.DUMMYFUNCTION("""COMPUTED_VALUE"""),11050.0)</f>
        <v>11050</v>
      </c>
      <c r="C2599" s="1">
        <f>IFERROR(__xludf.DUMMYFUNCTION("""COMPUTED_VALUE"""),11200.0)</f>
        <v>11200</v>
      </c>
      <c r="D2599" s="1">
        <f>IFERROR(__xludf.DUMMYFUNCTION("""COMPUTED_VALUE"""),11000.0)</f>
        <v>11000</v>
      </c>
      <c r="E2599" s="1">
        <f>IFERROR(__xludf.DUMMYFUNCTION("""COMPUTED_VALUE"""),11100.0)</f>
        <v>11100</v>
      </c>
      <c r="F2599" s="1">
        <f>IFERROR(__xludf.DUMMYFUNCTION("""COMPUTED_VALUE"""),26833.0)</f>
        <v>26833</v>
      </c>
    </row>
    <row r="2600">
      <c r="A2600" s="2">
        <f>IFERROR(__xludf.DUMMYFUNCTION("""COMPUTED_VALUE"""),44771.64583333333)</f>
        <v>44771.64583</v>
      </c>
      <c r="B2600" s="1">
        <f>IFERROR(__xludf.DUMMYFUNCTION("""COMPUTED_VALUE"""),11100.0)</f>
        <v>11100</v>
      </c>
      <c r="C2600" s="1">
        <f>IFERROR(__xludf.DUMMYFUNCTION("""COMPUTED_VALUE"""),11200.0)</f>
        <v>11200</v>
      </c>
      <c r="D2600" s="1">
        <f>IFERROR(__xludf.DUMMYFUNCTION("""COMPUTED_VALUE"""),11050.0)</f>
        <v>11050</v>
      </c>
      <c r="E2600" s="1">
        <f>IFERROR(__xludf.DUMMYFUNCTION("""COMPUTED_VALUE"""),11150.0)</f>
        <v>11150</v>
      </c>
      <c r="F2600" s="1">
        <f>IFERROR(__xludf.DUMMYFUNCTION("""COMPUTED_VALUE"""),31699.0)</f>
        <v>31699</v>
      </c>
    </row>
    <row r="2601">
      <c r="A2601" s="2">
        <f>IFERROR(__xludf.DUMMYFUNCTION("""COMPUTED_VALUE"""),44774.64583333333)</f>
        <v>44774.64583</v>
      </c>
      <c r="B2601" s="1">
        <f>IFERROR(__xludf.DUMMYFUNCTION("""COMPUTED_VALUE"""),11250.0)</f>
        <v>11250</v>
      </c>
      <c r="C2601" s="1">
        <f>IFERROR(__xludf.DUMMYFUNCTION("""COMPUTED_VALUE"""),11450.0)</f>
        <v>11450</v>
      </c>
      <c r="D2601" s="1">
        <f>IFERROR(__xludf.DUMMYFUNCTION("""COMPUTED_VALUE"""),11150.0)</f>
        <v>11150</v>
      </c>
      <c r="E2601" s="1">
        <f>IFERROR(__xludf.DUMMYFUNCTION("""COMPUTED_VALUE"""),11400.0)</f>
        <v>11400</v>
      </c>
      <c r="F2601" s="1">
        <f>IFERROR(__xludf.DUMMYFUNCTION("""COMPUTED_VALUE"""),59454.0)</f>
        <v>59454</v>
      </c>
    </row>
    <row r="2602">
      <c r="A2602" s="2">
        <f>IFERROR(__xludf.DUMMYFUNCTION("""COMPUTED_VALUE"""),44775.64583333333)</f>
        <v>44775.64583</v>
      </c>
      <c r="B2602" s="1">
        <f>IFERROR(__xludf.DUMMYFUNCTION("""COMPUTED_VALUE"""),11500.0)</f>
        <v>11500</v>
      </c>
      <c r="C2602" s="1">
        <f>IFERROR(__xludf.DUMMYFUNCTION("""COMPUTED_VALUE"""),11500.0)</f>
        <v>11500</v>
      </c>
      <c r="D2602" s="1">
        <f>IFERROR(__xludf.DUMMYFUNCTION("""COMPUTED_VALUE"""),11200.0)</f>
        <v>11200</v>
      </c>
      <c r="E2602" s="1">
        <f>IFERROR(__xludf.DUMMYFUNCTION("""COMPUTED_VALUE"""),11250.0)</f>
        <v>11250</v>
      </c>
      <c r="F2602" s="1">
        <f>IFERROR(__xludf.DUMMYFUNCTION("""COMPUTED_VALUE"""),23637.0)</f>
        <v>23637</v>
      </c>
    </row>
    <row r="2603">
      <c r="A2603" s="2">
        <f>IFERROR(__xludf.DUMMYFUNCTION("""COMPUTED_VALUE"""),44776.64583333333)</f>
        <v>44776.64583</v>
      </c>
      <c r="B2603" s="1">
        <f>IFERROR(__xludf.DUMMYFUNCTION("""COMPUTED_VALUE"""),11150.0)</f>
        <v>11150</v>
      </c>
      <c r="C2603" s="1">
        <f>IFERROR(__xludf.DUMMYFUNCTION("""COMPUTED_VALUE"""),11300.0)</f>
        <v>11300</v>
      </c>
      <c r="D2603" s="1">
        <f>IFERROR(__xludf.DUMMYFUNCTION("""COMPUTED_VALUE"""),11100.0)</f>
        <v>11100</v>
      </c>
      <c r="E2603" s="1">
        <f>IFERROR(__xludf.DUMMYFUNCTION("""COMPUTED_VALUE"""),11250.0)</f>
        <v>11250</v>
      </c>
      <c r="F2603" s="1">
        <f>IFERROR(__xludf.DUMMYFUNCTION("""COMPUTED_VALUE"""),29726.0)</f>
        <v>29726</v>
      </c>
    </row>
    <row r="2604">
      <c r="A2604" s="2">
        <f>IFERROR(__xludf.DUMMYFUNCTION("""COMPUTED_VALUE"""),44777.64583333333)</f>
        <v>44777.64583</v>
      </c>
      <c r="B2604" s="1">
        <f>IFERROR(__xludf.DUMMYFUNCTION("""COMPUTED_VALUE"""),11250.0)</f>
        <v>11250</v>
      </c>
      <c r="C2604" s="1">
        <f>IFERROR(__xludf.DUMMYFUNCTION("""COMPUTED_VALUE"""),11300.0)</f>
        <v>11300</v>
      </c>
      <c r="D2604" s="1">
        <f>IFERROR(__xludf.DUMMYFUNCTION("""COMPUTED_VALUE"""),11050.0)</f>
        <v>11050</v>
      </c>
      <c r="E2604" s="1">
        <f>IFERROR(__xludf.DUMMYFUNCTION("""COMPUTED_VALUE"""),11100.0)</f>
        <v>11100</v>
      </c>
      <c r="F2604" s="1">
        <f>IFERROR(__xludf.DUMMYFUNCTION("""COMPUTED_VALUE"""),32371.0)</f>
        <v>32371</v>
      </c>
    </row>
    <row r="2605">
      <c r="A2605" s="2">
        <f>IFERROR(__xludf.DUMMYFUNCTION("""COMPUTED_VALUE"""),44778.64583333333)</f>
        <v>44778.64583</v>
      </c>
      <c r="B2605" s="1">
        <f>IFERROR(__xludf.DUMMYFUNCTION("""COMPUTED_VALUE"""),11150.0)</f>
        <v>11150</v>
      </c>
      <c r="C2605" s="1">
        <f>IFERROR(__xludf.DUMMYFUNCTION("""COMPUTED_VALUE"""),11250.0)</f>
        <v>11250</v>
      </c>
      <c r="D2605" s="1">
        <f>IFERROR(__xludf.DUMMYFUNCTION("""COMPUTED_VALUE"""),11100.0)</f>
        <v>11100</v>
      </c>
      <c r="E2605" s="1">
        <f>IFERROR(__xludf.DUMMYFUNCTION("""COMPUTED_VALUE"""),11150.0)</f>
        <v>11150</v>
      </c>
      <c r="F2605" s="1">
        <f>IFERROR(__xludf.DUMMYFUNCTION("""COMPUTED_VALUE"""),21408.0)</f>
        <v>21408</v>
      </c>
    </row>
    <row r="2606">
      <c r="A2606" s="2">
        <f>IFERROR(__xludf.DUMMYFUNCTION("""COMPUTED_VALUE"""),44781.64583333333)</f>
        <v>44781.64583</v>
      </c>
      <c r="B2606" s="1">
        <f>IFERROR(__xludf.DUMMYFUNCTION("""COMPUTED_VALUE"""),11150.0)</f>
        <v>11150</v>
      </c>
      <c r="C2606" s="1">
        <f>IFERROR(__xludf.DUMMYFUNCTION("""COMPUTED_VALUE"""),11300.0)</f>
        <v>11300</v>
      </c>
      <c r="D2606" s="1">
        <f>IFERROR(__xludf.DUMMYFUNCTION("""COMPUTED_VALUE"""),11000.0)</f>
        <v>11000</v>
      </c>
      <c r="E2606" s="1">
        <f>IFERROR(__xludf.DUMMYFUNCTION("""COMPUTED_VALUE"""),11300.0)</f>
        <v>11300</v>
      </c>
      <c r="F2606" s="1">
        <f>IFERROR(__xludf.DUMMYFUNCTION("""COMPUTED_VALUE"""),37984.0)</f>
        <v>37984</v>
      </c>
    </row>
    <row r="2607">
      <c r="A2607" s="2">
        <f>IFERROR(__xludf.DUMMYFUNCTION("""COMPUTED_VALUE"""),44782.64583333333)</f>
        <v>44782.64583</v>
      </c>
      <c r="B2607" s="1">
        <f>IFERROR(__xludf.DUMMYFUNCTION("""COMPUTED_VALUE"""),11850.0)</f>
        <v>11850</v>
      </c>
      <c r="C2607" s="1">
        <f>IFERROR(__xludf.DUMMYFUNCTION("""COMPUTED_VALUE"""),11900.0)</f>
        <v>11900</v>
      </c>
      <c r="D2607" s="1">
        <f>IFERROR(__xludf.DUMMYFUNCTION("""COMPUTED_VALUE"""),11400.0)</f>
        <v>11400</v>
      </c>
      <c r="E2607" s="1">
        <f>IFERROR(__xludf.DUMMYFUNCTION("""COMPUTED_VALUE"""),11400.0)</f>
        <v>11400</v>
      </c>
      <c r="F2607" s="1">
        <f>IFERROR(__xludf.DUMMYFUNCTION("""COMPUTED_VALUE"""),127473.0)</f>
        <v>127473</v>
      </c>
    </row>
    <row r="2608">
      <c r="A2608" s="2">
        <f>IFERROR(__xludf.DUMMYFUNCTION("""COMPUTED_VALUE"""),44783.64583333333)</f>
        <v>44783.64583</v>
      </c>
      <c r="B2608" s="1">
        <f>IFERROR(__xludf.DUMMYFUNCTION("""COMPUTED_VALUE"""),11600.0)</f>
        <v>11600</v>
      </c>
      <c r="C2608" s="1">
        <f>IFERROR(__xludf.DUMMYFUNCTION("""COMPUTED_VALUE"""),11800.0)</f>
        <v>11800</v>
      </c>
      <c r="D2608" s="1">
        <f>IFERROR(__xludf.DUMMYFUNCTION("""COMPUTED_VALUE"""),11600.0)</f>
        <v>11600</v>
      </c>
      <c r="E2608" s="1">
        <f>IFERROR(__xludf.DUMMYFUNCTION("""COMPUTED_VALUE"""),11650.0)</f>
        <v>11650</v>
      </c>
      <c r="F2608" s="1">
        <f>IFERROR(__xludf.DUMMYFUNCTION("""COMPUTED_VALUE"""),114010.0)</f>
        <v>114010</v>
      </c>
    </row>
    <row r="2609">
      <c r="A2609" s="2">
        <f>IFERROR(__xludf.DUMMYFUNCTION("""COMPUTED_VALUE"""),44784.64583333333)</f>
        <v>44784.64583</v>
      </c>
      <c r="B2609" s="1">
        <f>IFERROR(__xludf.DUMMYFUNCTION("""COMPUTED_VALUE"""),11800.0)</f>
        <v>11800</v>
      </c>
      <c r="C2609" s="1">
        <f>IFERROR(__xludf.DUMMYFUNCTION("""COMPUTED_VALUE"""),12000.0)</f>
        <v>12000</v>
      </c>
      <c r="D2609" s="1">
        <f>IFERROR(__xludf.DUMMYFUNCTION("""COMPUTED_VALUE"""),11600.0)</f>
        <v>11600</v>
      </c>
      <c r="E2609" s="1">
        <f>IFERROR(__xludf.DUMMYFUNCTION("""COMPUTED_VALUE"""),12000.0)</f>
        <v>12000</v>
      </c>
      <c r="F2609" s="1">
        <f>IFERROR(__xludf.DUMMYFUNCTION("""COMPUTED_VALUE"""),116955.0)</f>
        <v>116955</v>
      </c>
    </row>
    <row r="2610">
      <c r="A2610" s="2">
        <f>IFERROR(__xludf.DUMMYFUNCTION("""COMPUTED_VALUE"""),44785.64583333333)</f>
        <v>44785.64583</v>
      </c>
      <c r="B2610" s="1">
        <f>IFERROR(__xludf.DUMMYFUNCTION("""COMPUTED_VALUE"""),11900.0)</f>
        <v>11900</v>
      </c>
      <c r="C2610" s="1">
        <f>IFERROR(__xludf.DUMMYFUNCTION("""COMPUTED_VALUE"""),12050.0)</f>
        <v>12050</v>
      </c>
      <c r="D2610" s="1">
        <f>IFERROR(__xludf.DUMMYFUNCTION("""COMPUTED_VALUE"""),11750.0)</f>
        <v>11750</v>
      </c>
      <c r="E2610" s="1">
        <f>IFERROR(__xludf.DUMMYFUNCTION("""COMPUTED_VALUE"""),11850.0)</f>
        <v>11850</v>
      </c>
      <c r="F2610" s="1">
        <f>IFERROR(__xludf.DUMMYFUNCTION("""COMPUTED_VALUE"""),77942.0)</f>
        <v>77942</v>
      </c>
    </row>
    <row r="2611">
      <c r="A2611" s="2">
        <f>IFERROR(__xludf.DUMMYFUNCTION("""COMPUTED_VALUE"""),44789.64583333333)</f>
        <v>44789.64583</v>
      </c>
      <c r="B2611" s="1">
        <f>IFERROR(__xludf.DUMMYFUNCTION("""COMPUTED_VALUE"""),11950.0)</f>
        <v>11950</v>
      </c>
      <c r="C2611" s="1">
        <f>IFERROR(__xludf.DUMMYFUNCTION("""COMPUTED_VALUE"""),12050.0)</f>
        <v>12050</v>
      </c>
      <c r="D2611" s="1">
        <f>IFERROR(__xludf.DUMMYFUNCTION("""COMPUTED_VALUE"""),11700.0)</f>
        <v>11700</v>
      </c>
      <c r="E2611" s="1">
        <f>IFERROR(__xludf.DUMMYFUNCTION("""COMPUTED_VALUE"""),11700.0)</f>
        <v>11700</v>
      </c>
      <c r="F2611" s="1">
        <f>IFERROR(__xludf.DUMMYFUNCTION("""COMPUTED_VALUE"""),80051.0)</f>
        <v>80051</v>
      </c>
    </row>
    <row r="2612">
      <c r="A2612" s="2">
        <f>IFERROR(__xludf.DUMMYFUNCTION("""COMPUTED_VALUE"""),44790.64583333333)</f>
        <v>44790.64583</v>
      </c>
      <c r="B2612" s="1">
        <f>IFERROR(__xludf.DUMMYFUNCTION("""COMPUTED_VALUE"""),11650.0)</f>
        <v>11650</v>
      </c>
      <c r="C2612" s="1">
        <f>IFERROR(__xludf.DUMMYFUNCTION("""COMPUTED_VALUE"""),11850.0)</f>
        <v>11850</v>
      </c>
      <c r="D2612" s="1">
        <f>IFERROR(__xludf.DUMMYFUNCTION("""COMPUTED_VALUE"""),11400.0)</f>
        <v>11400</v>
      </c>
      <c r="E2612" s="1">
        <f>IFERROR(__xludf.DUMMYFUNCTION("""COMPUTED_VALUE"""),11550.0)</f>
        <v>11550</v>
      </c>
      <c r="F2612" s="1">
        <f>IFERROR(__xludf.DUMMYFUNCTION("""COMPUTED_VALUE"""),97358.0)</f>
        <v>97358</v>
      </c>
    </row>
    <row r="2613">
      <c r="A2613" s="2">
        <f>IFERROR(__xludf.DUMMYFUNCTION("""COMPUTED_VALUE"""),44791.64583333333)</f>
        <v>44791.64583</v>
      </c>
      <c r="B2613" s="1">
        <f>IFERROR(__xludf.DUMMYFUNCTION("""COMPUTED_VALUE"""),11500.0)</f>
        <v>11500</v>
      </c>
      <c r="C2613" s="1">
        <f>IFERROR(__xludf.DUMMYFUNCTION("""COMPUTED_VALUE"""),11700.0)</f>
        <v>11700</v>
      </c>
      <c r="D2613" s="1">
        <f>IFERROR(__xludf.DUMMYFUNCTION("""COMPUTED_VALUE"""),11400.0)</f>
        <v>11400</v>
      </c>
      <c r="E2613" s="1">
        <f>IFERROR(__xludf.DUMMYFUNCTION("""COMPUTED_VALUE"""),11550.0)</f>
        <v>11550</v>
      </c>
      <c r="F2613" s="1">
        <f>IFERROR(__xludf.DUMMYFUNCTION("""COMPUTED_VALUE"""),49692.0)</f>
        <v>49692</v>
      </c>
    </row>
    <row r="2614">
      <c r="A2614" s="2">
        <f>IFERROR(__xludf.DUMMYFUNCTION("""COMPUTED_VALUE"""),44792.64583333333)</f>
        <v>44792.64583</v>
      </c>
      <c r="B2614" s="1">
        <f>IFERROR(__xludf.DUMMYFUNCTION("""COMPUTED_VALUE"""),11550.0)</f>
        <v>11550</v>
      </c>
      <c r="C2614" s="1">
        <f>IFERROR(__xludf.DUMMYFUNCTION("""COMPUTED_VALUE"""),11750.0)</f>
        <v>11750</v>
      </c>
      <c r="D2614" s="1">
        <f>IFERROR(__xludf.DUMMYFUNCTION("""COMPUTED_VALUE"""),11400.0)</f>
        <v>11400</v>
      </c>
      <c r="E2614" s="1">
        <f>IFERROR(__xludf.DUMMYFUNCTION("""COMPUTED_VALUE"""),11450.0)</f>
        <v>11450</v>
      </c>
      <c r="F2614" s="1">
        <f>IFERROR(__xludf.DUMMYFUNCTION("""COMPUTED_VALUE"""),52337.0)</f>
        <v>52337</v>
      </c>
    </row>
    <row r="2615">
      <c r="A2615" s="2">
        <f>IFERROR(__xludf.DUMMYFUNCTION("""COMPUTED_VALUE"""),44795.64583333333)</f>
        <v>44795.64583</v>
      </c>
      <c r="B2615" s="1">
        <f>IFERROR(__xludf.DUMMYFUNCTION("""COMPUTED_VALUE"""),11400.0)</f>
        <v>11400</v>
      </c>
      <c r="C2615" s="1">
        <f>IFERROR(__xludf.DUMMYFUNCTION("""COMPUTED_VALUE"""),11800.0)</f>
        <v>11800</v>
      </c>
      <c r="D2615" s="1">
        <f>IFERROR(__xludf.DUMMYFUNCTION("""COMPUTED_VALUE"""),11400.0)</f>
        <v>11400</v>
      </c>
      <c r="E2615" s="1">
        <f>IFERROR(__xludf.DUMMYFUNCTION("""COMPUTED_VALUE"""),11600.0)</f>
        <v>11600</v>
      </c>
      <c r="F2615" s="1">
        <f>IFERROR(__xludf.DUMMYFUNCTION("""COMPUTED_VALUE"""),114254.0)</f>
        <v>114254</v>
      </c>
    </row>
    <row r="2616">
      <c r="A2616" s="2">
        <f>IFERROR(__xludf.DUMMYFUNCTION("""COMPUTED_VALUE"""),44796.64583333333)</f>
        <v>44796.64583</v>
      </c>
      <c r="B2616" s="1">
        <f>IFERROR(__xludf.DUMMYFUNCTION("""COMPUTED_VALUE"""),11650.0)</f>
        <v>11650</v>
      </c>
      <c r="C2616" s="1">
        <f>IFERROR(__xludf.DUMMYFUNCTION("""COMPUTED_VALUE"""),11800.0)</f>
        <v>11800</v>
      </c>
      <c r="D2616" s="1">
        <f>IFERROR(__xludf.DUMMYFUNCTION("""COMPUTED_VALUE"""),11150.0)</f>
        <v>11150</v>
      </c>
      <c r="E2616" s="1">
        <f>IFERROR(__xludf.DUMMYFUNCTION("""COMPUTED_VALUE"""),11300.0)</f>
        <v>11300</v>
      </c>
      <c r="F2616" s="1">
        <f>IFERROR(__xludf.DUMMYFUNCTION("""COMPUTED_VALUE"""),99177.0)</f>
        <v>99177</v>
      </c>
    </row>
    <row r="2617">
      <c r="A2617" s="2">
        <f>IFERROR(__xludf.DUMMYFUNCTION("""COMPUTED_VALUE"""),44797.64583333333)</f>
        <v>44797.64583</v>
      </c>
      <c r="B2617" s="1">
        <f>IFERROR(__xludf.DUMMYFUNCTION("""COMPUTED_VALUE"""),11450.0)</f>
        <v>11450</v>
      </c>
      <c r="C2617" s="1">
        <f>IFERROR(__xludf.DUMMYFUNCTION("""COMPUTED_VALUE"""),11450.0)</f>
        <v>11450</v>
      </c>
      <c r="D2617" s="1">
        <f>IFERROR(__xludf.DUMMYFUNCTION("""COMPUTED_VALUE"""),11150.0)</f>
        <v>11150</v>
      </c>
      <c r="E2617" s="1">
        <f>IFERROR(__xludf.DUMMYFUNCTION("""COMPUTED_VALUE"""),11250.0)</f>
        <v>11250</v>
      </c>
      <c r="F2617" s="1">
        <f>IFERROR(__xludf.DUMMYFUNCTION("""COMPUTED_VALUE"""),38236.0)</f>
        <v>38236</v>
      </c>
    </row>
    <row r="2618">
      <c r="A2618" s="2">
        <f>IFERROR(__xludf.DUMMYFUNCTION("""COMPUTED_VALUE"""),44798.64583333333)</f>
        <v>44798.64583</v>
      </c>
      <c r="B2618" s="1">
        <f>IFERROR(__xludf.DUMMYFUNCTION("""COMPUTED_VALUE"""),11250.0)</f>
        <v>11250</v>
      </c>
      <c r="C2618" s="1">
        <f>IFERROR(__xludf.DUMMYFUNCTION("""COMPUTED_VALUE"""),11700.0)</f>
        <v>11700</v>
      </c>
      <c r="D2618" s="1">
        <f>IFERROR(__xludf.DUMMYFUNCTION("""COMPUTED_VALUE"""),11250.0)</f>
        <v>11250</v>
      </c>
      <c r="E2618" s="1">
        <f>IFERROR(__xludf.DUMMYFUNCTION("""COMPUTED_VALUE"""),11600.0)</f>
        <v>11600</v>
      </c>
      <c r="F2618" s="1">
        <f>IFERROR(__xludf.DUMMYFUNCTION("""COMPUTED_VALUE"""),67691.0)</f>
        <v>67691</v>
      </c>
    </row>
    <row r="2619">
      <c r="A2619" s="2">
        <f>IFERROR(__xludf.DUMMYFUNCTION("""COMPUTED_VALUE"""),44799.64583333333)</f>
        <v>44799.64583</v>
      </c>
      <c r="B2619" s="1">
        <f>IFERROR(__xludf.DUMMYFUNCTION("""COMPUTED_VALUE"""),11700.0)</f>
        <v>11700</v>
      </c>
      <c r="C2619" s="1">
        <f>IFERROR(__xludf.DUMMYFUNCTION("""COMPUTED_VALUE"""),12400.0)</f>
        <v>12400</v>
      </c>
      <c r="D2619" s="1">
        <f>IFERROR(__xludf.DUMMYFUNCTION("""COMPUTED_VALUE"""),11650.0)</f>
        <v>11650</v>
      </c>
      <c r="E2619" s="1">
        <f>IFERROR(__xludf.DUMMYFUNCTION("""COMPUTED_VALUE"""),11850.0)</f>
        <v>11850</v>
      </c>
      <c r="F2619" s="1">
        <f>IFERROR(__xludf.DUMMYFUNCTION("""COMPUTED_VALUE"""),344011.0)</f>
        <v>344011</v>
      </c>
    </row>
    <row r="2620">
      <c r="A2620" s="2">
        <f>IFERROR(__xludf.DUMMYFUNCTION("""COMPUTED_VALUE"""),44802.64583333333)</f>
        <v>44802.64583</v>
      </c>
      <c r="B2620" s="1">
        <f>IFERROR(__xludf.DUMMYFUNCTION("""COMPUTED_VALUE"""),11600.0)</f>
        <v>11600</v>
      </c>
      <c r="C2620" s="1">
        <f>IFERROR(__xludf.DUMMYFUNCTION("""COMPUTED_VALUE"""),11850.0)</f>
        <v>11850</v>
      </c>
      <c r="D2620" s="1">
        <f>IFERROR(__xludf.DUMMYFUNCTION("""COMPUTED_VALUE"""),11450.0)</f>
        <v>11450</v>
      </c>
      <c r="E2620" s="1">
        <f>IFERROR(__xludf.DUMMYFUNCTION("""COMPUTED_VALUE"""),11550.0)</f>
        <v>11550</v>
      </c>
      <c r="F2620" s="1">
        <f>IFERROR(__xludf.DUMMYFUNCTION("""COMPUTED_VALUE"""),60458.0)</f>
        <v>60458</v>
      </c>
    </row>
    <row r="2621">
      <c r="A2621" s="2">
        <f>IFERROR(__xludf.DUMMYFUNCTION("""COMPUTED_VALUE"""),44803.64583333333)</f>
        <v>44803.64583</v>
      </c>
      <c r="B2621" s="1">
        <f>IFERROR(__xludf.DUMMYFUNCTION("""COMPUTED_VALUE"""),11750.0)</f>
        <v>11750</v>
      </c>
      <c r="C2621" s="1">
        <f>IFERROR(__xludf.DUMMYFUNCTION("""COMPUTED_VALUE"""),11750.0)</f>
        <v>11750</v>
      </c>
      <c r="D2621" s="1">
        <f>IFERROR(__xludf.DUMMYFUNCTION("""COMPUTED_VALUE"""),11350.0)</f>
        <v>11350</v>
      </c>
      <c r="E2621" s="1">
        <f>IFERROR(__xludf.DUMMYFUNCTION("""COMPUTED_VALUE"""),11550.0)</f>
        <v>11550</v>
      </c>
      <c r="F2621" s="1">
        <f>IFERROR(__xludf.DUMMYFUNCTION("""COMPUTED_VALUE"""),75017.0)</f>
        <v>75017</v>
      </c>
    </row>
    <row r="2622">
      <c r="A2622" s="2">
        <f>IFERROR(__xludf.DUMMYFUNCTION("""COMPUTED_VALUE"""),44804.64583333333)</f>
        <v>44804.64583</v>
      </c>
      <c r="B2622" s="1">
        <f>IFERROR(__xludf.DUMMYFUNCTION("""COMPUTED_VALUE"""),11500.0)</f>
        <v>11500</v>
      </c>
      <c r="C2622" s="1">
        <f>IFERROR(__xludf.DUMMYFUNCTION("""COMPUTED_VALUE"""),11550.0)</f>
        <v>11550</v>
      </c>
      <c r="D2622" s="1">
        <f>IFERROR(__xludf.DUMMYFUNCTION("""COMPUTED_VALUE"""),11350.0)</f>
        <v>11350</v>
      </c>
      <c r="E2622" s="1">
        <f>IFERROR(__xludf.DUMMYFUNCTION("""COMPUTED_VALUE"""),11500.0)</f>
        <v>11500</v>
      </c>
      <c r="F2622" s="1">
        <f>IFERROR(__xludf.DUMMYFUNCTION("""COMPUTED_VALUE"""),31765.0)</f>
        <v>31765</v>
      </c>
    </row>
    <row r="2623">
      <c r="A2623" s="2">
        <f>IFERROR(__xludf.DUMMYFUNCTION("""COMPUTED_VALUE"""),44805.64583333333)</f>
        <v>44805.64583</v>
      </c>
      <c r="B2623" s="1">
        <f>IFERROR(__xludf.DUMMYFUNCTION("""COMPUTED_VALUE"""),11500.0)</f>
        <v>11500</v>
      </c>
      <c r="C2623" s="1">
        <f>IFERROR(__xludf.DUMMYFUNCTION("""COMPUTED_VALUE"""),11500.0)</f>
        <v>11500</v>
      </c>
      <c r="D2623" s="1">
        <f>IFERROR(__xludf.DUMMYFUNCTION("""COMPUTED_VALUE"""),10950.0)</f>
        <v>10950</v>
      </c>
      <c r="E2623" s="1">
        <f>IFERROR(__xludf.DUMMYFUNCTION("""COMPUTED_VALUE"""),10950.0)</f>
        <v>10950</v>
      </c>
      <c r="F2623" s="1">
        <f>IFERROR(__xludf.DUMMYFUNCTION("""COMPUTED_VALUE"""),85814.0)</f>
        <v>85814</v>
      </c>
    </row>
    <row r="2624">
      <c r="A2624" s="2">
        <f>IFERROR(__xludf.DUMMYFUNCTION("""COMPUTED_VALUE"""),44806.64583333333)</f>
        <v>44806.64583</v>
      </c>
      <c r="B2624" s="1">
        <f>IFERROR(__xludf.DUMMYFUNCTION("""COMPUTED_VALUE"""),11150.0)</f>
        <v>11150</v>
      </c>
      <c r="C2624" s="1">
        <f>IFERROR(__xludf.DUMMYFUNCTION("""COMPUTED_VALUE"""),11550.0)</f>
        <v>11550</v>
      </c>
      <c r="D2624" s="1">
        <f>IFERROR(__xludf.DUMMYFUNCTION("""COMPUTED_VALUE"""),10850.0)</f>
        <v>10850</v>
      </c>
      <c r="E2624" s="1">
        <f>IFERROR(__xludf.DUMMYFUNCTION("""COMPUTED_VALUE"""),11550.0)</f>
        <v>11550</v>
      </c>
      <c r="F2624" s="1">
        <f>IFERROR(__xludf.DUMMYFUNCTION("""COMPUTED_VALUE"""),155290.0)</f>
        <v>155290</v>
      </c>
    </row>
    <row r="2625">
      <c r="A2625" s="2">
        <f>IFERROR(__xludf.DUMMYFUNCTION("""COMPUTED_VALUE"""),44809.64583333333)</f>
        <v>44809.64583</v>
      </c>
      <c r="B2625" s="1">
        <f>IFERROR(__xludf.DUMMYFUNCTION("""COMPUTED_VALUE"""),12000.0)</f>
        <v>12000</v>
      </c>
      <c r="C2625" s="1">
        <f>IFERROR(__xludf.DUMMYFUNCTION("""COMPUTED_VALUE"""),12000.0)</f>
        <v>12000</v>
      </c>
      <c r="D2625" s="1">
        <f>IFERROR(__xludf.DUMMYFUNCTION("""COMPUTED_VALUE"""),11450.0)</f>
        <v>11450</v>
      </c>
      <c r="E2625" s="1">
        <f>IFERROR(__xludf.DUMMYFUNCTION("""COMPUTED_VALUE"""),11550.0)</f>
        <v>11550</v>
      </c>
      <c r="F2625" s="1">
        <f>IFERROR(__xludf.DUMMYFUNCTION("""COMPUTED_VALUE"""),181379.0)</f>
        <v>181379</v>
      </c>
    </row>
    <row r="2626">
      <c r="A2626" s="2">
        <f>IFERROR(__xludf.DUMMYFUNCTION("""COMPUTED_VALUE"""),44810.64583333333)</f>
        <v>44810.64583</v>
      </c>
      <c r="B2626" s="1">
        <f>IFERROR(__xludf.DUMMYFUNCTION("""COMPUTED_VALUE"""),11400.0)</f>
        <v>11400</v>
      </c>
      <c r="C2626" s="1">
        <f>IFERROR(__xludf.DUMMYFUNCTION("""COMPUTED_VALUE"""),11400.0)</f>
        <v>11400</v>
      </c>
      <c r="D2626" s="1">
        <f>IFERROR(__xludf.DUMMYFUNCTION("""COMPUTED_VALUE"""),10900.0)</f>
        <v>10900</v>
      </c>
      <c r="E2626" s="1">
        <f>IFERROR(__xludf.DUMMYFUNCTION("""COMPUTED_VALUE"""),11000.0)</f>
        <v>11000</v>
      </c>
      <c r="F2626" s="1">
        <f>IFERROR(__xludf.DUMMYFUNCTION("""COMPUTED_VALUE"""),146035.0)</f>
        <v>146035</v>
      </c>
    </row>
    <row r="2627">
      <c r="A2627" s="2">
        <f>IFERROR(__xludf.DUMMYFUNCTION("""COMPUTED_VALUE"""),44811.64583333333)</f>
        <v>44811.64583</v>
      </c>
      <c r="B2627" s="1">
        <f>IFERROR(__xludf.DUMMYFUNCTION("""COMPUTED_VALUE"""),10950.0)</f>
        <v>10950</v>
      </c>
      <c r="C2627" s="1">
        <f>IFERROR(__xludf.DUMMYFUNCTION("""COMPUTED_VALUE"""),10950.0)</f>
        <v>10950</v>
      </c>
      <c r="D2627" s="1">
        <f>IFERROR(__xludf.DUMMYFUNCTION("""COMPUTED_VALUE"""),10500.0)</f>
        <v>10500</v>
      </c>
      <c r="E2627" s="1">
        <f>IFERROR(__xludf.DUMMYFUNCTION("""COMPUTED_VALUE"""),10550.0)</f>
        <v>10550</v>
      </c>
      <c r="F2627" s="1">
        <f>IFERROR(__xludf.DUMMYFUNCTION("""COMPUTED_VALUE"""),83411.0)</f>
        <v>83411</v>
      </c>
    </row>
    <row r="2628">
      <c r="A2628" s="2">
        <f>IFERROR(__xludf.DUMMYFUNCTION("""COMPUTED_VALUE"""),44812.64583333333)</f>
        <v>44812.64583</v>
      </c>
      <c r="B2628" s="1">
        <f>IFERROR(__xludf.DUMMYFUNCTION("""COMPUTED_VALUE"""),10600.0)</f>
        <v>10600</v>
      </c>
      <c r="C2628" s="1">
        <f>IFERROR(__xludf.DUMMYFUNCTION("""COMPUTED_VALUE"""),10800.0)</f>
        <v>10800</v>
      </c>
      <c r="D2628" s="1">
        <f>IFERROR(__xludf.DUMMYFUNCTION("""COMPUTED_VALUE"""),10550.0)</f>
        <v>10550</v>
      </c>
      <c r="E2628" s="1">
        <f>IFERROR(__xludf.DUMMYFUNCTION("""COMPUTED_VALUE"""),10550.0)</f>
        <v>10550</v>
      </c>
      <c r="F2628" s="1">
        <f>IFERROR(__xludf.DUMMYFUNCTION("""COMPUTED_VALUE"""),54035.0)</f>
        <v>54035</v>
      </c>
    </row>
    <row r="2629">
      <c r="A2629" s="2">
        <f>IFERROR(__xludf.DUMMYFUNCTION("""COMPUTED_VALUE"""),44817.64583333333)</f>
        <v>44817.64583</v>
      </c>
      <c r="B2629" s="1">
        <f>IFERROR(__xludf.DUMMYFUNCTION("""COMPUTED_VALUE"""),10700.0)</f>
        <v>10700</v>
      </c>
      <c r="C2629" s="1">
        <f>IFERROR(__xludf.DUMMYFUNCTION("""COMPUTED_VALUE"""),10950.0)</f>
        <v>10950</v>
      </c>
      <c r="D2629" s="1">
        <f>IFERROR(__xludf.DUMMYFUNCTION("""COMPUTED_VALUE"""),10650.0)</f>
        <v>10650</v>
      </c>
      <c r="E2629" s="1">
        <f>IFERROR(__xludf.DUMMYFUNCTION("""COMPUTED_VALUE"""),10900.0)</f>
        <v>10900</v>
      </c>
      <c r="F2629" s="1">
        <f>IFERROR(__xludf.DUMMYFUNCTION("""COMPUTED_VALUE"""),57556.0)</f>
        <v>57556</v>
      </c>
    </row>
    <row r="2630">
      <c r="A2630" s="2">
        <f>IFERROR(__xludf.DUMMYFUNCTION("""COMPUTED_VALUE"""),44818.64583333333)</f>
        <v>44818.64583</v>
      </c>
      <c r="B2630" s="1">
        <f>IFERROR(__xludf.DUMMYFUNCTION("""COMPUTED_VALUE"""),10500.0)</f>
        <v>10500</v>
      </c>
      <c r="C2630" s="1">
        <f>IFERROR(__xludf.DUMMYFUNCTION("""COMPUTED_VALUE"""),10750.0)</f>
        <v>10750</v>
      </c>
      <c r="D2630" s="1">
        <f>IFERROR(__xludf.DUMMYFUNCTION("""COMPUTED_VALUE"""),10500.0)</f>
        <v>10500</v>
      </c>
      <c r="E2630" s="1">
        <f>IFERROR(__xludf.DUMMYFUNCTION("""COMPUTED_VALUE"""),10700.0)</f>
        <v>10700</v>
      </c>
      <c r="F2630" s="1">
        <f>IFERROR(__xludf.DUMMYFUNCTION("""COMPUTED_VALUE"""),27958.0)</f>
        <v>27958</v>
      </c>
    </row>
    <row r="2631">
      <c r="A2631" s="2">
        <f>IFERROR(__xludf.DUMMYFUNCTION("""COMPUTED_VALUE"""),44819.64583333333)</f>
        <v>44819.64583</v>
      </c>
      <c r="B2631" s="1">
        <f>IFERROR(__xludf.DUMMYFUNCTION("""COMPUTED_VALUE"""),10700.0)</f>
        <v>10700</v>
      </c>
      <c r="C2631" s="1">
        <f>IFERROR(__xludf.DUMMYFUNCTION("""COMPUTED_VALUE"""),10850.0)</f>
        <v>10850</v>
      </c>
      <c r="D2631" s="1">
        <f>IFERROR(__xludf.DUMMYFUNCTION("""COMPUTED_VALUE"""),10650.0)</f>
        <v>10650</v>
      </c>
      <c r="E2631" s="1">
        <f>IFERROR(__xludf.DUMMYFUNCTION("""COMPUTED_VALUE"""),10750.0)</f>
        <v>10750</v>
      </c>
      <c r="F2631" s="1">
        <f>IFERROR(__xludf.DUMMYFUNCTION("""COMPUTED_VALUE"""),25601.0)</f>
        <v>25601</v>
      </c>
    </row>
    <row r="2632">
      <c r="A2632" s="2">
        <f>IFERROR(__xludf.DUMMYFUNCTION("""COMPUTED_VALUE"""),44820.64583333333)</f>
        <v>44820.64583</v>
      </c>
      <c r="B2632" s="1">
        <f>IFERROR(__xludf.DUMMYFUNCTION("""COMPUTED_VALUE"""),10650.0)</f>
        <v>10650</v>
      </c>
      <c r="C2632" s="1">
        <f>IFERROR(__xludf.DUMMYFUNCTION("""COMPUTED_VALUE"""),10800.0)</f>
        <v>10800</v>
      </c>
      <c r="D2632" s="1">
        <f>IFERROR(__xludf.DUMMYFUNCTION("""COMPUTED_VALUE"""),10500.0)</f>
        <v>10500</v>
      </c>
      <c r="E2632" s="1">
        <f>IFERROR(__xludf.DUMMYFUNCTION("""COMPUTED_VALUE"""),10550.0)</f>
        <v>10550</v>
      </c>
      <c r="F2632" s="1">
        <f>IFERROR(__xludf.DUMMYFUNCTION("""COMPUTED_VALUE"""),44652.0)</f>
        <v>44652</v>
      </c>
    </row>
    <row r="2633">
      <c r="A2633" s="2">
        <f>IFERROR(__xludf.DUMMYFUNCTION("""COMPUTED_VALUE"""),44823.64583333333)</f>
        <v>44823.64583</v>
      </c>
      <c r="B2633" s="1">
        <f>IFERROR(__xludf.DUMMYFUNCTION("""COMPUTED_VALUE"""),10500.0)</f>
        <v>10500</v>
      </c>
      <c r="C2633" s="1">
        <f>IFERROR(__xludf.DUMMYFUNCTION("""COMPUTED_VALUE"""),10650.0)</f>
        <v>10650</v>
      </c>
      <c r="D2633" s="1">
        <f>IFERROR(__xludf.DUMMYFUNCTION("""COMPUTED_VALUE"""),10200.0)</f>
        <v>10200</v>
      </c>
      <c r="E2633" s="1">
        <f>IFERROR(__xludf.DUMMYFUNCTION("""COMPUTED_VALUE"""),10250.0)</f>
        <v>10250</v>
      </c>
      <c r="F2633" s="1">
        <f>IFERROR(__xludf.DUMMYFUNCTION("""COMPUTED_VALUE"""),48539.0)</f>
        <v>48539</v>
      </c>
    </row>
    <row r="2634">
      <c r="A2634" s="2">
        <f>IFERROR(__xludf.DUMMYFUNCTION("""COMPUTED_VALUE"""),44824.64583333333)</f>
        <v>44824.64583</v>
      </c>
      <c r="B2634" s="1">
        <f>IFERROR(__xludf.DUMMYFUNCTION("""COMPUTED_VALUE"""),10350.0)</f>
        <v>10350</v>
      </c>
      <c r="C2634" s="1">
        <f>IFERROR(__xludf.DUMMYFUNCTION("""COMPUTED_VALUE"""),10400.0)</f>
        <v>10400</v>
      </c>
      <c r="D2634" s="1">
        <f>IFERROR(__xludf.DUMMYFUNCTION("""COMPUTED_VALUE"""),10200.0)</f>
        <v>10200</v>
      </c>
      <c r="E2634" s="1">
        <f>IFERROR(__xludf.DUMMYFUNCTION("""COMPUTED_VALUE"""),10250.0)</f>
        <v>10250</v>
      </c>
      <c r="F2634" s="1">
        <f>IFERROR(__xludf.DUMMYFUNCTION("""COMPUTED_VALUE"""),36965.0)</f>
        <v>36965</v>
      </c>
    </row>
    <row r="2635">
      <c r="A2635" s="2">
        <f>IFERROR(__xludf.DUMMYFUNCTION("""COMPUTED_VALUE"""),44825.64583333333)</f>
        <v>44825.64583</v>
      </c>
      <c r="B2635" s="1">
        <f>IFERROR(__xludf.DUMMYFUNCTION("""COMPUTED_VALUE"""),10200.0)</f>
        <v>10200</v>
      </c>
      <c r="C2635" s="1">
        <f>IFERROR(__xludf.DUMMYFUNCTION("""COMPUTED_VALUE"""),10300.0)</f>
        <v>10300</v>
      </c>
      <c r="D2635" s="1">
        <f>IFERROR(__xludf.DUMMYFUNCTION("""COMPUTED_VALUE"""),10000.0)</f>
        <v>10000</v>
      </c>
      <c r="E2635" s="1">
        <f>IFERROR(__xludf.DUMMYFUNCTION("""COMPUTED_VALUE"""),10150.0)</f>
        <v>10150</v>
      </c>
      <c r="F2635" s="1">
        <f>IFERROR(__xludf.DUMMYFUNCTION("""COMPUTED_VALUE"""),60587.0)</f>
        <v>60587</v>
      </c>
    </row>
    <row r="2636">
      <c r="A2636" s="2">
        <f>IFERROR(__xludf.DUMMYFUNCTION("""COMPUTED_VALUE"""),44826.64583333333)</f>
        <v>44826.64583</v>
      </c>
      <c r="B2636" s="1">
        <f>IFERROR(__xludf.DUMMYFUNCTION("""COMPUTED_VALUE"""),9960.0)</f>
        <v>9960</v>
      </c>
      <c r="C2636" s="1">
        <f>IFERROR(__xludf.DUMMYFUNCTION("""COMPUTED_VALUE"""),10450.0)</f>
        <v>10450</v>
      </c>
      <c r="D2636" s="1">
        <f>IFERROR(__xludf.DUMMYFUNCTION("""COMPUTED_VALUE"""),9920.0)</f>
        <v>9920</v>
      </c>
      <c r="E2636" s="1">
        <f>IFERROR(__xludf.DUMMYFUNCTION("""COMPUTED_VALUE"""),10200.0)</f>
        <v>10200</v>
      </c>
      <c r="F2636" s="1">
        <f>IFERROR(__xludf.DUMMYFUNCTION("""COMPUTED_VALUE"""),115344.0)</f>
        <v>115344</v>
      </c>
    </row>
    <row r="2637">
      <c r="A2637" s="2">
        <f>IFERROR(__xludf.DUMMYFUNCTION("""COMPUTED_VALUE"""),44827.64583333333)</f>
        <v>44827.64583</v>
      </c>
      <c r="B2637" s="1">
        <f>IFERROR(__xludf.DUMMYFUNCTION("""COMPUTED_VALUE"""),10100.0)</f>
        <v>10100</v>
      </c>
      <c r="C2637" s="1">
        <f>IFERROR(__xludf.DUMMYFUNCTION("""COMPUTED_VALUE"""),10250.0)</f>
        <v>10250</v>
      </c>
      <c r="D2637" s="1">
        <f>IFERROR(__xludf.DUMMYFUNCTION("""COMPUTED_VALUE"""),9870.0)</f>
        <v>9870</v>
      </c>
      <c r="E2637" s="1">
        <f>IFERROR(__xludf.DUMMYFUNCTION("""COMPUTED_VALUE"""),9980.0)</f>
        <v>9980</v>
      </c>
      <c r="F2637" s="1">
        <f>IFERROR(__xludf.DUMMYFUNCTION("""COMPUTED_VALUE"""),57396.0)</f>
        <v>57396</v>
      </c>
    </row>
    <row r="2638">
      <c r="A2638" s="2">
        <f>IFERROR(__xludf.DUMMYFUNCTION("""COMPUTED_VALUE"""),44830.64583333333)</f>
        <v>44830.64583</v>
      </c>
      <c r="B2638" s="1">
        <f>IFERROR(__xludf.DUMMYFUNCTION("""COMPUTED_VALUE"""),9960.0)</f>
        <v>9960</v>
      </c>
      <c r="C2638" s="1">
        <f>IFERROR(__xludf.DUMMYFUNCTION("""COMPUTED_VALUE"""),9960.0)</f>
        <v>9960</v>
      </c>
      <c r="D2638" s="1">
        <f>IFERROR(__xludf.DUMMYFUNCTION("""COMPUTED_VALUE"""),9210.0)</f>
        <v>9210</v>
      </c>
      <c r="E2638" s="1">
        <f>IFERROR(__xludf.DUMMYFUNCTION("""COMPUTED_VALUE"""),9220.0)</f>
        <v>9220</v>
      </c>
      <c r="F2638" s="1">
        <f>IFERROR(__xludf.DUMMYFUNCTION("""COMPUTED_VALUE"""),92300.0)</f>
        <v>92300</v>
      </c>
    </row>
    <row r="2639">
      <c r="A2639" s="2">
        <f>IFERROR(__xludf.DUMMYFUNCTION("""COMPUTED_VALUE"""),44831.64583333333)</f>
        <v>44831.64583</v>
      </c>
      <c r="B2639" s="1">
        <f>IFERROR(__xludf.DUMMYFUNCTION("""COMPUTED_VALUE"""),9020.0)</f>
        <v>9020</v>
      </c>
      <c r="C2639" s="1">
        <f>IFERROR(__xludf.DUMMYFUNCTION("""COMPUTED_VALUE"""),9290.0)</f>
        <v>9290</v>
      </c>
      <c r="D2639" s="1">
        <f>IFERROR(__xludf.DUMMYFUNCTION("""COMPUTED_VALUE"""),8990.0)</f>
        <v>8990</v>
      </c>
      <c r="E2639" s="1">
        <f>IFERROR(__xludf.DUMMYFUNCTION("""COMPUTED_VALUE"""),9140.0)</f>
        <v>9140</v>
      </c>
      <c r="F2639" s="1">
        <f>IFERROR(__xludf.DUMMYFUNCTION("""COMPUTED_VALUE"""),63598.0)</f>
        <v>63598</v>
      </c>
    </row>
    <row r="2640">
      <c r="A2640" s="2">
        <f>IFERROR(__xludf.DUMMYFUNCTION("""COMPUTED_VALUE"""),44832.64583333333)</f>
        <v>44832.64583</v>
      </c>
      <c r="B2640" s="1">
        <f>IFERROR(__xludf.DUMMYFUNCTION("""COMPUTED_VALUE"""),9050.0)</f>
        <v>9050</v>
      </c>
      <c r="C2640" s="1">
        <f>IFERROR(__xludf.DUMMYFUNCTION("""COMPUTED_VALUE"""),9320.0)</f>
        <v>9320</v>
      </c>
      <c r="D2640" s="1">
        <f>IFERROR(__xludf.DUMMYFUNCTION("""COMPUTED_VALUE"""),8870.0)</f>
        <v>8870</v>
      </c>
      <c r="E2640" s="1">
        <f>IFERROR(__xludf.DUMMYFUNCTION("""COMPUTED_VALUE"""),8870.0)</f>
        <v>8870</v>
      </c>
      <c r="F2640" s="1">
        <f>IFERROR(__xludf.DUMMYFUNCTION("""COMPUTED_VALUE"""),46168.0)</f>
        <v>46168</v>
      </c>
    </row>
    <row r="2641">
      <c r="A2641" s="2">
        <f>IFERROR(__xludf.DUMMYFUNCTION("""COMPUTED_VALUE"""),44833.64583333333)</f>
        <v>44833.64583</v>
      </c>
      <c r="B2641" s="1">
        <f>IFERROR(__xludf.DUMMYFUNCTION("""COMPUTED_VALUE"""),9010.0)</f>
        <v>9010</v>
      </c>
      <c r="C2641" s="1">
        <f>IFERROR(__xludf.DUMMYFUNCTION("""COMPUTED_VALUE"""),9110.0)</f>
        <v>9110</v>
      </c>
      <c r="D2641" s="1">
        <f>IFERROR(__xludf.DUMMYFUNCTION("""COMPUTED_VALUE"""),8930.0)</f>
        <v>8930</v>
      </c>
      <c r="E2641" s="1">
        <f>IFERROR(__xludf.DUMMYFUNCTION("""COMPUTED_VALUE"""),8930.0)</f>
        <v>8930</v>
      </c>
      <c r="F2641" s="1">
        <f>IFERROR(__xludf.DUMMYFUNCTION("""COMPUTED_VALUE"""),23405.0)</f>
        <v>23405</v>
      </c>
    </row>
    <row r="2642">
      <c r="A2642" s="2">
        <f>IFERROR(__xludf.DUMMYFUNCTION("""COMPUTED_VALUE"""),44834.64583333333)</f>
        <v>44834.64583</v>
      </c>
      <c r="B2642" s="1">
        <f>IFERROR(__xludf.DUMMYFUNCTION("""COMPUTED_VALUE"""),8710.0)</f>
        <v>8710</v>
      </c>
      <c r="C2642" s="1">
        <f>IFERROR(__xludf.DUMMYFUNCTION("""COMPUTED_VALUE"""),9000.0)</f>
        <v>9000</v>
      </c>
      <c r="D2642" s="1">
        <f>IFERROR(__xludf.DUMMYFUNCTION("""COMPUTED_VALUE"""),8710.0)</f>
        <v>8710</v>
      </c>
      <c r="E2642" s="1">
        <f>IFERROR(__xludf.DUMMYFUNCTION("""COMPUTED_VALUE"""),8950.0)</f>
        <v>8950</v>
      </c>
      <c r="F2642" s="1">
        <f>IFERROR(__xludf.DUMMYFUNCTION("""COMPUTED_VALUE"""),29136.0)</f>
        <v>29136</v>
      </c>
    </row>
    <row r="2643">
      <c r="A2643" s="2">
        <f>IFERROR(__xludf.DUMMYFUNCTION("""COMPUTED_VALUE"""),44838.64583333333)</f>
        <v>44838.64583</v>
      </c>
      <c r="B2643" s="1">
        <f>IFERROR(__xludf.DUMMYFUNCTION("""COMPUTED_VALUE"""),9300.0)</f>
        <v>9300</v>
      </c>
      <c r="C2643" s="1">
        <f>IFERROR(__xludf.DUMMYFUNCTION("""COMPUTED_VALUE"""),9300.0)</f>
        <v>9300</v>
      </c>
      <c r="D2643" s="1">
        <f>IFERROR(__xludf.DUMMYFUNCTION("""COMPUTED_VALUE"""),9060.0)</f>
        <v>9060</v>
      </c>
      <c r="E2643" s="1">
        <f>IFERROR(__xludf.DUMMYFUNCTION("""COMPUTED_VALUE"""),9160.0)</f>
        <v>9160</v>
      </c>
      <c r="F2643" s="1">
        <f>IFERROR(__xludf.DUMMYFUNCTION("""COMPUTED_VALUE"""),10953.0)</f>
        <v>10953</v>
      </c>
    </row>
    <row r="2644">
      <c r="A2644" s="2">
        <f>IFERROR(__xludf.DUMMYFUNCTION("""COMPUTED_VALUE"""),44839.64583333333)</f>
        <v>44839.64583</v>
      </c>
      <c r="B2644" s="1">
        <f>IFERROR(__xludf.DUMMYFUNCTION("""COMPUTED_VALUE"""),9250.0)</f>
        <v>9250</v>
      </c>
      <c r="C2644" s="1">
        <f>IFERROR(__xludf.DUMMYFUNCTION("""COMPUTED_VALUE"""),9300.0)</f>
        <v>9300</v>
      </c>
      <c r="D2644" s="1">
        <f>IFERROR(__xludf.DUMMYFUNCTION("""COMPUTED_VALUE"""),9050.0)</f>
        <v>9050</v>
      </c>
      <c r="E2644" s="1">
        <f>IFERROR(__xludf.DUMMYFUNCTION("""COMPUTED_VALUE"""),9130.0)</f>
        <v>9130</v>
      </c>
      <c r="F2644" s="1">
        <f>IFERROR(__xludf.DUMMYFUNCTION("""COMPUTED_VALUE"""),16116.0)</f>
        <v>16116</v>
      </c>
    </row>
    <row r="2645">
      <c r="A2645" s="2">
        <f>IFERROR(__xludf.DUMMYFUNCTION("""COMPUTED_VALUE"""),44840.64583333333)</f>
        <v>44840.64583</v>
      </c>
      <c r="B2645" s="1">
        <f>IFERROR(__xludf.DUMMYFUNCTION("""COMPUTED_VALUE"""),9150.0)</f>
        <v>9150</v>
      </c>
      <c r="C2645" s="1">
        <f>IFERROR(__xludf.DUMMYFUNCTION("""COMPUTED_VALUE"""),9270.0)</f>
        <v>9270</v>
      </c>
      <c r="D2645" s="1">
        <f>IFERROR(__xludf.DUMMYFUNCTION("""COMPUTED_VALUE"""),9150.0)</f>
        <v>9150</v>
      </c>
      <c r="E2645" s="1">
        <f>IFERROR(__xludf.DUMMYFUNCTION("""COMPUTED_VALUE"""),9210.0)</f>
        <v>9210</v>
      </c>
      <c r="F2645" s="1">
        <f>IFERROR(__xludf.DUMMYFUNCTION("""COMPUTED_VALUE"""),11366.0)</f>
        <v>11366</v>
      </c>
    </row>
    <row r="2646">
      <c r="A2646" s="2">
        <f>IFERROR(__xludf.DUMMYFUNCTION("""COMPUTED_VALUE"""),44841.64583333333)</f>
        <v>44841.64583</v>
      </c>
      <c r="B2646" s="1">
        <f>IFERROR(__xludf.DUMMYFUNCTION("""COMPUTED_VALUE"""),9240.0)</f>
        <v>9240</v>
      </c>
      <c r="C2646" s="1">
        <f>IFERROR(__xludf.DUMMYFUNCTION("""COMPUTED_VALUE"""),9240.0)</f>
        <v>9240</v>
      </c>
      <c r="D2646" s="1">
        <f>IFERROR(__xludf.DUMMYFUNCTION("""COMPUTED_VALUE"""),9050.0)</f>
        <v>9050</v>
      </c>
      <c r="E2646" s="1">
        <f>IFERROR(__xludf.DUMMYFUNCTION("""COMPUTED_VALUE"""),9190.0)</f>
        <v>9190</v>
      </c>
      <c r="F2646" s="1">
        <f>IFERROR(__xludf.DUMMYFUNCTION("""COMPUTED_VALUE"""),9925.0)</f>
        <v>9925</v>
      </c>
    </row>
    <row r="2647">
      <c r="A2647" s="2">
        <f>IFERROR(__xludf.DUMMYFUNCTION("""COMPUTED_VALUE"""),44845.64583333333)</f>
        <v>44845.64583</v>
      </c>
      <c r="B2647" s="1">
        <f>IFERROR(__xludf.DUMMYFUNCTION("""COMPUTED_VALUE"""),9150.0)</f>
        <v>9150</v>
      </c>
      <c r="C2647" s="1">
        <f>IFERROR(__xludf.DUMMYFUNCTION("""COMPUTED_VALUE"""),9150.0)</f>
        <v>9150</v>
      </c>
      <c r="D2647" s="1">
        <f>IFERROR(__xludf.DUMMYFUNCTION("""COMPUTED_VALUE"""),8830.0)</f>
        <v>8830</v>
      </c>
      <c r="E2647" s="1">
        <f>IFERROR(__xludf.DUMMYFUNCTION("""COMPUTED_VALUE"""),8880.0)</f>
        <v>8880</v>
      </c>
      <c r="F2647" s="1">
        <f>IFERROR(__xludf.DUMMYFUNCTION("""COMPUTED_VALUE"""),22848.0)</f>
        <v>22848</v>
      </c>
    </row>
    <row r="2648">
      <c r="A2648" s="2">
        <f>IFERROR(__xludf.DUMMYFUNCTION("""COMPUTED_VALUE"""),44846.64583333333)</f>
        <v>44846.64583</v>
      </c>
      <c r="B2648" s="1">
        <f>IFERROR(__xludf.DUMMYFUNCTION("""COMPUTED_VALUE"""),8850.0)</f>
        <v>8850</v>
      </c>
      <c r="C2648" s="1">
        <f>IFERROR(__xludf.DUMMYFUNCTION("""COMPUTED_VALUE"""),8940.0)</f>
        <v>8940</v>
      </c>
      <c r="D2648" s="1">
        <f>IFERROR(__xludf.DUMMYFUNCTION("""COMPUTED_VALUE"""),8750.0)</f>
        <v>8750</v>
      </c>
      <c r="E2648" s="1">
        <f>IFERROR(__xludf.DUMMYFUNCTION("""COMPUTED_VALUE"""),8900.0)</f>
        <v>8900</v>
      </c>
      <c r="F2648" s="1">
        <f>IFERROR(__xludf.DUMMYFUNCTION("""COMPUTED_VALUE"""),22071.0)</f>
        <v>22071</v>
      </c>
    </row>
    <row r="2649">
      <c r="A2649" s="2">
        <f>IFERROR(__xludf.DUMMYFUNCTION("""COMPUTED_VALUE"""),44847.64583333333)</f>
        <v>44847.64583</v>
      </c>
      <c r="B2649" s="1">
        <f>IFERROR(__xludf.DUMMYFUNCTION("""COMPUTED_VALUE"""),8800.0)</f>
        <v>8800</v>
      </c>
      <c r="C2649" s="1">
        <f>IFERROR(__xludf.DUMMYFUNCTION("""COMPUTED_VALUE"""),8900.0)</f>
        <v>8900</v>
      </c>
      <c r="D2649" s="1">
        <f>IFERROR(__xludf.DUMMYFUNCTION("""COMPUTED_VALUE"""),8540.0)</f>
        <v>8540</v>
      </c>
      <c r="E2649" s="1">
        <f>IFERROR(__xludf.DUMMYFUNCTION("""COMPUTED_VALUE"""),8540.0)</f>
        <v>8540</v>
      </c>
      <c r="F2649" s="1">
        <f>IFERROR(__xludf.DUMMYFUNCTION("""COMPUTED_VALUE"""),29010.0)</f>
        <v>29010</v>
      </c>
    </row>
    <row r="2650">
      <c r="A2650" s="2">
        <f>IFERROR(__xludf.DUMMYFUNCTION("""COMPUTED_VALUE"""),44848.64583333333)</f>
        <v>44848.64583</v>
      </c>
      <c r="B2650" s="1">
        <f>IFERROR(__xludf.DUMMYFUNCTION("""COMPUTED_VALUE"""),8660.0)</f>
        <v>8660</v>
      </c>
      <c r="C2650" s="1">
        <f>IFERROR(__xludf.DUMMYFUNCTION("""COMPUTED_VALUE"""),8820.0)</f>
        <v>8820</v>
      </c>
      <c r="D2650" s="1">
        <f>IFERROR(__xludf.DUMMYFUNCTION("""COMPUTED_VALUE"""),8660.0)</f>
        <v>8660</v>
      </c>
      <c r="E2650" s="1">
        <f>IFERROR(__xludf.DUMMYFUNCTION("""COMPUTED_VALUE"""),8740.0)</f>
        <v>8740</v>
      </c>
      <c r="F2650" s="1">
        <f>IFERROR(__xludf.DUMMYFUNCTION("""COMPUTED_VALUE"""),13008.0)</f>
        <v>13008</v>
      </c>
    </row>
    <row r="2651">
      <c r="A2651" s="2">
        <f>IFERROR(__xludf.DUMMYFUNCTION("""COMPUTED_VALUE"""),44851.64583333333)</f>
        <v>44851.64583</v>
      </c>
      <c r="B2651" s="1">
        <f>IFERROR(__xludf.DUMMYFUNCTION("""COMPUTED_VALUE"""),8610.0)</f>
        <v>8610</v>
      </c>
      <c r="C2651" s="1">
        <f>IFERROR(__xludf.DUMMYFUNCTION("""COMPUTED_VALUE"""),8790.0)</f>
        <v>8790</v>
      </c>
      <c r="D2651" s="1">
        <f>IFERROR(__xludf.DUMMYFUNCTION("""COMPUTED_VALUE"""),8610.0)</f>
        <v>8610</v>
      </c>
      <c r="E2651" s="1">
        <f>IFERROR(__xludf.DUMMYFUNCTION("""COMPUTED_VALUE"""),8730.0)</f>
        <v>8730</v>
      </c>
      <c r="F2651" s="1">
        <f>IFERROR(__xludf.DUMMYFUNCTION("""COMPUTED_VALUE"""),13823.0)</f>
        <v>13823</v>
      </c>
    </row>
    <row r="2652">
      <c r="A2652" s="2">
        <f>IFERROR(__xludf.DUMMYFUNCTION("""COMPUTED_VALUE"""),44852.64583333333)</f>
        <v>44852.64583</v>
      </c>
      <c r="B2652" s="1">
        <f>IFERROR(__xludf.DUMMYFUNCTION("""COMPUTED_VALUE"""),8840.0)</f>
        <v>8840</v>
      </c>
      <c r="C2652" s="1">
        <f>IFERROR(__xludf.DUMMYFUNCTION("""COMPUTED_VALUE"""),8980.0)</f>
        <v>8980</v>
      </c>
      <c r="D2652" s="1">
        <f>IFERROR(__xludf.DUMMYFUNCTION("""COMPUTED_VALUE"""),8820.0)</f>
        <v>8820</v>
      </c>
      <c r="E2652" s="1">
        <f>IFERROR(__xludf.DUMMYFUNCTION("""COMPUTED_VALUE"""),8930.0)</f>
        <v>8930</v>
      </c>
      <c r="F2652" s="1">
        <f>IFERROR(__xludf.DUMMYFUNCTION("""COMPUTED_VALUE"""),12656.0)</f>
        <v>12656</v>
      </c>
    </row>
    <row r="2653">
      <c r="A2653" s="2">
        <f>IFERROR(__xludf.DUMMYFUNCTION("""COMPUTED_VALUE"""),44853.64583333333)</f>
        <v>44853.64583</v>
      </c>
      <c r="B2653" s="1">
        <f>IFERROR(__xludf.DUMMYFUNCTION("""COMPUTED_VALUE"""),9000.0)</f>
        <v>9000</v>
      </c>
      <c r="C2653" s="1">
        <f>IFERROR(__xludf.DUMMYFUNCTION("""COMPUTED_VALUE"""),9120.0)</f>
        <v>9120</v>
      </c>
      <c r="D2653" s="1">
        <f>IFERROR(__xludf.DUMMYFUNCTION("""COMPUTED_VALUE"""),8960.0)</f>
        <v>8960</v>
      </c>
      <c r="E2653" s="1">
        <f>IFERROR(__xludf.DUMMYFUNCTION("""COMPUTED_VALUE"""),9060.0)</f>
        <v>9060</v>
      </c>
      <c r="F2653" s="1">
        <f>IFERROR(__xludf.DUMMYFUNCTION("""COMPUTED_VALUE"""),9439.0)</f>
        <v>9439</v>
      </c>
    </row>
    <row r="2654">
      <c r="A2654" s="2">
        <f>IFERROR(__xludf.DUMMYFUNCTION("""COMPUTED_VALUE"""),44854.64583333333)</f>
        <v>44854.64583</v>
      </c>
      <c r="B2654" s="1">
        <f>IFERROR(__xludf.DUMMYFUNCTION("""COMPUTED_VALUE"""),9000.0)</f>
        <v>9000</v>
      </c>
      <c r="C2654" s="1">
        <f>IFERROR(__xludf.DUMMYFUNCTION("""COMPUTED_VALUE"""),9130.0)</f>
        <v>9130</v>
      </c>
      <c r="D2654" s="1">
        <f>IFERROR(__xludf.DUMMYFUNCTION("""COMPUTED_VALUE"""),9000.0)</f>
        <v>9000</v>
      </c>
      <c r="E2654" s="1">
        <f>IFERROR(__xludf.DUMMYFUNCTION("""COMPUTED_VALUE"""),9070.0)</f>
        <v>9070</v>
      </c>
      <c r="F2654" s="1">
        <f>IFERROR(__xludf.DUMMYFUNCTION("""COMPUTED_VALUE"""),4462.0)</f>
        <v>4462</v>
      </c>
    </row>
    <row r="2655">
      <c r="A2655" s="2">
        <f>IFERROR(__xludf.DUMMYFUNCTION("""COMPUTED_VALUE"""),44855.64583333333)</f>
        <v>44855.64583</v>
      </c>
      <c r="B2655" s="1">
        <f>IFERROR(__xludf.DUMMYFUNCTION("""COMPUTED_VALUE"""),9070.0)</f>
        <v>9070</v>
      </c>
      <c r="C2655" s="1">
        <f>IFERROR(__xludf.DUMMYFUNCTION("""COMPUTED_VALUE"""),9070.0)</f>
        <v>9070</v>
      </c>
      <c r="D2655" s="1">
        <f>IFERROR(__xludf.DUMMYFUNCTION("""COMPUTED_VALUE"""),8940.0)</f>
        <v>8940</v>
      </c>
      <c r="E2655" s="1">
        <f>IFERROR(__xludf.DUMMYFUNCTION("""COMPUTED_VALUE"""),8950.0)</f>
        <v>8950</v>
      </c>
      <c r="F2655" s="1">
        <f>IFERROR(__xludf.DUMMYFUNCTION("""COMPUTED_VALUE"""),6037.0)</f>
        <v>6037</v>
      </c>
    </row>
    <row r="2656">
      <c r="A2656" s="2">
        <f>IFERROR(__xludf.DUMMYFUNCTION("""COMPUTED_VALUE"""),44858.64583333333)</f>
        <v>44858.64583</v>
      </c>
      <c r="B2656" s="1">
        <f>IFERROR(__xludf.DUMMYFUNCTION("""COMPUTED_VALUE"""),8980.0)</f>
        <v>8980</v>
      </c>
      <c r="C2656" s="1">
        <f>IFERROR(__xludf.DUMMYFUNCTION("""COMPUTED_VALUE"""),9100.0)</f>
        <v>9100</v>
      </c>
      <c r="D2656" s="1">
        <f>IFERROR(__xludf.DUMMYFUNCTION("""COMPUTED_VALUE"""),8950.0)</f>
        <v>8950</v>
      </c>
      <c r="E2656" s="1">
        <f>IFERROR(__xludf.DUMMYFUNCTION("""COMPUTED_VALUE"""),9090.0)</f>
        <v>9090</v>
      </c>
      <c r="F2656" s="1">
        <f>IFERROR(__xludf.DUMMYFUNCTION("""COMPUTED_VALUE"""),11016.0)</f>
        <v>11016</v>
      </c>
    </row>
    <row r="2657">
      <c r="A2657" s="2">
        <f>IFERROR(__xludf.DUMMYFUNCTION("""COMPUTED_VALUE"""),44859.64583333333)</f>
        <v>44859.64583</v>
      </c>
      <c r="B2657" s="1">
        <f>IFERROR(__xludf.DUMMYFUNCTION("""COMPUTED_VALUE"""),9100.0)</f>
        <v>9100</v>
      </c>
      <c r="C2657" s="1">
        <f>IFERROR(__xludf.DUMMYFUNCTION("""COMPUTED_VALUE"""),9130.0)</f>
        <v>9130</v>
      </c>
      <c r="D2657" s="1">
        <f>IFERROR(__xludf.DUMMYFUNCTION("""COMPUTED_VALUE"""),8910.0)</f>
        <v>8910</v>
      </c>
      <c r="E2657" s="1">
        <f>IFERROR(__xludf.DUMMYFUNCTION("""COMPUTED_VALUE"""),8910.0)</f>
        <v>8910</v>
      </c>
      <c r="F2657" s="1">
        <f>IFERROR(__xludf.DUMMYFUNCTION("""COMPUTED_VALUE"""),9079.0)</f>
        <v>9079</v>
      </c>
    </row>
    <row r="2658">
      <c r="A2658" s="2">
        <f>IFERROR(__xludf.DUMMYFUNCTION("""COMPUTED_VALUE"""),44860.64583333333)</f>
        <v>44860.64583</v>
      </c>
      <c r="B2658" s="1">
        <f>IFERROR(__xludf.DUMMYFUNCTION("""COMPUTED_VALUE"""),8990.0)</f>
        <v>8990</v>
      </c>
      <c r="C2658" s="1">
        <f>IFERROR(__xludf.DUMMYFUNCTION("""COMPUTED_VALUE"""),8990.0)</f>
        <v>8990</v>
      </c>
      <c r="D2658" s="1">
        <f>IFERROR(__xludf.DUMMYFUNCTION("""COMPUTED_VALUE"""),8800.0)</f>
        <v>8800</v>
      </c>
      <c r="E2658" s="1">
        <f>IFERROR(__xludf.DUMMYFUNCTION("""COMPUTED_VALUE"""),8820.0)</f>
        <v>8820</v>
      </c>
      <c r="F2658" s="1">
        <f>IFERROR(__xludf.DUMMYFUNCTION("""COMPUTED_VALUE"""),17792.0)</f>
        <v>17792</v>
      </c>
    </row>
    <row r="2659">
      <c r="A2659" s="2">
        <f>IFERROR(__xludf.DUMMYFUNCTION("""COMPUTED_VALUE"""),44861.64583333333)</f>
        <v>44861.64583</v>
      </c>
      <c r="B2659" s="1">
        <f>IFERROR(__xludf.DUMMYFUNCTION("""COMPUTED_VALUE"""),8830.0)</f>
        <v>8830</v>
      </c>
      <c r="C2659" s="1">
        <f>IFERROR(__xludf.DUMMYFUNCTION("""COMPUTED_VALUE"""),8990.0)</f>
        <v>8990</v>
      </c>
      <c r="D2659" s="1">
        <f>IFERROR(__xludf.DUMMYFUNCTION("""COMPUTED_VALUE"""),8830.0)</f>
        <v>8830</v>
      </c>
      <c r="E2659" s="1">
        <f>IFERROR(__xludf.DUMMYFUNCTION("""COMPUTED_VALUE"""),8940.0)</f>
        <v>8940</v>
      </c>
      <c r="F2659" s="1">
        <f>IFERROR(__xludf.DUMMYFUNCTION("""COMPUTED_VALUE"""),13888.0)</f>
        <v>13888</v>
      </c>
    </row>
    <row r="2660">
      <c r="A2660" s="2">
        <f>IFERROR(__xludf.DUMMYFUNCTION("""COMPUTED_VALUE"""),44862.64583333333)</f>
        <v>44862.64583</v>
      </c>
      <c r="B2660" s="1">
        <f>IFERROR(__xludf.DUMMYFUNCTION("""COMPUTED_VALUE"""),8990.0)</f>
        <v>8990</v>
      </c>
      <c r="C2660" s="1">
        <f>IFERROR(__xludf.DUMMYFUNCTION("""COMPUTED_VALUE"""),9230.0)</f>
        <v>9230</v>
      </c>
      <c r="D2660" s="1">
        <f>IFERROR(__xludf.DUMMYFUNCTION("""COMPUTED_VALUE"""),8980.0)</f>
        <v>8980</v>
      </c>
      <c r="E2660" s="1">
        <f>IFERROR(__xludf.DUMMYFUNCTION("""COMPUTED_VALUE"""),9020.0)</f>
        <v>9020</v>
      </c>
      <c r="F2660" s="1">
        <f>IFERROR(__xludf.DUMMYFUNCTION("""COMPUTED_VALUE"""),17865.0)</f>
        <v>17865</v>
      </c>
    </row>
    <row r="2661">
      <c r="A2661" s="2">
        <f>IFERROR(__xludf.DUMMYFUNCTION("""COMPUTED_VALUE"""),44865.64583333333)</f>
        <v>44865.64583</v>
      </c>
      <c r="B2661" s="1">
        <f>IFERROR(__xludf.DUMMYFUNCTION("""COMPUTED_VALUE"""),9280.0)</f>
        <v>9280</v>
      </c>
      <c r="C2661" s="1">
        <f>IFERROR(__xludf.DUMMYFUNCTION("""COMPUTED_VALUE"""),9320.0)</f>
        <v>9320</v>
      </c>
      <c r="D2661" s="1">
        <f>IFERROR(__xludf.DUMMYFUNCTION("""COMPUTED_VALUE"""),9150.0)</f>
        <v>9150</v>
      </c>
      <c r="E2661" s="1">
        <f>IFERROR(__xludf.DUMMYFUNCTION("""COMPUTED_VALUE"""),9190.0)</f>
        <v>9190</v>
      </c>
      <c r="F2661" s="1">
        <f>IFERROR(__xludf.DUMMYFUNCTION("""COMPUTED_VALUE"""),29890.0)</f>
        <v>29890</v>
      </c>
    </row>
    <row r="2662">
      <c r="A2662" s="2">
        <f>IFERROR(__xludf.DUMMYFUNCTION("""COMPUTED_VALUE"""),44866.64583333333)</f>
        <v>44866.64583</v>
      </c>
      <c r="B2662" s="1">
        <f>IFERROR(__xludf.DUMMYFUNCTION("""COMPUTED_VALUE"""),9130.0)</f>
        <v>9130</v>
      </c>
      <c r="C2662" s="1">
        <f>IFERROR(__xludf.DUMMYFUNCTION("""COMPUTED_VALUE"""),9330.0)</f>
        <v>9330</v>
      </c>
      <c r="D2662" s="1">
        <f>IFERROR(__xludf.DUMMYFUNCTION("""COMPUTED_VALUE"""),9120.0)</f>
        <v>9120</v>
      </c>
      <c r="E2662" s="1">
        <f>IFERROR(__xludf.DUMMYFUNCTION("""COMPUTED_VALUE"""),9300.0)</f>
        <v>9300</v>
      </c>
      <c r="F2662" s="1">
        <f>IFERROR(__xludf.DUMMYFUNCTION("""COMPUTED_VALUE"""),15791.0)</f>
        <v>15791</v>
      </c>
    </row>
    <row r="2663">
      <c r="A2663" s="2">
        <f>IFERROR(__xludf.DUMMYFUNCTION("""COMPUTED_VALUE"""),44867.64583333333)</f>
        <v>44867.64583</v>
      </c>
      <c r="B2663" s="1">
        <f>IFERROR(__xludf.DUMMYFUNCTION("""COMPUTED_VALUE"""),9290.0)</f>
        <v>9290</v>
      </c>
      <c r="C2663" s="1">
        <f>IFERROR(__xludf.DUMMYFUNCTION("""COMPUTED_VALUE"""),9320.0)</f>
        <v>9320</v>
      </c>
      <c r="D2663" s="1">
        <f>IFERROR(__xludf.DUMMYFUNCTION("""COMPUTED_VALUE"""),9210.0)</f>
        <v>9210</v>
      </c>
      <c r="E2663" s="1">
        <f>IFERROR(__xludf.DUMMYFUNCTION("""COMPUTED_VALUE"""),9300.0)</f>
        <v>9300</v>
      </c>
      <c r="F2663" s="1">
        <f>IFERROR(__xludf.DUMMYFUNCTION("""COMPUTED_VALUE"""),6266.0)</f>
        <v>6266</v>
      </c>
    </row>
    <row r="2664">
      <c r="A2664" s="2">
        <f>IFERROR(__xludf.DUMMYFUNCTION("""COMPUTED_VALUE"""),44868.64583333333)</f>
        <v>44868.64583</v>
      </c>
      <c r="B2664" s="1">
        <f>IFERROR(__xludf.DUMMYFUNCTION("""COMPUTED_VALUE"""),9110.0)</f>
        <v>9110</v>
      </c>
      <c r="C2664" s="1">
        <f>IFERROR(__xludf.DUMMYFUNCTION("""COMPUTED_VALUE"""),9300.0)</f>
        <v>9300</v>
      </c>
      <c r="D2664" s="1">
        <f>IFERROR(__xludf.DUMMYFUNCTION("""COMPUTED_VALUE"""),9110.0)</f>
        <v>9110</v>
      </c>
      <c r="E2664" s="1">
        <f>IFERROR(__xludf.DUMMYFUNCTION("""COMPUTED_VALUE"""),9250.0)</f>
        <v>9250</v>
      </c>
      <c r="F2664" s="1">
        <f>IFERROR(__xludf.DUMMYFUNCTION("""COMPUTED_VALUE"""),7047.0)</f>
        <v>7047</v>
      </c>
    </row>
    <row r="2665">
      <c r="A2665" s="2">
        <f>IFERROR(__xludf.DUMMYFUNCTION("""COMPUTED_VALUE"""),44869.64583333333)</f>
        <v>44869.64583</v>
      </c>
      <c r="B2665" s="1">
        <f>IFERROR(__xludf.DUMMYFUNCTION("""COMPUTED_VALUE"""),9170.0)</f>
        <v>9170</v>
      </c>
      <c r="C2665" s="1">
        <f>IFERROR(__xludf.DUMMYFUNCTION("""COMPUTED_VALUE"""),9320.0)</f>
        <v>9320</v>
      </c>
      <c r="D2665" s="1">
        <f>IFERROR(__xludf.DUMMYFUNCTION("""COMPUTED_VALUE"""),9170.0)</f>
        <v>9170</v>
      </c>
      <c r="E2665" s="1">
        <f>IFERROR(__xludf.DUMMYFUNCTION("""COMPUTED_VALUE"""),9210.0)</f>
        <v>9210</v>
      </c>
      <c r="F2665" s="1">
        <f>IFERROR(__xludf.DUMMYFUNCTION("""COMPUTED_VALUE"""),6146.0)</f>
        <v>6146</v>
      </c>
    </row>
    <row r="2666">
      <c r="A2666" s="2">
        <f>IFERROR(__xludf.DUMMYFUNCTION("""COMPUTED_VALUE"""),44872.64583333333)</f>
        <v>44872.64583</v>
      </c>
      <c r="B2666" s="1">
        <f>IFERROR(__xludf.DUMMYFUNCTION("""COMPUTED_VALUE"""),9210.0)</f>
        <v>9210</v>
      </c>
      <c r="C2666" s="1">
        <f>IFERROR(__xludf.DUMMYFUNCTION("""COMPUTED_VALUE"""),9390.0)</f>
        <v>9390</v>
      </c>
      <c r="D2666" s="1">
        <f>IFERROR(__xludf.DUMMYFUNCTION("""COMPUTED_VALUE"""),9210.0)</f>
        <v>9210</v>
      </c>
      <c r="E2666" s="1">
        <f>IFERROR(__xludf.DUMMYFUNCTION("""COMPUTED_VALUE"""),9280.0)</f>
        <v>9280</v>
      </c>
      <c r="F2666" s="1">
        <f>IFERROR(__xludf.DUMMYFUNCTION("""COMPUTED_VALUE"""),17484.0)</f>
        <v>17484</v>
      </c>
    </row>
    <row r="2667">
      <c r="A2667" s="2">
        <f>IFERROR(__xludf.DUMMYFUNCTION("""COMPUTED_VALUE"""),44873.64583333333)</f>
        <v>44873.64583</v>
      </c>
      <c r="B2667" s="1">
        <f>IFERROR(__xludf.DUMMYFUNCTION("""COMPUTED_VALUE"""),9300.0)</f>
        <v>9300</v>
      </c>
      <c r="C2667" s="1">
        <f>IFERROR(__xludf.DUMMYFUNCTION("""COMPUTED_VALUE"""),9400.0)</f>
        <v>9400</v>
      </c>
      <c r="D2667" s="1">
        <f>IFERROR(__xludf.DUMMYFUNCTION("""COMPUTED_VALUE"""),9220.0)</f>
        <v>9220</v>
      </c>
      <c r="E2667" s="1">
        <f>IFERROR(__xludf.DUMMYFUNCTION("""COMPUTED_VALUE"""),9400.0)</f>
        <v>9400</v>
      </c>
      <c r="F2667" s="1">
        <f>IFERROR(__xludf.DUMMYFUNCTION("""COMPUTED_VALUE"""),19732.0)</f>
        <v>19732</v>
      </c>
    </row>
    <row r="2668">
      <c r="A2668" s="2">
        <f>IFERROR(__xludf.DUMMYFUNCTION("""COMPUTED_VALUE"""),44874.64583333333)</f>
        <v>44874.64583</v>
      </c>
      <c r="B2668" s="1">
        <f>IFERROR(__xludf.DUMMYFUNCTION("""COMPUTED_VALUE"""),9400.0)</f>
        <v>9400</v>
      </c>
      <c r="C2668" s="1">
        <f>IFERROR(__xludf.DUMMYFUNCTION("""COMPUTED_VALUE"""),9470.0)</f>
        <v>9470</v>
      </c>
      <c r="D2668" s="1">
        <f>IFERROR(__xludf.DUMMYFUNCTION("""COMPUTED_VALUE"""),9400.0)</f>
        <v>9400</v>
      </c>
      <c r="E2668" s="1">
        <f>IFERROR(__xludf.DUMMYFUNCTION("""COMPUTED_VALUE"""),9460.0)</f>
        <v>9460</v>
      </c>
      <c r="F2668" s="1">
        <f>IFERROR(__xludf.DUMMYFUNCTION("""COMPUTED_VALUE"""),22801.0)</f>
        <v>22801</v>
      </c>
    </row>
    <row r="2669">
      <c r="A2669" s="2">
        <f>IFERROR(__xludf.DUMMYFUNCTION("""COMPUTED_VALUE"""),44875.64583333333)</f>
        <v>44875.64583</v>
      </c>
      <c r="B2669" s="1">
        <f>IFERROR(__xludf.DUMMYFUNCTION("""COMPUTED_VALUE"""),9460.0)</f>
        <v>9460</v>
      </c>
      <c r="C2669" s="1">
        <f>IFERROR(__xludf.DUMMYFUNCTION("""COMPUTED_VALUE"""),9480.0)</f>
        <v>9480</v>
      </c>
      <c r="D2669" s="1">
        <f>IFERROR(__xludf.DUMMYFUNCTION("""COMPUTED_VALUE"""),9320.0)</f>
        <v>9320</v>
      </c>
      <c r="E2669" s="1">
        <f>IFERROR(__xludf.DUMMYFUNCTION("""COMPUTED_VALUE"""),9430.0)</f>
        <v>9430</v>
      </c>
      <c r="F2669" s="1">
        <f>IFERROR(__xludf.DUMMYFUNCTION("""COMPUTED_VALUE"""),15399.0)</f>
        <v>15399</v>
      </c>
    </row>
    <row r="2670">
      <c r="A2670" s="2">
        <f>IFERROR(__xludf.DUMMYFUNCTION("""COMPUTED_VALUE"""),44876.64583333333)</f>
        <v>44876.64583</v>
      </c>
      <c r="B2670" s="1">
        <f>IFERROR(__xludf.DUMMYFUNCTION("""COMPUTED_VALUE"""),9580.0)</f>
        <v>9580</v>
      </c>
      <c r="C2670" s="1">
        <f>IFERROR(__xludf.DUMMYFUNCTION("""COMPUTED_VALUE"""),9590.0)</f>
        <v>9590</v>
      </c>
      <c r="D2670" s="1">
        <f>IFERROR(__xludf.DUMMYFUNCTION("""COMPUTED_VALUE"""),9470.0)</f>
        <v>9470</v>
      </c>
      <c r="E2670" s="1">
        <f>IFERROR(__xludf.DUMMYFUNCTION("""COMPUTED_VALUE"""),9530.0)</f>
        <v>9530</v>
      </c>
      <c r="F2670" s="1">
        <f>IFERROR(__xludf.DUMMYFUNCTION("""COMPUTED_VALUE"""),20267.0)</f>
        <v>20267</v>
      </c>
    </row>
    <row r="2671">
      <c r="A2671" s="2">
        <f>IFERROR(__xludf.DUMMYFUNCTION("""COMPUTED_VALUE"""),44879.64583333333)</f>
        <v>44879.64583</v>
      </c>
      <c r="B2671" s="1">
        <f>IFERROR(__xludf.DUMMYFUNCTION("""COMPUTED_VALUE"""),9530.0)</f>
        <v>9530</v>
      </c>
      <c r="C2671" s="1">
        <f>IFERROR(__xludf.DUMMYFUNCTION("""COMPUTED_VALUE"""),9620.0)</f>
        <v>9620</v>
      </c>
      <c r="D2671" s="1">
        <f>IFERROR(__xludf.DUMMYFUNCTION("""COMPUTED_VALUE"""),9400.0)</f>
        <v>9400</v>
      </c>
      <c r="E2671" s="1">
        <f>IFERROR(__xludf.DUMMYFUNCTION("""COMPUTED_VALUE"""),9600.0)</f>
        <v>9600</v>
      </c>
      <c r="F2671" s="1">
        <f>IFERROR(__xludf.DUMMYFUNCTION("""COMPUTED_VALUE"""),23087.0)</f>
        <v>23087</v>
      </c>
    </row>
    <row r="2672">
      <c r="A2672" s="2">
        <f>IFERROR(__xludf.DUMMYFUNCTION("""COMPUTED_VALUE"""),44880.64583333333)</f>
        <v>44880.64583</v>
      </c>
      <c r="B2672" s="1">
        <f>IFERROR(__xludf.DUMMYFUNCTION("""COMPUTED_VALUE"""),9530.0)</f>
        <v>9530</v>
      </c>
      <c r="C2672" s="1">
        <f>IFERROR(__xludf.DUMMYFUNCTION("""COMPUTED_VALUE"""),9830.0)</f>
        <v>9830</v>
      </c>
      <c r="D2672" s="1">
        <f>IFERROR(__xludf.DUMMYFUNCTION("""COMPUTED_VALUE"""),9530.0)</f>
        <v>9530</v>
      </c>
      <c r="E2672" s="1">
        <f>IFERROR(__xludf.DUMMYFUNCTION("""COMPUTED_VALUE"""),9800.0)</f>
        <v>9800</v>
      </c>
      <c r="F2672" s="1">
        <f>IFERROR(__xludf.DUMMYFUNCTION("""COMPUTED_VALUE"""),30032.0)</f>
        <v>30032</v>
      </c>
    </row>
    <row r="2673">
      <c r="A2673" s="2">
        <f>IFERROR(__xludf.DUMMYFUNCTION("""COMPUTED_VALUE"""),44881.64583333333)</f>
        <v>44881.64583</v>
      </c>
      <c r="B2673" s="1">
        <f>IFERROR(__xludf.DUMMYFUNCTION("""COMPUTED_VALUE"""),9790.0)</f>
        <v>9790</v>
      </c>
      <c r="C2673" s="1">
        <f>IFERROR(__xludf.DUMMYFUNCTION("""COMPUTED_VALUE"""),10150.0)</f>
        <v>10150</v>
      </c>
      <c r="D2673" s="1">
        <f>IFERROR(__xludf.DUMMYFUNCTION("""COMPUTED_VALUE"""),9760.0)</f>
        <v>9760</v>
      </c>
      <c r="E2673" s="1">
        <f>IFERROR(__xludf.DUMMYFUNCTION("""COMPUTED_VALUE"""),10050.0)</f>
        <v>10050</v>
      </c>
      <c r="F2673" s="1">
        <f>IFERROR(__xludf.DUMMYFUNCTION("""COMPUTED_VALUE"""),51381.0)</f>
        <v>51381</v>
      </c>
    </row>
    <row r="2674">
      <c r="A2674" s="2">
        <f>IFERROR(__xludf.DUMMYFUNCTION("""COMPUTED_VALUE"""),44882.64583333333)</f>
        <v>44882.64583</v>
      </c>
      <c r="B2674" s="1">
        <f>IFERROR(__xludf.DUMMYFUNCTION("""COMPUTED_VALUE"""),10050.0)</f>
        <v>10050</v>
      </c>
      <c r="C2674" s="1">
        <f>IFERROR(__xludf.DUMMYFUNCTION("""COMPUTED_VALUE"""),10050.0)</f>
        <v>10050</v>
      </c>
      <c r="D2674" s="1">
        <f>IFERROR(__xludf.DUMMYFUNCTION("""COMPUTED_VALUE"""),9910.0)</f>
        <v>9910</v>
      </c>
      <c r="E2674" s="1">
        <f>IFERROR(__xludf.DUMMYFUNCTION("""COMPUTED_VALUE"""),9990.0)</f>
        <v>9990</v>
      </c>
      <c r="F2674" s="1">
        <f>IFERROR(__xludf.DUMMYFUNCTION("""COMPUTED_VALUE"""),14234.0)</f>
        <v>14234</v>
      </c>
    </row>
    <row r="2675">
      <c r="A2675" s="2">
        <f>IFERROR(__xludf.DUMMYFUNCTION("""COMPUTED_VALUE"""),44883.64583333333)</f>
        <v>44883.64583</v>
      </c>
      <c r="B2675" s="1">
        <f>IFERROR(__xludf.DUMMYFUNCTION("""COMPUTED_VALUE"""),9990.0)</f>
        <v>9990</v>
      </c>
      <c r="C2675" s="1">
        <f>IFERROR(__xludf.DUMMYFUNCTION("""COMPUTED_VALUE"""),10100.0)</f>
        <v>10100</v>
      </c>
      <c r="D2675" s="1">
        <f>IFERROR(__xludf.DUMMYFUNCTION("""COMPUTED_VALUE"""),9920.0)</f>
        <v>9920</v>
      </c>
      <c r="E2675" s="1">
        <f>IFERROR(__xludf.DUMMYFUNCTION("""COMPUTED_VALUE"""),9970.0)</f>
        <v>9970</v>
      </c>
      <c r="F2675" s="1">
        <f>IFERROR(__xludf.DUMMYFUNCTION("""COMPUTED_VALUE"""),18364.0)</f>
        <v>18364</v>
      </c>
    </row>
    <row r="2676">
      <c r="A2676" s="2">
        <f>IFERROR(__xludf.DUMMYFUNCTION("""COMPUTED_VALUE"""),44886.64583333333)</f>
        <v>44886.64583</v>
      </c>
      <c r="B2676" s="1">
        <f>IFERROR(__xludf.DUMMYFUNCTION("""COMPUTED_VALUE"""),9970.0)</f>
        <v>9970</v>
      </c>
      <c r="C2676" s="1">
        <f>IFERROR(__xludf.DUMMYFUNCTION("""COMPUTED_VALUE"""),9970.0)</f>
        <v>9970</v>
      </c>
      <c r="D2676" s="1">
        <f>IFERROR(__xludf.DUMMYFUNCTION("""COMPUTED_VALUE"""),9400.0)</f>
        <v>9400</v>
      </c>
      <c r="E2676" s="1">
        <f>IFERROR(__xludf.DUMMYFUNCTION("""COMPUTED_VALUE"""),9780.0)</f>
        <v>9780</v>
      </c>
      <c r="F2676" s="1">
        <f>IFERROR(__xludf.DUMMYFUNCTION("""COMPUTED_VALUE"""),26235.0)</f>
        <v>26235</v>
      </c>
    </row>
    <row r="2677">
      <c r="A2677" s="2">
        <f>IFERROR(__xludf.DUMMYFUNCTION("""COMPUTED_VALUE"""),44887.64583333333)</f>
        <v>44887.64583</v>
      </c>
      <c r="B2677" s="1">
        <f>IFERROR(__xludf.DUMMYFUNCTION("""COMPUTED_VALUE"""),9770.0)</f>
        <v>9770</v>
      </c>
      <c r="C2677" s="1">
        <f>IFERROR(__xludf.DUMMYFUNCTION("""COMPUTED_VALUE"""),9780.0)</f>
        <v>9780</v>
      </c>
      <c r="D2677" s="1">
        <f>IFERROR(__xludf.DUMMYFUNCTION("""COMPUTED_VALUE"""),9600.0)</f>
        <v>9600</v>
      </c>
      <c r="E2677" s="1">
        <f>IFERROR(__xludf.DUMMYFUNCTION("""COMPUTED_VALUE"""),9660.0)</f>
        <v>9660</v>
      </c>
      <c r="F2677" s="1">
        <f>IFERROR(__xludf.DUMMYFUNCTION("""COMPUTED_VALUE"""),10225.0)</f>
        <v>10225</v>
      </c>
    </row>
    <row r="2678">
      <c r="A2678" s="2">
        <f>IFERROR(__xludf.DUMMYFUNCTION("""COMPUTED_VALUE"""),44888.64583333333)</f>
        <v>44888.64583</v>
      </c>
      <c r="B2678" s="1">
        <f>IFERROR(__xludf.DUMMYFUNCTION("""COMPUTED_VALUE"""),9670.0)</f>
        <v>9670</v>
      </c>
      <c r="C2678" s="1">
        <f>IFERROR(__xludf.DUMMYFUNCTION("""COMPUTED_VALUE"""),9850.0)</f>
        <v>9850</v>
      </c>
      <c r="D2678" s="1">
        <f>IFERROR(__xludf.DUMMYFUNCTION("""COMPUTED_VALUE"""),9670.0)</f>
        <v>9670</v>
      </c>
      <c r="E2678" s="1">
        <f>IFERROR(__xludf.DUMMYFUNCTION("""COMPUTED_VALUE"""),9820.0)</f>
        <v>9820</v>
      </c>
      <c r="F2678" s="1">
        <f>IFERROR(__xludf.DUMMYFUNCTION("""COMPUTED_VALUE"""),8230.0)</f>
        <v>8230</v>
      </c>
    </row>
    <row r="2679">
      <c r="A2679" s="2">
        <f>IFERROR(__xludf.DUMMYFUNCTION("""COMPUTED_VALUE"""),44889.64583333333)</f>
        <v>44889.64583</v>
      </c>
      <c r="B2679" s="1">
        <f>IFERROR(__xludf.DUMMYFUNCTION("""COMPUTED_VALUE"""),9820.0)</f>
        <v>9820</v>
      </c>
      <c r="C2679" s="1">
        <f>IFERROR(__xludf.DUMMYFUNCTION("""COMPUTED_VALUE"""),9880.0)</f>
        <v>9880</v>
      </c>
      <c r="D2679" s="1">
        <f>IFERROR(__xludf.DUMMYFUNCTION("""COMPUTED_VALUE"""),9800.0)</f>
        <v>9800</v>
      </c>
      <c r="E2679" s="1">
        <f>IFERROR(__xludf.DUMMYFUNCTION("""COMPUTED_VALUE"""),9880.0)</f>
        <v>9880</v>
      </c>
      <c r="F2679" s="1">
        <f>IFERROR(__xludf.DUMMYFUNCTION("""COMPUTED_VALUE"""),7558.0)</f>
        <v>7558</v>
      </c>
    </row>
    <row r="2680">
      <c r="A2680" s="2">
        <f>IFERROR(__xludf.DUMMYFUNCTION("""COMPUTED_VALUE"""),44890.64583333333)</f>
        <v>44890.64583</v>
      </c>
      <c r="B2680" s="1">
        <f>IFERROR(__xludf.DUMMYFUNCTION("""COMPUTED_VALUE"""),9880.0)</f>
        <v>9880</v>
      </c>
      <c r="C2680" s="1">
        <f>IFERROR(__xludf.DUMMYFUNCTION("""COMPUTED_VALUE"""),9950.0)</f>
        <v>9950</v>
      </c>
      <c r="D2680" s="1">
        <f>IFERROR(__xludf.DUMMYFUNCTION("""COMPUTED_VALUE"""),9850.0)</f>
        <v>9850</v>
      </c>
      <c r="E2680" s="1">
        <f>IFERROR(__xludf.DUMMYFUNCTION("""COMPUTED_VALUE"""),9880.0)</f>
        <v>9880</v>
      </c>
      <c r="F2680" s="1">
        <f>IFERROR(__xludf.DUMMYFUNCTION("""COMPUTED_VALUE"""),8986.0)</f>
        <v>8986</v>
      </c>
    </row>
    <row r="2681">
      <c r="A2681" s="2">
        <f>IFERROR(__xludf.DUMMYFUNCTION("""COMPUTED_VALUE"""),44893.64583333333)</f>
        <v>44893.64583</v>
      </c>
      <c r="B2681" s="1">
        <f>IFERROR(__xludf.DUMMYFUNCTION("""COMPUTED_VALUE"""),9880.0)</f>
        <v>9880</v>
      </c>
      <c r="C2681" s="1">
        <f>IFERROR(__xludf.DUMMYFUNCTION("""COMPUTED_VALUE"""),12300.0)</f>
        <v>12300</v>
      </c>
      <c r="D2681" s="1">
        <f>IFERROR(__xludf.DUMMYFUNCTION("""COMPUTED_VALUE"""),9650.0)</f>
        <v>9650</v>
      </c>
      <c r="E2681" s="1">
        <f>IFERROR(__xludf.DUMMYFUNCTION("""COMPUTED_VALUE"""),10100.0)</f>
        <v>10100</v>
      </c>
      <c r="F2681" s="1">
        <f>IFERROR(__xludf.DUMMYFUNCTION("""COMPUTED_VALUE"""),840003.0)</f>
        <v>840003</v>
      </c>
    </row>
    <row r="2682">
      <c r="A2682" s="2">
        <f>IFERROR(__xludf.DUMMYFUNCTION("""COMPUTED_VALUE"""),44894.64583333333)</f>
        <v>44894.64583</v>
      </c>
      <c r="B2682" s="1">
        <f>IFERROR(__xludf.DUMMYFUNCTION("""COMPUTED_VALUE"""),10100.0)</f>
        <v>10100</v>
      </c>
      <c r="C2682" s="1">
        <f>IFERROR(__xludf.DUMMYFUNCTION("""COMPUTED_VALUE"""),10350.0)</f>
        <v>10350</v>
      </c>
      <c r="D2682" s="1">
        <f>IFERROR(__xludf.DUMMYFUNCTION("""COMPUTED_VALUE"""),9960.0)</f>
        <v>9960</v>
      </c>
      <c r="E2682" s="1">
        <f>IFERROR(__xludf.DUMMYFUNCTION("""COMPUTED_VALUE"""),10050.0)</f>
        <v>10050</v>
      </c>
      <c r="F2682" s="1">
        <f>IFERROR(__xludf.DUMMYFUNCTION("""COMPUTED_VALUE"""),132865.0)</f>
        <v>132865</v>
      </c>
    </row>
    <row r="2683">
      <c r="A2683" s="2">
        <f>IFERROR(__xludf.DUMMYFUNCTION("""COMPUTED_VALUE"""),44895.64583333333)</f>
        <v>44895.64583</v>
      </c>
      <c r="B2683" s="1">
        <f>IFERROR(__xludf.DUMMYFUNCTION("""COMPUTED_VALUE"""),10050.0)</f>
        <v>10050</v>
      </c>
      <c r="C2683" s="1">
        <f>IFERROR(__xludf.DUMMYFUNCTION("""COMPUTED_VALUE"""),10400.0)</f>
        <v>10400</v>
      </c>
      <c r="D2683" s="1">
        <f>IFERROR(__xludf.DUMMYFUNCTION("""COMPUTED_VALUE"""),9980.0)</f>
        <v>9980</v>
      </c>
      <c r="E2683" s="1">
        <f>IFERROR(__xludf.DUMMYFUNCTION("""COMPUTED_VALUE"""),10150.0)</f>
        <v>10150</v>
      </c>
      <c r="F2683" s="1">
        <f>IFERROR(__xludf.DUMMYFUNCTION("""COMPUTED_VALUE"""),64717.0)</f>
        <v>64717</v>
      </c>
    </row>
    <row r="2684">
      <c r="A2684" s="2">
        <f>IFERROR(__xludf.DUMMYFUNCTION("""COMPUTED_VALUE"""),44896.64583333333)</f>
        <v>44896.64583</v>
      </c>
      <c r="B2684" s="1">
        <f>IFERROR(__xludf.DUMMYFUNCTION("""COMPUTED_VALUE"""),10300.0)</f>
        <v>10300</v>
      </c>
      <c r="C2684" s="1">
        <f>IFERROR(__xludf.DUMMYFUNCTION("""COMPUTED_VALUE"""),10450.0)</f>
        <v>10450</v>
      </c>
      <c r="D2684" s="1">
        <f>IFERROR(__xludf.DUMMYFUNCTION("""COMPUTED_VALUE"""),10250.0)</f>
        <v>10250</v>
      </c>
      <c r="E2684" s="1">
        <f>IFERROR(__xludf.DUMMYFUNCTION("""COMPUTED_VALUE"""),10300.0)</f>
        <v>10300</v>
      </c>
      <c r="F2684" s="1">
        <f>IFERROR(__xludf.DUMMYFUNCTION("""COMPUTED_VALUE"""),35052.0)</f>
        <v>35052</v>
      </c>
    </row>
    <row r="2685">
      <c r="A2685" s="2">
        <f>IFERROR(__xludf.DUMMYFUNCTION("""COMPUTED_VALUE"""),44897.64583333333)</f>
        <v>44897.64583</v>
      </c>
      <c r="B2685" s="1">
        <f>IFERROR(__xludf.DUMMYFUNCTION("""COMPUTED_VALUE"""),10300.0)</f>
        <v>10300</v>
      </c>
      <c r="C2685" s="1">
        <f>IFERROR(__xludf.DUMMYFUNCTION("""COMPUTED_VALUE"""),10350.0)</f>
        <v>10350</v>
      </c>
      <c r="D2685" s="1">
        <f>IFERROR(__xludf.DUMMYFUNCTION("""COMPUTED_VALUE"""),10150.0)</f>
        <v>10150</v>
      </c>
      <c r="E2685" s="1">
        <f>IFERROR(__xludf.DUMMYFUNCTION("""COMPUTED_VALUE"""),10300.0)</f>
        <v>10300</v>
      </c>
      <c r="F2685" s="1">
        <f>IFERROR(__xludf.DUMMYFUNCTION("""COMPUTED_VALUE"""),23185.0)</f>
        <v>23185</v>
      </c>
    </row>
    <row r="2686">
      <c r="A2686" s="2">
        <f>IFERROR(__xludf.DUMMYFUNCTION("""COMPUTED_VALUE"""),44900.64583333333)</f>
        <v>44900.64583</v>
      </c>
      <c r="B2686" s="1">
        <f>IFERROR(__xludf.DUMMYFUNCTION("""COMPUTED_VALUE"""),10300.0)</f>
        <v>10300</v>
      </c>
      <c r="C2686" s="1">
        <f>IFERROR(__xludf.DUMMYFUNCTION("""COMPUTED_VALUE"""),10350.0)</f>
        <v>10350</v>
      </c>
      <c r="D2686" s="1">
        <f>IFERROR(__xludf.DUMMYFUNCTION("""COMPUTED_VALUE"""),10150.0)</f>
        <v>10150</v>
      </c>
      <c r="E2686" s="1">
        <f>IFERROR(__xludf.DUMMYFUNCTION("""COMPUTED_VALUE"""),10250.0)</f>
        <v>10250</v>
      </c>
      <c r="F2686" s="1">
        <f>IFERROR(__xludf.DUMMYFUNCTION("""COMPUTED_VALUE"""),17938.0)</f>
        <v>17938</v>
      </c>
    </row>
    <row r="2687">
      <c r="A2687" s="2">
        <f>IFERROR(__xludf.DUMMYFUNCTION("""COMPUTED_VALUE"""),44901.64583333333)</f>
        <v>44901.64583</v>
      </c>
      <c r="B2687" s="1">
        <f>IFERROR(__xludf.DUMMYFUNCTION("""COMPUTED_VALUE"""),10150.0)</f>
        <v>10150</v>
      </c>
      <c r="C2687" s="1">
        <f>IFERROR(__xludf.DUMMYFUNCTION("""COMPUTED_VALUE"""),10250.0)</f>
        <v>10250</v>
      </c>
      <c r="D2687" s="1">
        <f>IFERROR(__xludf.DUMMYFUNCTION("""COMPUTED_VALUE"""),10000.0)</f>
        <v>10000</v>
      </c>
      <c r="E2687" s="1">
        <f>IFERROR(__xludf.DUMMYFUNCTION("""COMPUTED_VALUE"""),10050.0)</f>
        <v>10050</v>
      </c>
      <c r="F2687" s="1">
        <f>IFERROR(__xludf.DUMMYFUNCTION("""COMPUTED_VALUE"""),25456.0)</f>
        <v>25456</v>
      </c>
    </row>
    <row r="2688">
      <c r="A2688" s="2">
        <f>IFERROR(__xludf.DUMMYFUNCTION("""COMPUTED_VALUE"""),44902.64583333333)</f>
        <v>44902.64583</v>
      </c>
      <c r="B2688" s="1">
        <f>IFERROR(__xludf.DUMMYFUNCTION("""COMPUTED_VALUE"""),10000.0)</f>
        <v>10000</v>
      </c>
      <c r="C2688" s="1">
        <f>IFERROR(__xludf.DUMMYFUNCTION("""COMPUTED_VALUE"""),10250.0)</f>
        <v>10250</v>
      </c>
      <c r="D2688" s="1">
        <f>IFERROR(__xludf.DUMMYFUNCTION("""COMPUTED_VALUE"""),10000.0)</f>
        <v>10000</v>
      </c>
      <c r="E2688" s="1">
        <f>IFERROR(__xludf.DUMMYFUNCTION("""COMPUTED_VALUE"""),10150.0)</f>
        <v>10150</v>
      </c>
      <c r="F2688" s="1">
        <f>IFERROR(__xludf.DUMMYFUNCTION("""COMPUTED_VALUE"""),18803.0)</f>
        <v>18803</v>
      </c>
    </row>
    <row r="2689">
      <c r="A2689" s="2">
        <f>IFERROR(__xludf.DUMMYFUNCTION("""COMPUTED_VALUE"""),44903.64583333333)</f>
        <v>44903.64583</v>
      </c>
      <c r="B2689" s="1">
        <f>IFERROR(__xludf.DUMMYFUNCTION("""COMPUTED_VALUE"""),10150.0)</f>
        <v>10150</v>
      </c>
      <c r="C2689" s="1">
        <f>IFERROR(__xludf.DUMMYFUNCTION("""COMPUTED_VALUE"""),10200.0)</f>
        <v>10200</v>
      </c>
      <c r="D2689" s="1">
        <f>IFERROR(__xludf.DUMMYFUNCTION("""COMPUTED_VALUE"""),10000.0)</f>
        <v>10000</v>
      </c>
      <c r="E2689" s="1">
        <f>IFERROR(__xludf.DUMMYFUNCTION("""COMPUTED_VALUE"""),10050.0)</f>
        <v>10050</v>
      </c>
      <c r="F2689" s="1">
        <f>IFERROR(__xludf.DUMMYFUNCTION("""COMPUTED_VALUE"""),20881.0)</f>
        <v>20881</v>
      </c>
    </row>
    <row r="2690">
      <c r="A2690" s="2">
        <f>IFERROR(__xludf.DUMMYFUNCTION("""COMPUTED_VALUE"""),44904.64583333333)</f>
        <v>44904.64583</v>
      </c>
      <c r="B2690" s="1">
        <f>IFERROR(__xludf.DUMMYFUNCTION("""COMPUTED_VALUE"""),10050.0)</f>
        <v>10050</v>
      </c>
      <c r="C2690" s="1">
        <f>IFERROR(__xludf.DUMMYFUNCTION("""COMPUTED_VALUE"""),10500.0)</f>
        <v>10500</v>
      </c>
      <c r="D2690" s="1">
        <f>IFERROR(__xludf.DUMMYFUNCTION("""COMPUTED_VALUE"""),10000.0)</f>
        <v>10000</v>
      </c>
      <c r="E2690" s="1">
        <f>IFERROR(__xludf.DUMMYFUNCTION("""COMPUTED_VALUE"""),10500.0)</f>
        <v>10500</v>
      </c>
      <c r="F2690" s="1">
        <f>IFERROR(__xludf.DUMMYFUNCTION("""COMPUTED_VALUE"""),61204.0)</f>
        <v>61204</v>
      </c>
    </row>
    <row r="2691">
      <c r="A2691" s="2">
        <f>IFERROR(__xludf.DUMMYFUNCTION("""COMPUTED_VALUE"""),44907.64583333333)</f>
        <v>44907.64583</v>
      </c>
      <c r="B2691" s="1">
        <f>IFERROR(__xludf.DUMMYFUNCTION("""COMPUTED_VALUE"""),10550.0)</f>
        <v>10550</v>
      </c>
      <c r="C2691" s="1">
        <f>IFERROR(__xludf.DUMMYFUNCTION("""COMPUTED_VALUE"""),10650.0)</f>
        <v>10650</v>
      </c>
      <c r="D2691" s="1">
        <f>IFERROR(__xludf.DUMMYFUNCTION("""COMPUTED_VALUE"""),10400.0)</f>
        <v>10400</v>
      </c>
      <c r="E2691" s="1">
        <f>IFERROR(__xludf.DUMMYFUNCTION("""COMPUTED_VALUE"""),10550.0)</f>
        <v>10550</v>
      </c>
      <c r="F2691" s="1">
        <f>IFERROR(__xludf.DUMMYFUNCTION("""COMPUTED_VALUE"""),22001.0)</f>
        <v>22001</v>
      </c>
    </row>
    <row r="2692">
      <c r="A2692" s="2">
        <f>IFERROR(__xludf.DUMMYFUNCTION("""COMPUTED_VALUE"""),44908.64583333333)</f>
        <v>44908.64583</v>
      </c>
      <c r="B2692" s="1">
        <f>IFERROR(__xludf.DUMMYFUNCTION("""COMPUTED_VALUE"""),10600.0)</f>
        <v>10600</v>
      </c>
      <c r="C2692" s="1">
        <f>IFERROR(__xludf.DUMMYFUNCTION("""COMPUTED_VALUE"""),10600.0)</f>
        <v>10600</v>
      </c>
      <c r="D2692" s="1">
        <f>IFERROR(__xludf.DUMMYFUNCTION("""COMPUTED_VALUE"""),10450.0)</f>
        <v>10450</v>
      </c>
      <c r="E2692" s="1">
        <f>IFERROR(__xludf.DUMMYFUNCTION("""COMPUTED_VALUE"""),10550.0)</f>
        <v>10550</v>
      </c>
      <c r="F2692" s="1">
        <f>IFERROR(__xludf.DUMMYFUNCTION("""COMPUTED_VALUE"""),18887.0)</f>
        <v>18887</v>
      </c>
    </row>
    <row r="2693">
      <c r="A2693" s="2">
        <f>IFERROR(__xludf.DUMMYFUNCTION("""COMPUTED_VALUE"""),44909.64583333333)</f>
        <v>44909.64583</v>
      </c>
      <c r="B2693" s="1">
        <f>IFERROR(__xludf.DUMMYFUNCTION("""COMPUTED_VALUE"""),10550.0)</f>
        <v>10550</v>
      </c>
      <c r="C2693" s="1">
        <f>IFERROR(__xludf.DUMMYFUNCTION("""COMPUTED_VALUE"""),10650.0)</f>
        <v>10650</v>
      </c>
      <c r="D2693" s="1">
        <f>IFERROR(__xludf.DUMMYFUNCTION("""COMPUTED_VALUE"""),10450.0)</f>
        <v>10450</v>
      </c>
      <c r="E2693" s="1">
        <f>IFERROR(__xludf.DUMMYFUNCTION("""COMPUTED_VALUE"""),10600.0)</f>
        <v>10600</v>
      </c>
      <c r="F2693" s="1">
        <f>IFERROR(__xludf.DUMMYFUNCTION("""COMPUTED_VALUE"""),15748.0)</f>
        <v>15748</v>
      </c>
    </row>
    <row r="2694">
      <c r="A2694" s="2">
        <f>IFERROR(__xludf.DUMMYFUNCTION("""COMPUTED_VALUE"""),44910.64583333333)</f>
        <v>44910.64583</v>
      </c>
      <c r="B2694" s="1">
        <f>IFERROR(__xludf.DUMMYFUNCTION("""COMPUTED_VALUE"""),10550.0)</f>
        <v>10550</v>
      </c>
      <c r="C2694" s="1">
        <f>IFERROR(__xludf.DUMMYFUNCTION("""COMPUTED_VALUE"""),10700.0)</f>
        <v>10700</v>
      </c>
      <c r="D2694" s="1">
        <f>IFERROR(__xludf.DUMMYFUNCTION("""COMPUTED_VALUE"""),10450.0)</f>
        <v>10450</v>
      </c>
      <c r="E2694" s="1">
        <f>IFERROR(__xludf.DUMMYFUNCTION("""COMPUTED_VALUE"""),10600.0)</f>
        <v>10600</v>
      </c>
      <c r="F2694" s="1">
        <f>IFERROR(__xludf.DUMMYFUNCTION("""COMPUTED_VALUE"""),24209.0)</f>
        <v>24209</v>
      </c>
    </row>
    <row r="2695">
      <c r="A2695" s="2">
        <f>IFERROR(__xludf.DUMMYFUNCTION("""COMPUTED_VALUE"""),44911.64583333333)</f>
        <v>44911.64583</v>
      </c>
      <c r="B2695" s="1">
        <f>IFERROR(__xludf.DUMMYFUNCTION("""COMPUTED_VALUE"""),10450.0)</f>
        <v>10450</v>
      </c>
      <c r="C2695" s="1">
        <f>IFERROR(__xludf.DUMMYFUNCTION("""COMPUTED_VALUE"""),10550.0)</f>
        <v>10550</v>
      </c>
      <c r="D2695" s="1">
        <f>IFERROR(__xludf.DUMMYFUNCTION("""COMPUTED_VALUE"""),10350.0)</f>
        <v>10350</v>
      </c>
      <c r="E2695" s="1">
        <f>IFERROR(__xludf.DUMMYFUNCTION("""COMPUTED_VALUE"""),10550.0)</f>
        <v>10550</v>
      </c>
      <c r="F2695" s="1">
        <f>IFERROR(__xludf.DUMMYFUNCTION("""COMPUTED_VALUE"""),12162.0)</f>
        <v>12162</v>
      </c>
    </row>
    <row r="2696">
      <c r="A2696" s="2">
        <f>IFERROR(__xludf.DUMMYFUNCTION("""COMPUTED_VALUE"""),44914.64583333333)</f>
        <v>44914.64583</v>
      </c>
      <c r="B2696" s="1">
        <f>IFERROR(__xludf.DUMMYFUNCTION("""COMPUTED_VALUE"""),10550.0)</f>
        <v>10550</v>
      </c>
      <c r="C2696" s="1">
        <f>IFERROR(__xludf.DUMMYFUNCTION("""COMPUTED_VALUE"""),10600.0)</f>
        <v>10600</v>
      </c>
      <c r="D2696" s="1">
        <f>IFERROR(__xludf.DUMMYFUNCTION("""COMPUTED_VALUE"""),10300.0)</f>
        <v>10300</v>
      </c>
      <c r="E2696" s="1">
        <f>IFERROR(__xludf.DUMMYFUNCTION("""COMPUTED_VALUE"""),10500.0)</f>
        <v>10500</v>
      </c>
      <c r="F2696" s="1">
        <f>IFERROR(__xludf.DUMMYFUNCTION("""COMPUTED_VALUE"""),12585.0)</f>
        <v>12585</v>
      </c>
    </row>
    <row r="2697">
      <c r="A2697" s="2">
        <f>IFERROR(__xludf.DUMMYFUNCTION("""COMPUTED_VALUE"""),44915.64583333333)</f>
        <v>44915.64583</v>
      </c>
      <c r="B2697" s="1">
        <f>IFERROR(__xludf.DUMMYFUNCTION("""COMPUTED_VALUE"""),10350.0)</f>
        <v>10350</v>
      </c>
      <c r="C2697" s="1">
        <f>IFERROR(__xludf.DUMMYFUNCTION("""COMPUTED_VALUE"""),10450.0)</f>
        <v>10450</v>
      </c>
      <c r="D2697" s="1">
        <f>IFERROR(__xludf.DUMMYFUNCTION("""COMPUTED_VALUE"""),10200.0)</f>
        <v>10200</v>
      </c>
      <c r="E2697" s="1">
        <f>IFERROR(__xludf.DUMMYFUNCTION("""COMPUTED_VALUE"""),10400.0)</f>
        <v>10400</v>
      </c>
      <c r="F2697" s="1">
        <f>IFERROR(__xludf.DUMMYFUNCTION("""COMPUTED_VALUE"""),17486.0)</f>
        <v>17486</v>
      </c>
    </row>
    <row r="2698">
      <c r="A2698" s="2">
        <f>IFERROR(__xludf.DUMMYFUNCTION("""COMPUTED_VALUE"""),44916.64583333333)</f>
        <v>44916.64583</v>
      </c>
      <c r="B2698" s="1">
        <f>IFERROR(__xludf.DUMMYFUNCTION("""COMPUTED_VALUE"""),10400.0)</f>
        <v>10400</v>
      </c>
      <c r="C2698" s="1">
        <f>IFERROR(__xludf.DUMMYFUNCTION("""COMPUTED_VALUE"""),10400.0)</f>
        <v>10400</v>
      </c>
      <c r="D2698" s="1">
        <f>IFERROR(__xludf.DUMMYFUNCTION("""COMPUTED_VALUE"""),10150.0)</f>
        <v>10150</v>
      </c>
      <c r="E2698" s="1">
        <f>IFERROR(__xludf.DUMMYFUNCTION("""COMPUTED_VALUE"""),10250.0)</f>
        <v>10250</v>
      </c>
      <c r="F2698" s="1">
        <f>IFERROR(__xludf.DUMMYFUNCTION("""COMPUTED_VALUE"""),19829.0)</f>
        <v>19829</v>
      </c>
    </row>
    <row r="2699">
      <c r="A2699" s="2">
        <f>IFERROR(__xludf.DUMMYFUNCTION("""COMPUTED_VALUE"""),44917.64583333333)</f>
        <v>44917.64583</v>
      </c>
      <c r="B2699" s="1">
        <f>IFERROR(__xludf.DUMMYFUNCTION("""COMPUTED_VALUE"""),10250.0)</f>
        <v>10250</v>
      </c>
      <c r="C2699" s="1">
        <f>IFERROR(__xludf.DUMMYFUNCTION("""COMPUTED_VALUE"""),10500.0)</f>
        <v>10500</v>
      </c>
      <c r="D2699" s="1">
        <f>IFERROR(__xludf.DUMMYFUNCTION("""COMPUTED_VALUE"""),10250.0)</f>
        <v>10250</v>
      </c>
      <c r="E2699" s="1">
        <f>IFERROR(__xludf.DUMMYFUNCTION("""COMPUTED_VALUE"""),10450.0)</f>
        <v>10450</v>
      </c>
      <c r="F2699" s="1">
        <f>IFERROR(__xludf.DUMMYFUNCTION("""COMPUTED_VALUE"""),13306.0)</f>
        <v>13306</v>
      </c>
    </row>
    <row r="2700">
      <c r="A2700" s="2">
        <f>IFERROR(__xludf.DUMMYFUNCTION("""COMPUTED_VALUE"""),44918.64583333333)</f>
        <v>44918.64583</v>
      </c>
      <c r="B2700" s="1">
        <f>IFERROR(__xludf.DUMMYFUNCTION("""COMPUTED_VALUE"""),10350.0)</f>
        <v>10350</v>
      </c>
      <c r="C2700" s="1">
        <f>IFERROR(__xludf.DUMMYFUNCTION("""COMPUTED_VALUE"""),10450.0)</f>
        <v>10450</v>
      </c>
      <c r="D2700" s="1">
        <f>IFERROR(__xludf.DUMMYFUNCTION("""COMPUTED_VALUE"""),10300.0)</f>
        <v>10300</v>
      </c>
      <c r="E2700" s="1">
        <f>IFERROR(__xludf.DUMMYFUNCTION("""COMPUTED_VALUE"""),10400.0)</f>
        <v>10400</v>
      </c>
      <c r="F2700" s="1">
        <f>IFERROR(__xludf.DUMMYFUNCTION("""COMPUTED_VALUE"""),14159.0)</f>
        <v>14159</v>
      </c>
    </row>
    <row r="2701">
      <c r="A2701" s="2">
        <f>IFERROR(__xludf.DUMMYFUNCTION("""COMPUTED_VALUE"""),44921.64583333333)</f>
        <v>44921.64583</v>
      </c>
      <c r="B2701" s="1">
        <f>IFERROR(__xludf.DUMMYFUNCTION("""COMPUTED_VALUE"""),10400.0)</f>
        <v>10400</v>
      </c>
      <c r="C2701" s="1">
        <f>IFERROR(__xludf.DUMMYFUNCTION("""COMPUTED_VALUE"""),10400.0)</f>
        <v>10400</v>
      </c>
      <c r="D2701" s="1">
        <f>IFERROR(__xludf.DUMMYFUNCTION("""COMPUTED_VALUE"""),10250.0)</f>
        <v>10250</v>
      </c>
      <c r="E2701" s="1">
        <f>IFERROR(__xludf.DUMMYFUNCTION("""COMPUTED_VALUE"""),10300.0)</f>
        <v>10300</v>
      </c>
      <c r="F2701" s="1">
        <f>IFERROR(__xludf.DUMMYFUNCTION("""COMPUTED_VALUE"""),19797.0)</f>
        <v>19797</v>
      </c>
    </row>
    <row r="2702">
      <c r="A2702" s="2">
        <f>IFERROR(__xludf.DUMMYFUNCTION("""COMPUTED_VALUE"""),44922.64583333333)</f>
        <v>44922.64583</v>
      </c>
      <c r="B2702" s="1">
        <f>IFERROR(__xludf.DUMMYFUNCTION("""COMPUTED_VALUE"""),10300.0)</f>
        <v>10300</v>
      </c>
      <c r="C2702" s="1">
        <f>IFERROR(__xludf.DUMMYFUNCTION("""COMPUTED_VALUE"""),10500.0)</f>
        <v>10500</v>
      </c>
      <c r="D2702" s="1">
        <f>IFERROR(__xludf.DUMMYFUNCTION("""COMPUTED_VALUE"""),10300.0)</f>
        <v>10300</v>
      </c>
      <c r="E2702" s="1">
        <f>IFERROR(__xludf.DUMMYFUNCTION("""COMPUTED_VALUE"""),10450.0)</f>
        <v>10450</v>
      </c>
      <c r="F2702" s="1">
        <f>IFERROR(__xludf.DUMMYFUNCTION("""COMPUTED_VALUE"""),21080.0)</f>
        <v>21080</v>
      </c>
    </row>
    <row r="2703">
      <c r="A2703" s="2">
        <f>IFERROR(__xludf.DUMMYFUNCTION("""COMPUTED_VALUE"""),44923.64583333333)</f>
        <v>44923.64583</v>
      </c>
      <c r="B2703" s="1">
        <f>IFERROR(__xludf.DUMMYFUNCTION("""COMPUTED_VALUE"""),10350.0)</f>
        <v>10350</v>
      </c>
      <c r="C2703" s="1">
        <f>IFERROR(__xludf.DUMMYFUNCTION("""COMPUTED_VALUE"""),10400.0)</f>
        <v>10400</v>
      </c>
      <c r="D2703" s="1">
        <f>IFERROR(__xludf.DUMMYFUNCTION("""COMPUTED_VALUE"""),10200.0)</f>
        <v>10200</v>
      </c>
      <c r="E2703" s="1">
        <f>IFERROR(__xludf.DUMMYFUNCTION("""COMPUTED_VALUE"""),10350.0)</f>
        <v>10350</v>
      </c>
      <c r="F2703" s="1">
        <f>IFERROR(__xludf.DUMMYFUNCTION("""COMPUTED_VALUE"""),12300.0)</f>
        <v>12300</v>
      </c>
    </row>
    <row r="2704">
      <c r="A2704" s="2">
        <f>IFERROR(__xludf.DUMMYFUNCTION("""COMPUTED_VALUE"""),44924.64583333333)</f>
        <v>44924.64583</v>
      </c>
      <c r="B2704" s="1">
        <f>IFERROR(__xludf.DUMMYFUNCTION("""COMPUTED_VALUE"""),10250.0)</f>
        <v>10250</v>
      </c>
      <c r="C2704" s="1">
        <f>IFERROR(__xludf.DUMMYFUNCTION("""COMPUTED_VALUE"""),10350.0)</f>
        <v>10350</v>
      </c>
      <c r="D2704" s="1">
        <f>IFERROR(__xludf.DUMMYFUNCTION("""COMPUTED_VALUE"""),10000.0)</f>
        <v>10000</v>
      </c>
      <c r="E2704" s="1">
        <f>IFERROR(__xludf.DUMMYFUNCTION("""COMPUTED_VALUE"""),10100.0)</f>
        <v>10100</v>
      </c>
      <c r="F2704" s="1">
        <f>IFERROR(__xludf.DUMMYFUNCTION("""COMPUTED_VALUE"""),27707.0)</f>
        <v>27707</v>
      </c>
    </row>
    <row r="2705">
      <c r="A2705" s="2">
        <f>IFERROR(__xludf.DUMMYFUNCTION("""COMPUTED_VALUE"""),44928.64583333333)</f>
        <v>44928.64583</v>
      </c>
      <c r="B2705" s="1">
        <f>IFERROR(__xludf.DUMMYFUNCTION("""COMPUTED_VALUE"""),10000.0)</f>
        <v>10000</v>
      </c>
      <c r="C2705" s="1">
        <f>IFERROR(__xludf.DUMMYFUNCTION("""COMPUTED_VALUE"""),10250.0)</f>
        <v>10250</v>
      </c>
      <c r="D2705" s="1">
        <f>IFERROR(__xludf.DUMMYFUNCTION("""COMPUTED_VALUE"""),9760.0)</f>
        <v>9760</v>
      </c>
      <c r="E2705" s="1">
        <f>IFERROR(__xludf.DUMMYFUNCTION("""COMPUTED_VALUE"""),9850.0)</f>
        <v>9850</v>
      </c>
      <c r="F2705" s="1">
        <f>IFERROR(__xludf.DUMMYFUNCTION("""COMPUTED_VALUE"""),38352.0)</f>
        <v>38352</v>
      </c>
    </row>
    <row r="2706">
      <c r="A2706" s="2">
        <f>IFERROR(__xludf.DUMMYFUNCTION("""COMPUTED_VALUE"""),44929.64583333333)</f>
        <v>44929.64583</v>
      </c>
      <c r="B2706" s="1">
        <f>IFERROR(__xludf.DUMMYFUNCTION("""COMPUTED_VALUE"""),9760.0)</f>
        <v>9760</v>
      </c>
      <c r="C2706" s="1">
        <f>IFERROR(__xludf.DUMMYFUNCTION("""COMPUTED_VALUE"""),9950.0)</f>
        <v>9950</v>
      </c>
      <c r="D2706" s="1">
        <f>IFERROR(__xludf.DUMMYFUNCTION("""COMPUTED_VALUE"""),9560.0)</f>
        <v>9560</v>
      </c>
      <c r="E2706" s="1">
        <f>IFERROR(__xludf.DUMMYFUNCTION("""COMPUTED_VALUE"""),9950.0)</f>
        <v>9950</v>
      </c>
      <c r="F2706" s="1">
        <f>IFERROR(__xludf.DUMMYFUNCTION("""COMPUTED_VALUE"""),25635.0)</f>
        <v>25635</v>
      </c>
    </row>
    <row r="2707">
      <c r="A2707" s="2">
        <f>IFERROR(__xludf.DUMMYFUNCTION("""COMPUTED_VALUE"""),44930.64583333333)</f>
        <v>44930.64583</v>
      </c>
      <c r="B2707" s="1">
        <f>IFERROR(__xludf.DUMMYFUNCTION("""COMPUTED_VALUE"""),9900.0)</f>
        <v>9900</v>
      </c>
      <c r="C2707" s="1">
        <f>IFERROR(__xludf.DUMMYFUNCTION("""COMPUTED_VALUE"""),10100.0)</f>
        <v>10100</v>
      </c>
      <c r="D2707" s="1">
        <f>IFERROR(__xludf.DUMMYFUNCTION("""COMPUTED_VALUE"""),9850.0)</f>
        <v>9850</v>
      </c>
      <c r="E2707" s="1">
        <f>IFERROR(__xludf.DUMMYFUNCTION("""COMPUTED_VALUE"""),10000.0)</f>
        <v>10000</v>
      </c>
      <c r="F2707" s="1">
        <f>IFERROR(__xludf.DUMMYFUNCTION("""COMPUTED_VALUE"""),11141.0)</f>
        <v>11141</v>
      </c>
    </row>
    <row r="2708">
      <c r="A2708" s="2">
        <f>IFERROR(__xludf.DUMMYFUNCTION("""COMPUTED_VALUE"""),44931.64583333333)</f>
        <v>44931.64583</v>
      </c>
      <c r="B2708" s="1">
        <f>IFERROR(__xludf.DUMMYFUNCTION("""COMPUTED_VALUE"""),10100.0)</f>
        <v>10100</v>
      </c>
      <c r="C2708" s="1">
        <f>IFERROR(__xludf.DUMMYFUNCTION("""COMPUTED_VALUE"""),10200.0)</f>
        <v>10200</v>
      </c>
      <c r="D2708" s="1">
        <f>IFERROR(__xludf.DUMMYFUNCTION("""COMPUTED_VALUE"""),10050.0)</f>
        <v>10050</v>
      </c>
      <c r="E2708" s="1">
        <f>IFERROR(__xludf.DUMMYFUNCTION("""COMPUTED_VALUE"""),10150.0)</f>
        <v>10150</v>
      </c>
      <c r="F2708" s="1">
        <f>IFERROR(__xludf.DUMMYFUNCTION("""COMPUTED_VALUE"""),11125.0)</f>
        <v>11125</v>
      </c>
    </row>
    <row r="2709">
      <c r="A2709" s="2">
        <f>IFERROR(__xludf.DUMMYFUNCTION("""COMPUTED_VALUE"""),44932.64583333333)</f>
        <v>44932.64583</v>
      </c>
      <c r="B2709" s="1">
        <f>IFERROR(__xludf.DUMMYFUNCTION("""COMPUTED_VALUE"""),10100.0)</f>
        <v>10100</v>
      </c>
      <c r="C2709" s="1">
        <f>IFERROR(__xludf.DUMMYFUNCTION("""COMPUTED_VALUE"""),10350.0)</f>
        <v>10350</v>
      </c>
      <c r="D2709" s="1">
        <f>IFERROR(__xludf.DUMMYFUNCTION("""COMPUTED_VALUE"""),10100.0)</f>
        <v>10100</v>
      </c>
      <c r="E2709" s="1">
        <f>IFERROR(__xludf.DUMMYFUNCTION("""COMPUTED_VALUE"""),10250.0)</f>
        <v>10250</v>
      </c>
      <c r="F2709" s="1">
        <f>IFERROR(__xludf.DUMMYFUNCTION("""COMPUTED_VALUE"""),13796.0)</f>
        <v>13796</v>
      </c>
    </row>
    <row r="2710">
      <c r="A2710" s="2">
        <f>IFERROR(__xludf.DUMMYFUNCTION("""COMPUTED_VALUE"""),44935.64583333333)</f>
        <v>44935.64583</v>
      </c>
      <c r="B2710" s="1">
        <f>IFERROR(__xludf.DUMMYFUNCTION("""COMPUTED_VALUE"""),10250.0)</f>
        <v>10250</v>
      </c>
      <c r="C2710" s="1">
        <f>IFERROR(__xludf.DUMMYFUNCTION("""COMPUTED_VALUE"""),10500.0)</f>
        <v>10500</v>
      </c>
      <c r="D2710" s="1">
        <f>IFERROR(__xludf.DUMMYFUNCTION("""COMPUTED_VALUE"""),10250.0)</f>
        <v>10250</v>
      </c>
      <c r="E2710" s="1">
        <f>IFERROR(__xludf.DUMMYFUNCTION("""COMPUTED_VALUE"""),10400.0)</f>
        <v>10400</v>
      </c>
      <c r="F2710" s="1">
        <f>IFERROR(__xludf.DUMMYFUNCTION("""COMPUTED_VALUE"""),17675.0)</f>
        <v>17675</v>
      </c>
    </row>
    <row r="2711">
      <c r="A2711" s="2">
        <f>IFERROR(__xludf.DUMMYFUNCTION("""COMPUTED_VALUE"""),44936.64583333333)</f>
        <v>44936.64583</v>
      </c>
      <c r="B2711" s="1">
        <f>IFERROR(__xludf.DUMMYFUNCTION("""COMPUTED_VALUE"""),10450.0)</f>
        <v>10450</v>
      </c>
      <c r="C2711" s="1">
        <f>IFERROR(__xludf.DUMMYFUNCTION("""COMPUTED_VALUE"""),10500.0)</f>
        <v>10500</v>
      </c>
      <c r="D2711" s="1">
        <f>IFERROR(__xludf.DUMMYFUNCTION("""COMPUTED_VALUE"""),10300.0)</f>
        <v>10300</v>
      </c>
      <c r="E2711" s="1">
        <f>IFERROR(__xludf.DUMMYFUNCTION("""COMPUTED_VALUE"""),10400.0)</f>
        <v>10400</v>
      </c>
      <c r="F2711" s="1">
        <f>IFERROR(__xludf.DUMMYFUNCTION("""COMPUTED_VALUE"""),10004.0)</f>
        <v>10004</v>
      </c>
    </row>
    <row r="2712">
      <c r="A2712" s="2">
        <f>IFERROR(__xludf.DUMMYFUNCTION("""COMPUTED_VALUE"""),44937.64583333333)</f>
        <v>44937.64583</v>
      </c>
      <c r="B2712" s="1">
        <f>IFERROR(__xludf.DUMMYFUNCTION("""COMPUTED_VALUE"""),10400.0)</f>
        <v>10400</v>
      </c>
      <c r="C2712" s="1">
        <f>IFERROR(__xludf.DUMMYFUNCTION("""COMPUTED_VALUE"""),10500.0)</f>
        <v>10500</v>
      </c>
      <c r="D2712" s="1">
        <f>IFERROR(__xludf.DUMMYFUNCTION("""COMPUTED_VALUE"""),10300.0)</f>
        <v>10300</v>
      </c>
      <c r="E2712" s="1">
        <f>IFERROR(__xludf.DUMMYFUNCTION("""COMPUTED_VALUE"""),10400.0)</f>
        <v>10400</v>
      </c>
      <c r="F2712" s="1">
        <f>IFERROR(__xludf.DUMMYFUNCTION("""COMPUTED_VALUE"""),15067.0)</f>
        <v>15067</v>
      </c>
    </row>
    <row r="2713">
      <c r="A2713" s="2">
        <f>IFERROR(__xludf.DUMMYFUNCTION("""COMPUTED_VALUE"""),44938.64583333333)</f>
        <v>44938.64583</v>
      </c>
      <c r="B2713" s="1">
        <f>IFERROR(__xludf.DUMMYFUNCTION("""COMPUTED_VALUE"""),10450.0)</f>
        <v>10450</v>
      </c>
      <c r="C2713" s="1">
        <f>IFERROR(__xludf.DUMMYFUNCTION("""COMPUTED_VALUE"""),10600.0)</f>
        <v>10600</v>
      </c>
      <c r="D2713" s="1">
        <f>IFERROR(__xludf.DUMMYFUNCTION("""COMPUTED_VALUE"""),10350.0)</f>
        <v>10350</v>
      </c>
      <c r="E2713" s="1">
        <f>IFERROR(__xludf.DUMMYFUNCTION("""COMPUTED_VALUE"""),10550.0)</f>
        <v>10550</v>
      </c>
      <c r="F2713" s="1">
        <f>IFERROR(__xludf.DUMMYFUNCTION("""COMPUTED_VALUE"""),22467.0)</f>
        <v>22467</v>
      </c>
    </row>
    <row r="2714">
      <c r="A2714" s="2">
        <f>IFERROR(__xludf.DUMMYFUNCTION("""COMPUTED_VALUE"""),44939.64583333333)</f>
        <v>44939.64583</v>
      </c>
      <c r="B2714" s="1">
        <f>IFERROR(__xludf.DUMMYFUNCTION("""COMPUTED_VALUE"""),10550.0)</f>
        <v>10550</v>
      </c>
      <c r="C2714" s="1">
        <f>IFERROR(__xludf.DUMMYFUNCTION("""COMPUTED_VALUE"""),10600.0)</f>
        <v>10600</v>
      </c>
      <c r="D2714" s="1">
        <f>IFERROR(__xludf.DUMMYFUNCTION("""COMPUTED_VALUE"""),10400.0)</f>
        <v>10400</v>
      </c>
      <c r="E2714" s="1">
        <f>IFERROR(__xludf.DUMMYFUNCTION("""COMPUTED_VALUE"""),10600.0)</f>
        <v>10600</v>
      </c>
      <c r="F2714" s="1">
        <f>IFERROR(__xludf.DUMMYFUNCTION("""COMPUTED_VALUE"""),15210.0)</f>
        <v>15210</v>
      </c>
    </row>
    <row r="2715">
      <c r="A2715" s="2">
        <f>IFERROR(__xludf.DUMMYFUNCTION("""COMPUTED_VALUE"""),44942.64583333333)</f>
        <v>44942.64583</v>
      </c>
      <c r="B2715" s="1">
        <f>IFERROR(__xludf.DUMMYFUNCTION("""COMPUTED_VALUE"""),10650.0)</f>
        <v>10650</v>
      </c>
      <c r="C2715" s="1">
        <f>IFERROR(__xludf.DUMMYFUNCTION("""COMPUTED_VALUE"""),10700.0)</f>
        <v>10700</v>
      </c>
      <c r="D2715" s="1">
        <f>IFERROR(__xludf.DUMMYFUNCTION("""COMPUTED_VALUE"""),10550.0)</f>
        <v>10550</v>
      </c>
      <c r="E2715" s="1">
        <f>IFERROR(__xludf.DUMMYFUNCTION("""COMPUTED_VALUE"""),10700.0)</f>
        <v>10700</v>
      </c>
      <c r="F2715" s="1">
        <f>IFERROR(__xludf.DUMMYFUNCTION("""COMPUTED_VALUE"""),29026.0)</f>
        <v>29026</v>
      </c>
    </row>
    <row r="2716">
      <c r="A2716" s="2">
        <f>IFERROR(__xludf.DUMMYFUNCTION("""COMPUTED_VALUE"""),44943.64583333333)</f>
        <v>44943.64583</v>
      </c>
      <c r="B2716" s="1">
        <f>IFERROR(__xludf.DUMMYFUNCTION("""COMPUTED_VALUE"""),10750.0)</f>
        <v>10750</v>
      </c>
      <c r="C2716" s="1">
        <f>IFERROR(__xludf.DUMMYFUNCTION("""COMPUTED_VALUE"""),10750.0)</f>
        <v>10750</v>
      </c>
      <c r="D2716" s="1">
        <f>IFERROR(__xludf.DUMMYFUNCTION("""COMPUTED_VALUE"""),10550.0)</f>
        <v>10550</v>
      </c>
      <c r="E2716" s="1">
        <f>IFERROR(__xludf.DUMMYFUNCTION("""COMPUTED_VALUE"""),10700.0)</f>
        <v>10700</v>
      </c>
      <c r="F2716" s="1">
        <f>IFERROR(__xludf.DUMMYFUNCTION("""COMPUTED_VALUE"""),17992.0)</f>
        <v>17992</v>
      </c>
    </row>
    <row r="2717">
      <c r="A2717" s="2">
        <f>IFERROR(__xludf.DUMMYFUNCTION("""COMPUTED_VALUE"""),44944.64583333333)</f>
        <v>44944.64583</v>
      </c>
      <c r="B2717" s="1">
        <f>IFERROR(__xludf.DUMMYFUNCTION("""COMPUTED_VALUE"""),10700.0)</f>
        <v>10700</v>
      </c>
      <c r="C2717" s="1">
        <f>IFERROR(__xludf.DUMMYFUNCTION("""COMPUTED_VALUE"""),10700.0)</f>
        <v>10700</v>
      </c>
      <c r="D2717" s="1">
        <f>IFERROR(__xludf.DUMMYFUNCTION("""COMPUTED_VALUE"""),10500.0)</f>
        <v>10500</v>
      </c>
      <c r="E2717" s="1">
        <f>IFERROR(__xludf.DUMMYFUNCTION("""COMPUTED_VALUE"""),10600.0)</f>
        <v>10600</v>
      </c>
      <c r="F2717" s="1">
        <f>IFERROR(__xludf.DUMMYFUNCTION("""COMPUTED_VALUE"""),11050.0)</f>
        <v>11050</v>
      </c>
    </row>
    <row r="2718">
      <c r="A2718" s="2">
        <f>IFERROR(__xludf.DUMMYFUNCTION("""COMPUTED_VALUE"""),44945.64583333333)</f>
        <v>44945.64583</v>
      </c>
      <c r="B2718" s="1">
        <f>IFERROR(__xludf.DUMMYFUNCTION("""COMPUTED_VALUE"""),10500.0)</f>
        <v>10500</v>
      </c>
      <c r="C2718" s="1">
        <f>IFERROR(__xludf.DUMMYFUNCTION("""COMPUTED_VALUE"""),10600.0)</f>
        <v>10600</v>
      </c>
      <c r="D2718" s="1">
        <f>IFERROR(__xludf.DUMMYFUNCTION("""COMPUTED_VALUE"""),10450.0)</f>
        <v>10450</v>
      </c>
      <c r="E2718" s="1">
        <f>IFERROR(__xludf.DUMMYFUNCTION("""COMPUTED_VALUE"""),10550.0)</f>
        <v>10550</v>
      </c>
      <c r="F2718" s="1">
        <f>IFERROR(__xludf.DUMMYFUNCTION("""COMPUTED_VALUE"""),21842.0)</f>
        <v>21842</v>
      </c>
    </row>
    <row r="2719">
      <c r="A2719" s="2">
        <f>IFERROR(__xludf.DUMMYFUNCTION("""COMPUTED_VALUE"""),44946.64583333333)</f>
        <v>44946.64583</v>
      </c>
      <c r="B2719" s="1">
        <f>IFERROR(__xludf.DUMMYFUNCTION("""COMPUTED_VALUE"""),10500.0)</f>
        <v>10500</v>
      </c>
      <c r="C2719" s="1">
        <f>IFERROR(__xludf.DUMMYFUNCTION("""COMPUTED_VALUE"""),10700.0)</f>
        <v>10700</v>
      </c>
      <c r="D2719" s="1">
        <f>IFERROR(__xludf.DUMMYFUNCTION("""COMPUTED_VALUE"""),10450.0)</f>
        <v>10450</v>
      </c>
      <c r="E2719" s="1">
        <f>IFERROR(__xludf.DUMMYFUNCTION("""COMPUTED_VALUE"""),10650.0)</f>
        <v>10650</v>
      </c>
      <c r="F2719" s="1">
        <f>IFERROR(__xludf.DUMMYFUNCTION("""COMPUTED_VALUE"""),21741.0)</f>
        <v>21741</v>
      </c>
    </row>
    <row r="2720">
      <c r="A2720" s="2">
        <f>IFERROR(__xludf.DUMMYFUNCTION("""COMPUTED_VALUE"""),44951.64583333333)</f>
        <v>44951.64583</v>
      </c>
      <c r="B2720" s="1">
        <f>IFERROR(__xludf.DUMMYFUNCTION("""COMPUTED_VALUE"""),10650.0)</f>
        <v>10650</v>
      </c>
      <c r="C2720" s="1">
        <f>IFERROR(__xludf.DUMMYFUNCTION("""COMPUTED_VALUE"""),10740.0)</f>
        <v>10740</v>
      </c>
      <c r="D2720" s="1">
        <f>IFERROR(__xludf.DUMMYFUNCTION("""COMPUTED_VALUE"""),10600.0)</f>
        <v>10600</v>
      </c>
      <c r="E2720" s="1">
        <f>IFERROR(__xludf.DUMMYFUNCTION("""COMPUTED_VALUE"""),10690.0)</f>
        <v>10690</v>
      </c>
      <c r="F2720" s="1">
        <f>IFERROR(__xludf.DUMMYFUNCTION("""COMPUTED_VALUE"""),14362.0)</f>
        <v>14362</v>
      </c>
    </row>
    <row r="2721">
      <c r="A2721" s="2">
        <f>IFERROR(__xludf.DUMMYFUNCTION("""COMPUTED_VALUE"""),44952.64583333333)</f>
        <v>44952.64583</v>
      </c>
      <c r="B2721" s="1">
        <f>IFERROR(__xludf.DUMMYFUNCTION("""COMPUTED_VALUE"""),10680.0)</f>
        <v>10680</v>
      </c>
      <c r="C2721" s="1">
        <f>IFERROR(__xludf.DUMMYFUNCTION("""COMPUTED_VALUE"""),10750.0)</f>
        <v>10750</v>
      </c>
      <c r="D2721" s="1">
        <f>IFERROR(__xludf.DUMMYFUNCTION("""COMPUTED_VALUE"""),10610.0)</f>
        <v>10610</v>
      </c>
      <c r="E2721" s="1">
        <f>IFERROR(__xludf.DUMMYFUNCTION("""COMPUTED_VALUE"""),10700.0)</f>
        <v>10700</v>
      </c>
      <c r="F2721" s="1">
        <f>IFERROR(__xludf.DUMMYFUNCTION("""COMPUTED_VALUE"""),14761.0)</f>
        <v>14761</v>
      </c>
    </row>
    <row r="2722">
      <c r="A2722" s="2">
        <f>IFERROR(__xludf.DUMMYFUNCTION("""COMPUTED_VALUE"""),44953.64583333333)</f>
        <v>44953.64583</v>
      </c>
      <c r="B2722" s="1">
        <f>IFERROR(__xludf.DUMMYFUNCTION("""COMPUTED_VALUE"""),10710.0)</f>
        <v>10710</v>
      </c>
      <c r="C2722" s="1">
        <f>IFERROR(__xludf.DUMMYFUNCTION("""COMPUTED_VALUE"""),10800.0)</f>
        <v>10800</v>
      </c>
      <c r="D2722" s="1">
        <f>IFERROR(__xludf.DUMMYFUNCTION("""COMPUTED_VALUE"""),10690.0)</f>
        <v>10690</v>
      </c>
      <c r="E2722" s="1">
        <f>IFERROR(__xludf.DUMMYFUNCTION("""COMPUTED_VALUE"""),10770.0)</f>
        <v>10770</v>
      </c>
      <c r="F2722" s="1">
        <f>IFERROR(__xludf.DUMMYFUNCTION("""COMPUTED_VALUE"""),30427.0)</f>
        <v>30427</v>
      </c>
    </row>
    <row r="2723">
      <c r="A2723" s="2">
        <f>IFERROR(__xludf.DUMMYFUNCTION("""COMPUTED_VALUE"""),44956.64583333333)</f>
        <v>44956.64583</v>
      </c>
      <c r="B2723" s="1">
        <f>IFERROR(__xludf.DUMMYFUNCTION("""COMPUTED_VALUE"""),10730.0)</f>
        <v>10730</v>
      </c>
      <c r="C2723" s="1">
        <f>IFERROR(__xludf.DUMMYFUNCTION("""COMPUTED_VALUE"""),10840.0)</f>
        <v>10840</v>
      </c>
      <c r="D2723" s="1">
        <f>IFERROR(__xludf.DUMMYFUNCTION("""COMPUTED_VALUE"""),10720.0)</f>
        <v>10720</v>
      </c>
      <c r="E2723" s="1">
        <f>IFERROR(__xludf.DUMMYFUNCTION("""COMPUTED_VALUE"""),10770.0)</f>
        <v>10770</v>
      </c>
      <c r="F2723" s="1">
        <f>IFERROR(__xludf.DUMMYFUNCTION("""COMPUTED_VALUE"""),19369.0)</f>
        <v>19369</v>
      </c>
    </row>
    <row r="2724">
      <c r="A2724" s="2">
        <f>IFERROR(__xludf.DUMMYFUNCTION("""COMPUTED_VALUE"""),44957.64583333333)</f>
        <v>44957.64583</v>
      </c>
      <c r="B2724" s="1">
        <f>IFERROR(__xludf.DUMMYFUNCTION("""COMPUTED_VALUE"""),10770.0)</f>
        <v>10770</v>
      </c>
      <c r="C2724" s="1">
        <f>IFERROR(__xludf.DUMMYFUNCTION("""COMPUTED_VALUE"""),10900.0)</f>
        <v>10900</v>
      </c>
      <c r="D2724" s="1">
        <f>IFERROR(__xludf.DUMMYFUNCTION("""COMPUTED_VALUE"""),10710.0)</f>
        <v>10710</v>
      </c>
      <c r="E2724" s="1">
        <f>IFERROR(__xludf.DUMMYFUNCTION("""COMPUTED_VALUE"""),10900.0)</f>
        <v>10900</v>
      </c>
      <c r="F2724" s="1">
        <f>IFERROR(__xludf.DUMMYFUNCTION("""COMPUTED_VALUE"""),40512.0)</f>
        <v>40512</v>
      </c>
    </row>
    <row r="2725">
      <c r="A2725" s="2">
        <f>IFERROR(__xludf.DUMMYFUNCTION("""COMPUTED_VALUE"""),44958.64583333333)</f>
        <v>44958.64583</v>
      </c>
      <c r="B2725" s="1">
        <f>IFERROR(__xludf.DUMMYFUNCTION("""COMPUTED_VALUE"""),10870.0)</f>
        <v>10870</v>
      </c>
      <c r="C2725" s="1">
        <f>IFERROR(__xludf.DUMMYFUNCTION("""COMPUTED_VALUE"""),10940.0)</f>
        <v>10940</v>
      </c>
      <c r="D2725" s="1">
        <f>IFERROR(__xludf.DUMMYFUNCTION("""COMPUTED_VALUE"""),10730.0)</f>
        <v>10730</v>
      </c>
      <c r="E2725" s="1">
        <f>IFERROR(__xludf.DUMMYFUNCTION("""COMPUTED_VALUE"""),10870.0)</f>
        <v>10870</v>
      </c>
      <c r="F2725" s="1">
        <f>IFERROR(__xludf.DUMMYFUNCTION("""COMPUTED_VALUE"""),49277.0)</f>
        <v>49277</v>
      </c>
    </row>
    <row r="2726">
      <c r="A2726" s="2">
        <f>IFERROR(__xludf.DUMMYFUNCTION("""COMPUTED_VALUE"""),44959.64583333333)</f>
        <v>44959.64583</v>
      </c>
      <c r="B2726" s="1">
        <f>IFERROR(__xludf.DUMMYFUNCTION("""COMPUTED_VALUE"""),10930.0)</f>
        <v>10930</v>
      </c>
      <c r="C2726" s="1">
        <f>IFERROR(__xludf.DUMMYFUNCTION("""COMPUTED_VALUE"""),10930.0)</f>
        <v>10930</v>
      </c>
      <c r="D2726" s="1">
        <f>IFERROR(__xludf.DUMMYFUNCTION("""COMPUTED_VALUE"""),10810.0)</f>
        <v>10810</v>
      </c>
      <c r="E2726" s="1">
        <f>IFERROR(__xludf.DUMMYFUNCTION("""COMPUTED_VALUE"""),10850.0)</f>
        <v>10850</v>
      </c>
      <c r="F2726" s="1">
        <f>IFERROR(__xludf.DUMMYFUNCTION("""COMPUTED_VALUE"""),22638.0)</f>
        <v>22638</v>
      </c>
    </row>
    <row r="2727">
      <c r="A2727" s="2">
        <f>IFERROR(__xludf.DUMMYFUNCTION("""COMPUTED_VALUE"""),44960.64583333333)</f>
        <v>44960.64583</v>
      </c>
      <c r="B2727" s="1">
        <f>IFERROR(__xludf.DUMMYFUNCTION("""COMPUTED_VALUE"""),10850.0)</f>
        <v>10850</v>
      </c>
      <c r="C2727" s="1">
        <f>IFERROR(__xludf.DUMMYFUNCTION("""COMPUTED_VALUE"""),10900.0)</f>
        <v>10900</v>
      </c>
      <c r="D2727" s="1">
        <f>IFERROR(__xludf.DUMMYFUNCTION("""COMPUTED_VALUE"""),10810.0)</f>
        <v>10810</v>
      </c>
      <c r="E2727" s="1">
        <f>IFERROR(__xludf.DUMMYFUNCTION("""COMPUTED_VALUE"""),10870.0)</f>
        <v>10870</v>
      </c>
      <c r="F2727" s="1">
        <f>IFERROR(__xludf.DUMMYFUNCTION("""COMPUTED_VALUE"""),11826.0)</f>
        <v>11826</v>
      </c>
    </row>
    <row r="2728">
      <c r="A2728" s="2">
        <f>IFERROR(__xludf.DUMMYFUNCTION("""COMPUTED_VALUE"""),44963.64583333333)</f>
        <v>44963.64583</v>
      </c>
      <c r="B2728" s="1">
        <f>IFERROR(__xludf.DUMMYFUNCTION("""COMPUTED_VALUE"""),10870.0)</f>
        <v>10870</v>
      </c>
      <c r="C2728" s="1">
        <f>IFERROR(__xludf.DUMMYFUNCTION("""COMPUTED_VALUE"""),10950.0)</f>
        <v>10950</v>
      </c>
      <c r="D2728" s="1">
        <f>IFERROR(__xludf.DUMMYFUNCTION("""COMPUTED_VALUE"""),10810.0)</f>
        <v>10810</v>
      </c>
      <c r="E2728" s="1">
        <f>IFERROR(__xludf.DUMMYFUNCTION("""COMPUTED_VALUE"""),10900.0)</f>
        <v>10900</v>
      </c>
      <c r="F2728" s="1">
        <f>IFERROR(__xludf.DUMMYFUNCTION("""COMPUTED_VALUE"""),18829.0)</f>
        <v>18829</v>
      </c>
    </row>
    <row r="2729">
      <c r="A2729" s="2">
        <f>IFERROR(__xludf.DUMMYFUNCTION("""COMPUTED_VALUE"""),44964.64583333333)</f>
        <v>44964.64583</v>
      </c>
      <c r="B2729" s="1">
        <f>IFERROR(__xludf.DUMMYFUNCTION("""COMPUTED_VALUE"""),10860.0)</f>
        <v>10860</v>
      </c>
      <c r="C2729" s="1">
        <f>IFERROR(__xludf.DUMMYFUNCTION("""COMPUTED_VALUE"""),10940.0)</f>
        <v>10940</v>
      </c>
      <c r="D2729" s="1">
        <f>IFERROR(__xludf.DUMMYFUNCTION("""COMPUTED_VALUE"""),10850.0)</f>
        <v>10850</v>
      </c>
      <c r="E2729" s="1">
        <f>IFERROR(__xludf.DUMMYFUNCTION("""COMPUTED_VALUE"""),10900.0)</f>
        <v>10900</v>
      </c>
      <c r="F2729" s="1">
        <f>IFERROR(__xludf.DUMMYFUNCTION("""COMPUTED_VALUE"""),11924.0)</f>
        <v>11924</v>
      </c>
    </row>
    <row r="2730">
      <c r="A2730" s="2">
        <f>IFERROR(__xludf.DUMMYFUNCTION("""COMPUTED_VALUE"""),44965.64583333333)</f>
        <v>44965.64583</v>
      </c>
      <c r="B2730" s="1">
        <f>IFERROR(__xludf.DUMMYFUNCTION("""COMPUTED_VALUE"""),10940.0)</f>
        <v>10940</v>
      </c>
      <c r="C2730" s="1">
        <f>IFERROR(__xludf.DUMMYFUNCTION("""COMPUTED_VALUE"""),10940.0)</f>
        <v>10940</v>
      </c>
      <c r="D2730" s="1">
        <f>IFERROR(__xludf.DUMMYFUNCTION("""COMPUTED_VALUE"""),10870.0)</f>
        <v>10870</v>
      </c>
      <c r="E2730" s="1">
        <f>IFERROR(__xludf.DUMMYFUNCTION("""COMPUTED_VALUE"""),10920.0)</f>
        <v>10920</v>
      </c>
      <c r="F2730" s="1">
        <f>IFERROR(__xludf.DUMMYFUNCTION("""COMPUTED_VALUE"""),11602.0)</f>
        <v>11602</v>
      </c>
    </row>
    <row r="2731">
      <c r="A2731" s="2">
        <f>IFERROR(__xludf.DUMMYFUNCTION("""COMPUTED_VALUE"""),44966.64583333333)</f>
        <v>44966.64583</v>
      </c>
      <c r="B2731" s="1">
        <f>IFERROR(__xludf.DUMMYFUNCTION("""COMPUTED_VALUE"""),10830.0)</f>
        <v>10830</v>
      </c>
      <c r="C2731" s="1">
        <f>IFERROR(__xludf.DUMMYFUNCTION("""COMPUTED_VALUE"""),10950.0)</f>
        <v>10950</v>
      </c>
      <c r="D2731" s="1">
        <f>IFERROR(__xludf.DUMMYFUNCTION("""COMPUTED_VALUE"""),10760.0)</f>
        <v>10760</v>
      </c>
      <c r="E2731" s="1">
        <f>IFERROR(__xludf.DUMMYFUNCTION("""COMPUTED_VALUE"""),10780.0)</f>
        <v>10780</v>
      </c>
      <c r="F2731" s="1">
        <f>IFERROR(__xludf.DUMMYFUNCTION("""COMPUTED_VALUE"""),32146.0)</f>
        <v>32146</v>
      </c>
    </row>
    <row r="2732">
      <c r="A2732" s="2">
        <f>IFERROR(__xludf.DUMMYFUNCTION("""COMPUTED_VALUE"""),44967.64583333333)</f>
        <v>44967.64583</v>
      </c>
      <c r="B2732" s="1">
        <f>IFERROR(__xludf.DUMMYFUNCTION("""COMPUTED_VALUE"""),10800.0)</f>
        <v>10800</v>
      </c>
      <c r="C2732" s="1">
        <f>IFERROR(__xludf.DUMMYFUNCTION("""COMPUTED_VALUE"""),10800.0)</f>
        <v>10800</v>
      </c>
      <c r="D2732" s="1">
        <f>IFERROR(__xludf.DUMMYFUNCTION("""COMPUTED_VALUE"""),10500.0)</f>
        <v>10500</v>
      </c>
      <c r="E2732" s="1">
        <f>IFERROR(__xludf.DUMMYFUNCTION("""COMPUTED_VALUE"""),10630.0)</f>
        <v>10630</v>
      </c>
      <c r="F2732" s="1">
        <f>IFERROR(__xludf.DUMMYFUNCTION("""COMPUTED_VALUE"""),29536.0)</f>
        <v>29536</v>
      </c>
    </row>
    <row r="2733">
      <c r="A2733" s="2">
        <f>IFERROR(__xludf.DUMMYFUNCTION("""COMPUTED_VALUE"""),44970.64583333333)</f>
        <v>44970.64583</v>
      </c>
      <c r="B2733" s="1">
        <f>IFERROR(__xludf.DUMMYFUNCTION("""COMPUTED_VALUE"""),10630.0)</f>
        <v>10630</v>
      </c>
      <c r="C2733" s="1">
        <f>IFERROR(__xludf.DUMMYFUNCTION("""COMPUTED_VALUE"""),10840.0)</f>
        <v>10840</v>
      </c>
      <c r="D2733" s="1">
        <f>IFERROR(__xludf.DUMMYFUNCTION("""COMPUTED_VALUE"""),10540.0)</f>
        <v>10540</v>
      </c>
      <c r="E2733" s="1">
        <f>IFERROR(__xludf.DUMMYFUNCTION("""COMPUTED_VALUE"""),10830.0)</f>
        <v>10830</v>
      </c>
      <c r="F2733" s="1">
        <f>IFERROR(__xludf.DUMMYFUNCTION("""COMPUTED_VALUE"""),17270.0)</f>
        <v>17270</v>
      </c>
    </row>
    <row r="2734">
      <c r="A2734" s="2">
        <f>IFERROR(__xludf.DUMMYFUNCTION("""COMPUTED_VALUE"""),44971.64583333333)</f>
        <v>44971.64583</v>
      </c>
      <c r="B2734" s="1">
        <f>IFERROR(__xludf.DUMMYFUNCTION("""COMPUTED_VALUE"""),10780.0)</f>
        <v>10780</v>
      </c>
      <c r="C2734" s="1">
        <f>IFERROR(__xludf.DUMMYFUNCTION("""COMPUTED_VALUE"""),10850.0)</f>
        <v>10850</v>
      </c>
      <c r="D2734" s="1">
        <f>IFERROR(__xludf.DUMMYFUNCTION("""COMPUTED_VALUE"""),10740.0)</f>
        <v>10740</v>
      </c>
      <c r="E2734" s="1">
        <f>IFERROR(__xludf.DUMMYFUNCTION("""COMPUTED_VALUE"""),10800.0)</f>
        <v>10800</v>
      </c>
      <c r="F2734" s="1">
        <f>IFERROR(__xludf.DUMMYFUNCTION("""COMPUTED_VALUE"""),12334.0)</f>
        <v>12334</v>
      </c>
    </row>
    <row r="2735">
      <c r="A2735" s="2">
        <f>IFERROR(__xludf.DUMMYFUNCTION("""COMPUTED_VALUE"""),44972.64583333333)</f>
        <v>44972.64583</v>
      </c>
      <c r="B2735" s="1">
        <f>IFERROR(__xludf.DUMMYFUNCTION("""COMPUTED_VALUE"""),10880.0)</f>
        <v>10880</v>
      </c>
      <c r="C2735" s="1">
        <f>IFERROR(__xludf.DUMMYFUNCTION("""COMPUTED_VALUE"""),10880.0)</f>
        <v>10880</v>
      </c>
      <c r="D2735" s="1">
        <f>IFERROR(__xludf.DUMMYFUNCTION("""COMPUTED_VALUE"""),10640.0)</f>
        <v>10640</v>
      </c>
      <c r="E2735" s="1">
        <f>IFERROR(__xludf.DUMMYFUNCTION("""COMPUTED_VALUE"""),10770.0)</f>
        <v>10770</v>
      </c>
      <c r="F2735" s="1">
        <f>IFERROR(__xludf.DUMMYFUNCTION("""COMPUTED_VALUE"""),30254.0)</f>
        <v>30254</v>
      </c>
    </row>
    <row r="2736">
      <c r="A2736" s="2">
        <f>IFERROR(__xludf.DUMMYFUNCTION("""COMPUTED_VALUE"""),44973.64583333333)</f>
        <v>44973.64583</v>
      </c>
      <c r="B2736" s="1">
        <f>IFERROR(__xludf.DUMMYFUNCTION("""COMPUTED_VALUE"""),10740.0)</f>
        <v>10740</v>
      </c>
      <c r="C2736" s="1">
        <f>IFERROR(__xludf.DUMMYFUNCTION("""COMPUTED_VALUE"""),10850.0)</f>
        <v>10850</v>
      </c>
      <c r="D2736" s="1">
        <f>IFERROR(__xludf.DUMMYFUNCTION("""COMPUTED_VALUE"""),10730.0)</f>
        <v>10730</v>
      </c>
      <c r="E2736" s="1">
        <f>IFERROR(__xludf.DUMMYFUNCTION("""COMPUTED_VALUE"""),10800.0)</f>
        <v>10800</v>
      </c>
      <c r="F2736" s="1">
        <f>IFERROR(__xludf.DUMMYFUNCTION("""COMPUTED_VALUE"""),24758.0)</f>
        <v>24758</v>
      </c>
    </row>
    <row r="2737">
      <c r="A2737" s="2">
        <f>IFERROR(__xludf.DUMMYFUNCTION("""COMPUTED_VALUE"""),44974.64583333333)</f>
        <v>44974.64583</v>
      </c>
      <c r="B2737" s="1">
        <f>IFERROR(__xludf.DUMMYFUNCTION("""COMPUTED_VALUE"""),10800.0)</f>
        <v>10800</v>
      </c>
      <c r="C2737" s="1">
        <f>IFERROR(__xludf.DUMMYFUNCTION("""COMPUTED_VALUE"""),10830.0)</f>
        <v>10830</v>
      </c>
      <c r="D2737" s="1">
        <f>IFERROR(__xludf.DUMMYFUNCTION("""COMPUTED_VALUE"""),10730.0)</f>
        <v>10730</v>
      </c>
      <c r="E2737" s="1">
        <f>IFERROR(__xludf.DUMMYFUNCTION("""COMPUTED_VALUE"""),10800.0)</f>
        <v>10800</v>
      </c>
      <c r="F2737" s="1">
        <f>IFERROR(__xludf.DUMMYFUNCTION("""COMPUTED_VALUE"""),9919.0)</f>
        <v>9919</v>
      </c>
    </row>
    <row r="2738">
      <c r="A2738" s="2">
        <f>IFERROR(__xludf.DUMMYFUNCTION("""COMPUTED_VALUE"""),44977.64583333333)</f>
        <v>44977.64583</v>
      </c>
      <c r="B2738" s="1">
        <f>IFERROR(__xludf.DUMMYFUNCTION("""COMPUTED_VALUE"""),10800.0)</f>
        <v>10800</v>
      </c>
      <c r="C2738" s="1">
        <f>IFERROR(__xludf.DUMMYFUNCTION("""COMPUTED_VALUE"""),10850.0)</f>
        <v>10850</v>
      </c>
      <c r="D2738" s="1">
        <f>IFERROR(__xludf.DUMMYFUNCTION("""COMPUTED_VALUE"""),10780.0)</f>
        <v>10780</v>
      </c>
      <c r="E2738" s="1">
        <f>IFERROR(__xludf.DUMMYFUNCTION("""COMPUTED_VALUE"""),10830.0)</f>
        <v>10830</v>
      </c>
      <c r="F2738" s="1">
        <f>IFERROR(__xludf.DUMMYFUNCTION("""COMPUTED_VALUE"""),14295.0)</f>
        <v>14295</v>
      </c>
    </row>
    <row r="2739">
      <c r="A2739" s="2">
        <f>IFERROR(__xludf.DUMMYFUNCTION("""COMPUTED_VALUE"""),44978.64583333333)</f>
        <v>44978.64583</v>
      </c>
      <c r="B2739" s="1">
        <f>IFERROR(__xludf.DUMMYFUNCTION("""COMPUTED_VALUE"""),10870.0)</f>
        <v>10870</v>
      </c>
      <c r="C2739" s="1">
        <f>IFERROR(__xludf.DUMMYFUNCTION("""COMPUTED_VALUE"""),11170.0)</f>
        <v>11170</v>
      </c>
      <c r="D2739" s="1">
        <f>IFERROR(__xludf.DUMMYFUNCTION("""COMPUTED_VALUE"""),10840.0)</f>
        <v>10840</v>
      </c>
      <c r="E2739" s="1">
        <f>IFERROR(__xludf.DUMMYFUNCTION("""COMPUTED_VALUE"""),11110.0)</f>
        <v>11110</v>
      </c>
      <c r="F2739" s="1">
        <f>IFERROR(__xludf.DUMMYFUNCTION("""COMPUTED_VALUE"""),50906.0)</f>
        <v>50906</v>
      </c>
    </row>
    <row r="2740">
      <c r="A2740" s="2">
        <f>IFERROR(__xludf.DUMMYFUNCTION("""COMPUTED_VALUE"""),44979.64583333333)</f>
        <v>44979.64583</v>
      </c>
      <c r="B2740" s="1">
        <f>IFERROR(__xludf.DUMMYFUNCTION("""COMPUTED_VALUE"""),11100.0)</f>
        <v>11100</v>
      </c>
      <c r="C2740" s="1">
        <f>IFERROR(__xludf.DUMMYFUNCTION("""COMPUTED_VALUE"""),11200.0)</f>
        <v>11200</v>
      </c>
      <c r="D2740" s="1">
        <f>IFERROR(__xludf.DUMMYFUNCTION("""COMPUTED_VALUE"""),10910.0)</f>
        <v>10910</v>
      </c>
      <c r="E2740" s="1">
        <f>IFERROR(__xludf.DUMMYFUNCTION("""COMPUTED_VALUE"""),11010.0)</f>
        <v>11010</v>
      </c>
      <c r="F2740" s="1">
        <f>IFERROR(__xludf.DUMMYFUNCTION("""COMPUTED_VALUE"""),29824.0)</f>
        <v>29824</v>
      </c>
    </row>
    <row r="2741">
      <c r="A2741" s="2">
        <f>IFERROR(__xludf.DUMMYFUNCTION("""COMPUTED_VALUE"""),44980.64583333333)</f>
        <v>44980.64583</v>
      </c>
      <c r="B2741" s="1">
        <f>IFERROR(__xludf.DUMMYFUNCTION("""COMPUTED_VALUE"""),11010.0)</f>
        <v>11010</v>
      </c>
      <c r="C2741" s="1">
        <f>IFERROR(__xludf.DUMMYFUNCTION("""COMPUTED_VALUE"""),11010.0)</f>
        <v>11010</v>
      </c>
      <c r="D2741" s="1">
        <f>IFERROR(__xludf.DUMMYFUNCTION("""COMPUTED_VALUE"""),10850.0)</f>
        <v>10850</v>
      </c>
      <c r="E2741" s="1">
        <f>IFERROR(__xludf.DUMMYFUNCTION("""COMPUTED_VALUE"""),11000.0)</f>
        <v>11000</v>
      </c>
      <c r="F2741" s="1">
        <f>IFERROR(__xludf.DUMMYFUNCTION("""COMPUTED_VALUE"""),12476.0)</f>
        <v>12476</v>
      </c>
    </row>
    <row r="2742">
      <c r="A2742" s="2">
        <f>IFERROR(__xludf.DUMMYFUNCTION("""COMPUTED_VALUE"""),44981.64583333333)</f>
        <v>44981.64583</v>
      </c>
      <c r="B2742" s="1">
        <f>IFERROR(__xludf.DUMMYFUNCTION("""COMPUTED_VALUE"""),11050.0)</f>
        <v>11050</v>
      </c>
      <c r="C2742" s="1">
        <f>IFERROR(__xludf.DUMMYFUNCTION("""COMPUTED_VALUE"""),11050.0)</f>
        <v>11050</v>
      </c>
      <c r="D2742" s="1">
        <f>IFERROR(__xludf.DUMMYFUNCTION("""COMPUTED_VALUE"""),10710.0)</f>
        <v>10710</v>
      </c>
      <c r="E2742" s="1">
        <f>IFERROR(__xludf.DUMMYFUNCTION("""COMPUTED_VALUE"""),10810.0)</f>
        <v>10810</v>
      </c>
      <c r="F2742" s="1">
        <f>IFERROR(__xludf.DUMMYFUNCTION("""COMPUTED_VALUE"""),23448.0)</f>
        <v>23448</v>
      </c>
    </row>
    <row r="2743">
      <c r="A2743" s="2">
        <f>IFERROR(__xludf.DUMMYFUNCTION("""COMPUTED_VALUE"""),44984.64583333333)</f>
        <v>44984.64583</v>
      </c>
      <c r="B2743" s="1">
        <f>IFERROR(__xludf.DUMMYFUNCTION("""COMPUTED_VALUE"""),10810.0)</f>
        <v>10810</v>
      </c>
      <c r="C2743" s="1">
        <f>IFERROR(__xludf.DUMMYFUNCTION("""COMPUTED_VALUE"""),10810.0)</f>
        <v>10810</v>
      </c>
      <c r="D2743" s="1">
        <f>IFERROR(__xludf.DUMMYFUNCTION("""COMPUTED_VALUE"""),10500.0)</f>
        <v>10500</v>
      </c>
      <c r="E2743" s="1">
        <f>IFERROR(__xludf.DUMMYFUNCTION("""COMPUTED_VALUE"""),10660.0)</f>
        <v>10660</v>
      </c>
      <c r="F2743" s="1">
        <f>IFERROR(__xludf.DUMMYFUNCTION("""COMPUTED_VALUE"""),18204.0)</f>
        <v>18204</v>
      </c>
    </row>
    <row r="2744">
      <c r="A2744" s="2">
        <f>IFERROR(__xludf.DUMMYFUNCTION("""COMPUTED_VALUE"""),44985.64583333333)</f>
        <v>44985.64583</v>
      </c>
      <c r="B2744" s="1">
        <f>IFERROR(__xludf.DUMMYFUNCTION("""COMPUTED_VALUE"""),10650.0)</f>
        <v>10650</v>
      </c>
      <c r="C2744" s="1">
        <f>IFERROR(__xludf.DUMMYFUNCTION("""COMPUTED_VALUE"""),10800.0)</f>
        <v>10800</v>
      </c>
      <c r="D2744" s="1">
        <f>IFERROR(__xludf.DUMMYFUNCTION("""COMPUTED_VALUE"""),10630.0)</f>
        <v>10630</v>
      </c>
      <c r="E2744" s="1">
        <f>IFERROR(__xludf.DUMMYFUNCTION("""COMPUTED_VALUE"""),10800.0)</f>
        <v>10800</v>
      </c>
      <c r="F2744" s="1">
        <f>IFERROR(__xludf.DUMMYFUNCTION("""COMPUTED_VALUE"""),9383.0)</f>
        <v>9383</v>
      </c>
    </row>
    <row r="2745">
      <c r="A2745" s="2">
        <f>IFERROR(__xludf.DUMMYFUNCTION("""COMPUTED_VALUE"""),44987.64583333333)</f>
        <v>44987.64583</v>
      </c>
      <c r="B2745" s="1">
        <f>IFERROR(__xludf.DUMMYFUNCTION("""COMPUTED_VALUE"""),10750.0)</f>
        <v>10750</v>
      </c>
      <c r="C2745" s="1">
        <f>IFERROR(__xludf.DUMMYFUNCTION("""COMPUTED_VALUE"""),10880.0)</f>
        <v>10880</v>
      </c>
      <c r="D2745" s="1">
        <f>IFERROR(__xludf.DUMMYFUNCTION("""COMPUTED_VALUE"""),10710.0)</f>
        <v>10710</v>
      </c>
      <c r="E2745" s="1">
        <f>IFERROR(__xludf.DUMMYFUNCTION("""COMPUTED_VALUE"""),10780.0)</f>
        <v>10780</v>
      </c>
      <c r="F2745" s="1">
        <f>IFERROR(__xludf.DUMMYFUNCTION("""COMPUTED_VALUE"""),11463.0)</f>
        <v>11463</v>
      </c>
    </row>
    <row r="2746">
      <c r="A2746" s="2">
        <f>IFERROR(__xludf.DUMMYFUNCTION("""COMPUTED_VALUE"""),44988.64583333333)</f>
        <v>44988.64583</v>
      </c>
      <c r="B2746" s="1">
        <f>IFERROR(__xludf.DUMMYFUNCTION("""COMPUTED_VALUE"""),10780.0)</f>
        <v>10780</v>
      </c>
      <c r="C2746" s="1">
        <f>IFERROR(__xludf.DUMMYFUNCTION("""COMPUTED_VALUE"""),10830.0)</f>
        <v>10830</v>
      </c>
      <c r="D2746" s="1">
        <f>IFERROR(__xludf.DUMMYFUNCTION("""COMPUTED_VALUE"""),10720.0)</f>
        <v>10720</v>
      </c>
      <c r="E2746" s="1">
        <f>IFERROR(__xludf.DUMMYFUNCTION("""COMPUTED_VALUE"""),10780.0)</f>
        <v>10780</v>
      </c>
      <c r="F2746" s="1">
        <f>IFERROR(__xludf.DUMMYFUNCTION("""COMPUTED_VALUE"""),14315.0)</f>
        <v>14315</v>
      </c>
    </row>
    <row r="2747">
      <c r="A2747" s="2">
        <f>IFERROR(__xludf.DUMMYFUNCTION("""COMPUTED_VALUE"""),44991.64583333333)</f>
        <v>44991.64583</v>
      </c>
      <c r="B2747" s="1">
        <f>IFERROR(__xludf.DUMMYFUNCTION("""COMPUTED_VALUE"""),10760.0)</f>
        <v>10760</v>
      </c>
      <c r="C2747" s="1">
        <f>IFERROR(__xludf.DUMMYFUNCTION("""COMPUTED_VALUE"""),11030.0)</f>
        <v>11030</v>
      </c>
      <c r="D2747" s="1">
        <f>IFERROR(__xludf.DUMMYFUNCTION("""COMPUTED_VALUE"""),10660.0)</f>
        <v>10660</v>
      </c>
      <c r="E2747" s="1">
        <f>IFERROR(__xludf.DUMMYFUNCTION("""COMPUTED_VALUE"""),10750.0)</f>
        <v>10750</v>
      </c>
      <c r="F2747" s="1">
        <f>IFERROR(__xludf.DUMMYFUNCTION("""COMPUTED_VALUE"""),19569.0)</f>
        <v>19569</v>
      </c>
    </row>
    <row r="2748">
      <c r="A2748" s="2">
        <f>IFERROR(__xludf.DUMMYFUNCTION("""COMPUTED_VALUE"""),44992.64583333333)</f>
        <v>44992.64583</v>
      </c>
      <c r="B2748" s="1">
        <f>IFERROR(__xludf.DUMMYFUNCTION("""COMPUTED_VALUE"""),10750.0)</f>
        <v>10750</v>
      </c>
      <c r="C2748" s="1">
        <f>IFERROR(__xludf.DUMMYFUNCTION("""COMPUTED_VALUE"""),10970.0)</f>
        <v>10970</v>
      </c>
      <c r="D2748" s="1">
        <f>IFERROR(__xludf.DUMMYFUNCTION("""COMPUTED_VALUE"""),10680.0)</f>
        <v>10680</v>
      </c>
      <c r="E2748" s="1">
        <f>IFERROR(__xludf.DUMMYFUNCTION("""COMPUTED_VALUE"""),10850.0)</f>
        <v>10850</v>
      </c>
      <c r="F2748" s="1">
        <f>IFERROR(__xludf.DUMMYFUNCTION("""COMPUTED_VALUE"""),71150.0)</f>
        <v>71150</v>
      </c>
    </row>
    <row r="2749">
      <c r="A2749" s="2">
        <f>IFERROR(__xludf.DUMMYFUNCTION("""COMPUTED_VALUE"""),44993.64583333333)</f>
        <v>44993.64583</v>
      </c>
      <c r="B2749" s="1">
        <f>IFERROR(__xludf.DUMMYFUNCTION("""COMPUTED_VALUE"""),10850.0)</f>
        <v>10850</v>
      </c>
      <c r="C2749" s="1">
        <f>IFERROR(__xludf.DUMMYFUNCTION("""COMPUTED_VALUE"""),10850.0)</f>
        <v>10850</v>
      </c>
      <c r="D2749" s="1">
        <f>IFERROR(__xludf.DUMMYFUNCTION("""COMPUTED_VALUE"""),10650.0)</f>
        <v>10650</v>
      </c>
      <c r="E2749" s="1">
        <f>IFERROR(__xludf.DUMMYFUNCTION("""COMPUTED_VALUE"""),10730.0)</f>
        <v>10730</v>
      </c>
      <c r="F2749" s="1">
        <f>IFERROR(__xludf.DUMMYFUNCTION("""COMPUTED_VALUE"""),26609.0)</f>
        <v>26609</v>
      </c>
    </row>
    <row r="2750">
      <c r="A2750" s="2">
        <f>IFERROR(__xludf.DUMMYFUNCTION("""COMPUTED_VALUE"""),44994.64583333333)</f>
        <v>44994.64583</v>
      </c>
      <c r="B2750" s="1">
        <f>IFERROR(__xludf.DUMMYFUNCTION("""COMPUTED_VALUE"""),10730.0)</f>
        <v>10730</v>
      </c>
      <c r="C2750" s="1">
        <f>IFERROR(__xludf.DUMMYFUNCTION("""COMPUTED_VALUE"""),10730.0)</f>
        <v>10730</v>
      </c>
      <c r="D2750" s="1">
        <f>IFERROR(__xludf.DUMMYFUNCTION("""COMPUTED_VALUE"""),10570.0)</f>
        <v>10570</v>
      </c>
      <c r="E2750" s="1">
        <f>IFERROR(__xludf.DUMMYFUNCTION("""COMPUTED_VALUE"""),10670.0)</f>
        <v>10670</v>
      </c>
      <c r="F2750" s="1">
        <f>IFERROR(__xludf.DUMMYFUNCTION("""COMPUTED_VALUE"""),17890.0)</f>
        <v>17890</v>
      </c>
    </row>
    <row r="2751">
      <c r="A2751" s="2">
        <f>IFERROR(__xludf.DUMMYFUNCTION("""COMPUTED_VALUE"""),44995.64583333333)</f>
        <v>44995.64583</v>
      </c>
      <c r="B2751" s="1">
        <f>IFERROR(__xludf.DUMMYFUNCTION("""COMPUTED_VALUE"""),10600.0)</f>
        <v>10600</v>
      </c>
      <c r="C2751" s="1">
        <f>IFERROR(__xludf.DUMMYFUNCTION("""COMPUTED_VALUE"""),10610.0)</f>
        <v>10610</v>
      </c>
      <c r="D2751" s="1">
        <f>IFERROR(__xludf.DUMMYFUNCTION("""COMPUTED_VALUE"""),10340.0)</f>
        <v>10340</v>
      </c>
      <c r="E2751" s="1">
        <f>IFERROR(__xludf.DUMMYFUNCTION("""COMPUTED_VALUE"""),10380.0)</f>
        <v>10380</v>
      </c>
      <c r="F2751" s="1">
        <f>IFERROR(__xludf.DUMMYFUNCTION("""COMPUTED_VALUE"""),34392.0)</f>
        <v>34392</v>
      </c>
    </row>
    <row r="2752">
      <c r="A2752" s="2">
        <f>IFERROR(__xludf.DUMMYFUNCTION("""COMPUTED_VALUE"""),44998.64583333333)</f>
        <v>44998.64583</v>
      </c>
      <c r="B2752" s="1">
        <f>IFERROR(__xludf.DUMMYFUNCTION("""COMPUTED_VALUE"""),10280.0)</f>
        <v>10280</v>
      </c>
      <c r="C2752" s="1">
        <f>IFERROR(__xludf.DUMMYFUNCTION("""COMPUTED_VALUE"""),10360.0)</f>
        <v>10360</v>
      </c>
      <c r="D2752" s="1">
        <f>IFERROR(__xludf.DUMMYFUNCTION("""COMPUTED_VALUE"""),9950.0)</f>
        <v>9950</v>
      </c>
      <c r="E2752" s="1">
        <f>IFERROR(__xludf.DUMMYFUNCTION("""COMPUTED_VALUE"""),10240.0)</f>
        <v>10240</v>
      </c>
      <c r="F2752" s="1">
        <f>IFERROR(__xludf.DUMMYFUNCTION("""COMPUTED_VALUE"""),30680.0)</f>
        <v>30680</v>
      </c>
    </row>
    <row r="2753">
      <c r="A2753" s="2">
        <f>IFERROR(__xludf.DUMMYFUNCTION("""COMPUTED_VALUE"""),44999.64583333333)</f>
        <v>44999.64583</v>
      </c>
      <c r="B2753" s="1">
        <f>IFERROR(__xludf.DUMMYFUNCTION("""COMPUTED_VALUE"""),10050.0)</f>
        <v>10050</v>
      </c>
      <c r="C2753" s="1">
        <f>IFERROR(__xludf.DUMMYFUNCTION("""COMPUTED_VALUE"""),10160.0)</f>
        <v>10160</v>
      </c>
      <c r="D2753" s="1">
        <f>IFERROR(__xludf.DUMMYFUNCTION("""COMPUTED_VALUE"""),9890.0)</f>
        <v>9890</v>
      </c>
      <c r="E2753" s="1">
        <f>IFERROR(__xludf.DUMMYFUNCTION("""COMPUTED_VALUE"""),9900.0)</f>
        <v>9900</v>
      </c>
      <c r="F2753" s="1">
        <f>IFERROR(__xludf.DUMMYFUNCTION("""COMPUTED_VALUE"""),36370.0)</f>
        <v>36370</v>
      </c>
    </row>
    <row r="2754">
      <c r="A2754" s="2">
        <f>IFERROR(__xludf.DUMMYFUNCTION("""COMPUTED_VALUE"""),45000.64583333333)</f>
        <v>45000.64583</v>
      </c>
      <c r="B2754" s="1">
        <f>IFERROR(__xludf.DUMMYFUNCTION("""COMPUTED_VALUE"""),9990.0)</f>
        <v>9990</v>
      </c>
      <c r="C2754" s="1">
        <f>IFERROR(__xludf.DUMMYFUNCTION("""COMPUTED_VALUE"""),10150.0)</f>
        <v>10150</v>
      </c>
      <c r="D2754" s="1">
        <f>IFERROR(__xludf.DUMMYFUNCTION("""COMPUTED_VALUE"""),9940.0)</f>
        <v>9940</v>
      </c>
      <c r="E2754" s="1">
        <f>IFERROR(__xludf.DUMMYFUNCTION("""COMPUTED_VALUE"""),10030.0)</f>
        <v>10030</v>
      </c>
      <c r="F2754" s="1">
        <f>IFERROR(__xludf.DUMMYFUNCTION("""COMPUTED_VALUE"""),12728.0)</f>
        <v>12728</v>
      </c>
    </row>
    <row r="2755">
      <c r="A2755" s="2">
        <f>IFERROR(__xludf.DUMMYFUNCTION("""COMPUTED_VALUE"""),45001.64583333333)</f>
        <v>45001.64583</v>
      </c>
      <c r="B2755" s="1">
        <f>IFERROR(__xludf.DUMMYFUNCTION("""COMPUTED_VALUE"""),9930.0)</f>
        <v>9930</v>
      </c>
      <c r="C2755" s="1">
        <f>IFERROR(__xludf.DUMMYFUNCTION("""COMPUTED_VALUE"""),9990.0)</f>
        <v>9990</v>
      </c>
      <c r="D2755" s="1">
        <f>IFERROR(__xludf.DUMMYFUNCTION("""COMPUTED_VALUE"""),9810.0)</f>
        <v>9810</v>
      </c>
      <c r="E2755" s="1">
        <f>IFERROR(__xludf.DUMMYFUNCTION("""COMPUTED_VALUE"""),9900.0)</f>
        <v>9900</v>
      </c>
      <c r="F2755" s="1">
        <f>IFERROR(__xludf.DUMMYFUNCTION("""COMPUTED_VALUE"""),16935.0)</f>
        <v>16935</v>
      </c>
    </row>
    <row r="2756">
      <c r="A2756" s="2">
        <f>IFERROR(__xludf.DUMMYFUNCTION("""COMPUTED_VALUE"""),45002.64583333333)</f>
        <v>45002.64583</v>
      </c>
      <c r="B2756" s="1">
        <f>IFERROR(__xludf.DUMMYFUNCTION("""COMPUTED_VALUE"""),9920.0)</f>
        <v>9920</v>
      </c>
      <c r="C2756" s="1">
        <f>IFERROR(__xludf.DUMMYFUNCTION("""COMPUTED_VALUE"""),10090.0)</f>
        <v>10090</v>
      </c>
      <c r="D2756" s="1">
        <f>IFERROR(__xludf.DUMMYFUNCTION("""COMPUTED_VALUE"""),9920.0)</f>
        <v>9920</v>
      </c>
      <c r="E2756" s="1">
        <f>IFERROR(__xludf.DUMMYFUNCTION("""COMPUTED_VALUE"""),10050.0)</f>
        <v>10050</v>
      </c>
      <c r="F2756" s="1">
        <f>IFERROR(__xludf.DUMMYFUNCTION("""COMPUTED_VALUE"""),9905.0)</f>
        <v>9905</v>
      </c>
    </row>
    <row r="2757">
      <c r="A2757" s="2">
        <f>IFERROR(__xludf.DUMMYFUNCTION("""COMPUTED_VALUE"""),45005.64583333333)</f>
        <v>45005.64583</v>
      </c>
      <c r="B2757" s="1">
        <f>IFERROR(__xludf.DUMMYFUNCTION("""COMPUTED_VALUE"""),10050.0)</f>
        <v>10050</v>
      </c>
      <c r="C2757" s="1">
        <f>IFERROR(__xludf.DUMMYFUNCTION("""COMPUTED_VALUE"""),10080.0)</f>
        <v>10080</v>
      </c>
      <c r="D2757" s="1">
        <f>IFERROR(__xludf.DUMMYFUNCTION("""COMPUTED_VALUE"""),9950.0)</f>
        <v>9950</v>
      </c>
      <c r="E2757" s="1">
        <f>IFERROR(__xludf.DUMMYFUNCTION("""COMPUTED_VALUE"""),10080.0)</f>
        <v>10080</v>
      </c>
      <c r="F2757" s="1">
        <f>IFERROR(__xludf.DUMMYFUNCTION("""COMPUTED_VALUE"""),4562.0)</f>
        <v>4562</v>
      </c>
    </row>
    <row r="2758">
      <c r="A2758" s="2">
        <f>IFERROR(__xludf.DUMMYFUNCTION("""COMPUTED_VALUE"""),45006.64583333333)</f>
        <v>45006.64583</v>
      </c>
      <c r="B2758" s="1">
        <f>IFERROR(__xludf.DUMMYFUNCTION("""COMPUTED_VALUE"""),10080.0)</f>
        <v>10080</v>
      </c>
      <c r="C2758" s="1">
        <f>IFERROR(__xludf.DUMMYFUNCTION("""COMPUTED_VALUE"""),10150.0)</f>
        <v>10150</v>
      </c>
      <c r="D2758" s="1">
        <f>IFERROR(__xludf.DUMMYFUNCTION("""COMPUTED_VALUE"""),10020.0)</f>
        <v>10020</v>
      </c>
      <c r="E2758" s="1">
        <f>IFERROR(__xludf.DUMMYFUNCTION("""COMPUTED_VALUE"""),10090.0)</f>
        <v>10090</v>
      </c>
      <c r="F2758" s="1">
        <f>IFERROR(__xludf.DUMMYFUNCTION("""COMPUTED_VALUE"""),3404.0)</f>
        <v>3404</v>
      </c>
    </row>
    <row r="2759">
      <c r="A2759" s="2">
        <f>IFERROR(__xludf.DUMMYFUNCTION("""COMPUTED_VALUE"""),45007.64583333333)</f>
        <v>45007.64583</v>
      </c>
      <c r="B2759" s="1">
        <f>IFERROR(__xludf.DUMMYFUNCTION("""COMPUTED_VALUE"""),10150.0)</f>
        <v>10150</v>
      </c>
      <c r="C2759" s="1">
        <f>IFERROR(__xludf.DUMMYFUNCTION("""COMPUTED_VALUE"""),10150.0)</f>
        <v>10150</v>
      </c>
      <c r="D2759" s="1">
        <f>IFERROR(__xludf.DUMMYFUNCTION("""COMPUTED_VALUE"""),9910.0)</f>
        <v>9910</v>
      </c>
      <c r="E2759" s="1">
        <f>IFERROR(__xludf.DUMMYFUNCTION("""COMPUTED_VALUE"""),10010.0)</f>
        <v>10010</v>
      </c>
      <c r="F2759" s="1">
        <f>IFERROR(__xludf.DUMMYFUNCTION("""COMPUTED_VALUE"""),21217.0)</f>
        <v>21217</v>
      </c>
    </row>
    <row r="2760">
      <c r="A2760" s="2">
        <f>IFERROR(__xludf.DUMMYFUNCTION("""COMPUTED_VALUE"""),45008.64583333333)</f>
        <v>45008.64583</v>
      </c>
      <c r="B2760" s="1">
        <f>IFERROR(__xludf.DUMMYFUNCTION("""COMPUTED_VALUE"""),10050.0)</f>
        <v>10050</v>
      </c>
      <c r="C2760" s="1">
        <f>IFERROR(__xludf.DUMMYFUNCTION("""COMPUTED_VALUE"""),10050.0)</f>
        <v>10050</v>
      </c>
      <c r="D2760" s="1">
        <f>IFERROR(__xludf.DUMMYFUNCTION("""COMPUTED_VALUE"""),9840.0)</f>
        <v>9840</v>
      </c>
      <c r="E2760" s="1">
        <f>IFERROR(__xludf.DUMMYFUNCTION("""COMPUTED_VALUE"""),9920.0)</f>
        <v>9920</v>
      </c>
      <c r="F2760" s="1">
        <f>IFERROR(__xludf.DUMMYFUNCTION("""COMPUTED_VALUE"""),20954.0)</f>
        <v>20954</v>
      </c>
    </row>
    <row r="2761">
      <c r="A2761" s="2">
        <f>IFERROR(__xludf.DUMMYFUNCTION("""COMPUTED_VALUE"""),45009.64583333333)</f>
        <v>45009.64583</v>
      </c>
      <c r="B2761" s="1">
        <f>IFERROR(__xludf.DUMMYFUNCTION("""COMPUTED_VALUE"""),9930.0)</f>
        <v>9930</v>
      </c>
      <c r="C2761" s="1">
        <f>IFERROR(__xludf.DUMMYFUNCTION("""COMPUTED_VALUE"""),10000.0)</f>
        <v>10000</v>
      </c>
      <c r="D2761" s="1">
        <f>IFERROR(__xludf.DUMMYFUNCTION("""COMPUTED_VALUE"""),9880.0)</f>
        <v>9880</v>
      </c>
      <c r="E2761" s="1">
        <f>IFERROR(__xludf.DUMMYFUNCTION("""COMPUTED_VALUE"""),9970.0)</f>
        <v>9970</v>
      </c>
      <c r="F2761" s="1">
        <f>IFERROR(__xludf.DUMMYFUNCTION("""COMPUTED_VALUE"""),9723.0)</f>
        <v>9723</v>
      </c>
    </row>
    <row r="2762">
      <c r="A2762" s="2">
        <f>IFERROR(__xludf.DUMMYFUNCTION("""COMPUTED_VALUE"""),45012.64583333333)</f>
        <v>45012.64583</v>
      </c>
      <c r="B2762" s="1">
        <f>IFERROR(__xludf.DUMMYFUNCTION("""COMPUTED_VALUE"""),9920.0)</f>
        <v>9920</v>
      </c>
      <c r="C2762" s="1">
        <f>IFERROR(__xludf.DUMMYFUNCTION("""COMPUTED_VALUE"""),9970.0)</f>
        <v>9970</v>
      </c>
      <c r="D2762" s="1">
        <f>IFERROR(__xludf.DUMMYFUNCTION("""COMPUTED_VALUE"""),9870.0)</f>
        <v>9870</v>
      </c>
      <c r="E2762" s="1">
        <f>IFERROR(__xludf.DUMMYFUNCTION("""COMPUTED_VALUE"""),9900.0)</f>
        <v>9900</v>
      </c>
      <c r="F2762" s="1">
        <f>IFERROR(__xludf.DUMMYFUNCTION("""COMPUTED_VALUE"""),9570.0)</f>
        <v>9570</v>
      </c>
    </row>
    <row r="2763">
      <c r="A2763" s="2">
        <f>IFERROR(__xludf.DUMMYFUNCTION("""COMPUTED_VALUE"""),45013.64583333333)</f>
        <v>45013.64583</v>
      </c>
      <c r="B2763" s="1">
        <f>IFERROR(__xludf.DUMMYFUNCTION("""COMPUTED_VALUE"""),9900.0)</f>
        <v>9900</v>
      </c>
      <c r="C2763" s="1">
        <f>IFERROR(__xludf.DUMMYFUNCTION("""COMPUTED_VALUE"""),10100.0)</f>
        <v>10100</v>
      </c>
      <c r="D2763" s="1">
        <f>IFERROR(__xludf.DUMMYFUNCTION("""COMPUTED_VALUE"""),9500.0)</f>
        <v>9500</v>
      </c>
      <c r="E2763" s="1">
        <f>IFERROR(__xludf.DUMMYFUNCTION("""COMPUTED_VALUE"""),10030.0)</f>
        <v>10030</v>
      </c>
      <c r="F2763" s="1">
        <f>IFERROR(__xludf.DUMMYFUNCTION("""COMPUTED_VALUE"""),35175.0)</f>
        <v>35175</v>
      </c>
    </row>
    <row r="2764">
      <c r="A2764" s="2">
        <f>IFERROR(__xludf.DUMMYFUNCTION("""COMPUTED_VALUE"""),45014.64583333333)</f>
        <v>45014.64583</v>
      </c>
      <c r="B2764" s="1">
        <f>IFERROR(__xludf.DUMMYFUNCTION("""COMPUTED_VALUE"""),10020.0)</f>
        <v>10020</v>
      </c>
      <c r="C2764" s="1">
        <f>IFERROR(__xludf.DUMMYFUNCTION("""COMPUTED_VALUE"""),10080.0)</f>
        <v>10080</v>
      </c>
      <c r="D2764" s="1">
        <f>IFERROR(__xludf.DUMMYFUNCTION("""COMPUTED_VALUE"""),9980.0)</f>
        <v>9980</v>
      </c>
      <c r="E2764" s="1">
        <f>IFERROR(__xludf.DUMMYFUNCTION("""COMPUTED_VALUE"""),10050.0)</f>
        <v>10050</v>
      </c>
      <c r="F2764" s="1">
        <f>IFERROR(__xludf.DUMMYFUNCTION("""COMPUTED_VALUE"""),8916.0)</f>
        <v>8916</v>
      </c>
    </row>
    <row r="2765">
      <c r="A2765" s="2">
        <f>IFERROR(__xludf.DUMMYFUNCTION("""COMPUTED_VALUE"""),45015.64583333333)</f>
        <v>45015.64583</v>
      </c>
      <c r="B2765" s="1">
        <f>IFERROR(__xludf.DUMMYFUNCTION("""COMPUTED_VALUE"""),10070.0)</f>
        <v>10070</v>
      </c>
      <c r="C2765" s="1">
        <f>IFERROR(__xludf.DUMMYFUNCTION("""COMPUTED_VALUE"""),10180.0)</f>
        <v>10180</v>
      </c>
      <c r="D2765" s="1">
        <f>IFERROR(__xludf.DUMMYFUNCTION("""COMPUTED_VALUE"""),9990.0)</f>
        <v>9990</v>
      </c>
      <c r="E2765" s="1">
        <f>IFERROR(__xludf.DUMMYFUNCTION("""COMPUTED_VALUE"""),10180.0)</f>
        <v>10180</v>
      </c>
      <c r="F2765" s="1">
        <f>IFERROR(__xludf.DUMMYFUNCTION("""COMPUTED_VALUE"""),15509.0)</f>
        <v>15509</v>
      </c>
    </row>
    <row r="2766">
      <c r="A2766" s="2">
        <f>IFERROR(__xludf.DUMMYFUNCTION("""COMPUTED_VALUE"""),45016.64583333333)</f>
        <v>45016.64583</v>
      </c>
      <c r="B2766" s="1">
        <f>IFERROR(__xludf.DUMMYFUNCTION("""COMPUTED_VALUE"""),10180.0)</f>
        <v>10180</v>
      </c>
      <c r="C2766" s="1">
        <f>IFERROR(__xludf.DUMMYFUNCTION("""COMPUTED_VALUE"""),10210.0)</f>
        <v>10210</v>
      </c>
      <c r="D2766" s="1">
        <f>IFERROR(__xludf.DUMMYFUNCTION("""COMPUTED_VALUE"""),10100.0)</f>
        <v>10100</v>
      </c>
      <c r="E2766" s="1">
        <f>IFERROR(__xludf.DUMMYFUNCTION("""COMPUTED_VALUE"""),10150.0)</f>
        <v>10150</v>
      </c>
      <c r="F2766" s="1">
        <f>IFERROR(__xludf.DUMMYFUNCTION("""COMPUTED_VALUE"""),19217.0)</f>
        <v>19217</v>
      </c>
    </row>
    <row r="2767">
      <c r="A2767" s="2">
        <f>IFERROR(__xludf.DUMMYFUNCTION("""COMPUTED_VALUE"""),45019.64583333333)</f>
        <v>45019.64583</v>
      </c>
      <c r="B2767" s="1">
        <f>IFERROR(__xludf.DUMMYFUNCTION("""COMPUTED_VALUE"""),10160.0)</f>
        <v>10160</v>
      </c>
      <c r="C2767" s="1">
        <f>IFERROR(__xludf.DUMMYFUNCTION("""COMPUTED_VALUE"""),10240.0)</f>
        <v>10240</v>
      </c>
      <c r="D2767" s="1">
        <f>IFERROR(__xludf.DUMMYFUNCTION("""COMPUTED_VALUE"""),10150.0)</f>
        <v>10150</v>
      </c>
      <c r="E2767" s="1">
        <f>IFERROR(__xludf.DUMMYFUNCTION("""COMPUTED_VALUE"""),10210.0)</f>
        <v>10210</v>
      </c>
      <c r="F2767" s="1">
        <f>IFERROR(__xludf.DUMMYFUNCTION("""COMPUTED_VALUE"""),16555.0)</f>
        <v>16555</v>
      </c>
    </row>
    <row r="2768">
      <c r="A2768" s="2">
        <f>IFERROR(__xludf.DUMMYFUNCTION("""COMPUTED_VALUE"""),45020.64583333333)</f>
        <v>45020.64583</v>
      </c>
      <c r="B2768" s="1">
        <f>IFERROR(__xludf.DUMMYFUNCTION("""COMPUTED_VALUE"""),10210.0)</f>
        <v>10210</v>
      </c>
      <c r="C2768" s="1">
        <f>IFERROR(__xludf.DUMMYFUNCTION("""COMPUTED_VALUE"""),10360.0)</f>
        <v>10360</v>
      </c>
      <c r="D2768" s="1">
        <f>IFERROR(__xludf.DUMMYFUNCTION("""COMPUTED_VALUE"""),10190.0)</f>
        <v>10190</v>
      </c>
      <c r="E2768" s="1">
        <f>IFERROR(__xludf.DUMMYFUNCTION("""COMPUTED_VALUE"""),10260.0)</f>
        <v>10260</v>
      </c>
      <c r="F2768" s="1">
        <f>IFERROR(__xludf.DUMMYFUNCTION("""COMPUTED_VALUE"""),16457.0)</f>
        <v>16457</v>
      </c>
    </row>
    <row r="2769">
      <c r="A2769" s="2">
        <f>IFERROR(__xludf.DUMMYFUNCTION("""COMPUTED_VALUE"""),45021.64583333333)</f>
        <v>45021.64583</v>
      </c>
      <c r="B2769" s="1">
        <f>IFERROR(__xludf.DUMMYFUNCTION("""COMPUTED_VALUE"""),10200.0)</f>
        <v>10200</v>
      </c>
      <c r="C2769" s="1">
        <f>IFERROR(__xludf.DUMMYFUNCTION("""COMPUTED_VALUE"""),10330.0)</f>
        <v>10330</v>
      </c>
      <c r="D2769" s="1">
        <f>IFERROR(__xludf.DUMMYFUNCTION("""COMPUTED_VALUE"""),10190.0)</f>
        <v>10190</v>
      </c>
      <c r="E2769" s="1">
        <f>IFERROR(__xludf.DUMMYFUNCTION("""COMPUTED_VALUE"""),10260.0)</f>
        <v>10260</v>
      </c>
      <c r="F2769" s="1">
        <f>IFERROR(__xludf.DUMMYFUNCTION("""COMPUTED_VALUE"""),19490.0)</f>
        <v>19490</v>
      </c>
    </row>
    <row r="2770">
      <c r="A2770" s="2">
        <f>IFERROR(__xludf.DUMMYFUNCTION("""COMPUTED_VALUE"""),45022.64583333333)</f>
        <v>45022.64583</v>
      </c>
      <c r="B2770" s="1">
        <f>IFERROR(__xludf.DUMMYFUNCTION("""COMPUTED_VALUE"""),10260.0)</f>
        <v>10260</v>
      </c>
      <c r="C2770" s="1">
        <f>IFERROR(__xludf.DUMMYFUNCTION("""COMPUTED_VALUE"""),10260.0)</f>
        <v>10260</v>
      </c>
      <c r="D2770" s="1">
        <f>IFERROR(__xludf.DUMMYFUNCTION("""COMPUTED_VALUE"""),10070.0)</f>
        <v>10070</v>
      </c>
      <c r="E2770" s="1">
        <f>IFERROR(__xludf.DUMMYFUNCTION("""COMPUTED_VALUE"""),10160.0)</f>
        <v>10160</v>
      </c>
      <c r="F2770" s="1">
        <f>IFERROR(__xludf.DUMMYFUNCTION("""COMPUTED_VALUE"""),14719.0)</f>
        <v>14719</v>
      </c>
    </row>
    <row r="2771">
      <c r="A2771" s="2">
        <f>IFERROR(__xludf.DUMMYFUNCTION("""COMPUTED_VALUE"""),45023.64583333333)</f>
        <v>45023.64583</v>
      </c>
      <c r="B2771" s="1">
        <f>IFERROR(__xludf.DUMMYFUNCTION("""COMPUTED_VALUE"""),10160.0)</f>
        <v>10160</v>
      </c>
      <c r="C2771" s="1">
        <f>IFERROR(__xludf.DUMMYFUNCTION("""COMPUTED_VALUE"""),10200.0)</f>
        <v>10200</v>
      </c>
      <c r="D2771" s="1">
        <f>IFERROR(__xludf.DUMMYFUNCTION("""COMPUTED_VALUE"""),10090.0)</f>
        <v>10090</v>
      </c>
      <c r="E2771" s="1">
        <f>IFERROR(__xludf.DUMMYFUNCTION("""COMPUTED_VALUE"""),10130.0)</f>
        <v>10130</v>
      </c>
      <c r="F2771" s="1">
        <f>IFERROR(__xludf.DUMMYFUNCTION("""COMPUTED_VALUE"""),16157.0)</f>
        <v>16157</v>
      </c>
    </row>
    <row r="2772">
      <c r="A2772" s="2">
        <f>IFERROR(__xludf.DUMMYFUNCTION("""COMPUTED_VALUE"""),45026.64583333333)</f>
        <v>45026.64583</v>
      </c>
      <c r="B2772" s="1">
        <f>IFERROR(__xludf.DUMMYFUNCTION("""COMPUTED_VALUE"""),10140.0)</f>
        <v>10140</v>
      </c>
      <c r="C2772" s="1">
        <f>IFERROR(__xludf.DUMMYFUNCTION("""COMPUTED_VALUE"""),10140.0)</f>
        <v>10140</v>
      </c>
      <c r="D2772" s="1">
        <f>IFERROR(__xludf.DUMMYFUNCTION("""COMPUTED_VALUE"""),9930.0)</f>
        <v>9930</v>
      </c>
      <c r="E2772" s="1">
        <f>IFERROR(__xludf.DUMMYFUNCTION("""COMPUTED_VALUE"""),9970.0)</f>
        <v>9970</v>
      </c>
      <c r="F2772" s="1">
        <f>IFERROR(__xludf.DUMMYFUNCTION("""COMPUTED_VALUE"""),22167.0)</f>
        <v>22167</v>
      </c>
    </row>
    <row r="2773">
      <c r="A2773" s="2">
        <f>IFERROR(__xludf.DUMMYFUNCTION("""COMPUTED_VALUE"""),45027.64583333333)</f>
        <v>45027.64583</v>
      </c>
      <c r="B2773" s="1">
        <f>IFERROR(__xludf.DUMMYFUNCTION("""COMPUTED_VALUE"""),10070.0)</f>
        <v>10070</v>
      </c>
      <c r="C2773" s="1">
        <f>IFERROR(__xludf.DUMMYFUNCTION("""COMPUTED_VALUE"""),10100.0)</f>
        <v>10100</v>
      </c>
      <c r="D2773" s="1">
        <f>IFERROR(__xludf.DUMMYFUNCTION("""COMPUTED_VALUE"""),9910.0)</f>
        <v>9910</v>
      </c>
      <c r="E2773" s="1">
        <f>IFERROR(__xludf.DUMMYFUNCTION("""COMPUTED_VALUE"""),10090.0)</f>
        <v>10090</v>
      </c>
      <c r="F2773" s="1">
        <f>IFERROR(__xludf.DUMMYFUNCTION("""COMPUTED_VALUE"""),17198.0)</f>
        <v>17198</v>
      </c>
    </row>
    <row r="2774">
      <c r="A2774" s="2">
        <f>IFERROR(__xludf.DUMMYFUNCTION("""COMPUTED_VALUE"""),45028.64583333333)</f>
        <v>45028.64583</v>
      </c>
      <c r="B2774" s="1">
        <f>IFERROR(__xludf.DUMMYFUNCTION("""COMPUTED_VALUE"""),10050.0)</f>
        <v>10050</v>
      </c>
      <c r="C2774" s="1">
        <f>IFERROR(__xludf.DUMMYFUNCTION("""COMPUTED_VALUE"""),10180.0)</f>
        <v>10180</v>
      </c>
      <c r="D2774" s="1">
        <f>IFERROR(__xludf.DUMMYFUNCTION("""COMPUTED_VALUE"""),10050.0)</f>
        <v>10050</v>
      </c>
      <c r="E2774" s="1">
        <f>IFERROR(__xludf.DUMMYFUNCTION("""COMPUTED_VALUE"""),10080.0)</f>
        <v>10080</v>
      </c>
      <c r="F2774" s="1">
        <f>IFERROR(__xludf.DUMMYFUNCTION("""COMPUTED_VALUE"""),15462.0)</f>
        <v>15462</v>
      </c>
    </row>
    <row r="2775">
      <c r="A2775" s="2">
        <f>IFERROR(__xludf.DUMMYFUNCTION("""COMPUTED_VALUE"""),45029.64583333333)</f>
        <v>45029.64583</v>
      </c>
      <c r="B2775" s="1">
        <f>IFERROR(__xludf.DUMMYFUNCTION("""COMPUTED_VALUE"""),10180.0)</f>
        <v>10180</v>
      </c>
      <c r="C2775" s="1">
        <f>IFERROR(__xludf.DUMMYFUNCTION("""COMPUTED_VALUE"""),10240.0)</f>
        <v>10240</v>
      </c>
      <c r="D2775" s="1">
        <f>IFERROR(__xludf.DUMMYFUNCTION("""COMPUTED_VALUE"""),10020.0)</f>
        <v>10020</v>
      </c>
      <c r="E2775" s="1">
        <f>IFERROR(__xludf.DUMMYFUNCTION("""COMPUTED_VALUE"""),10170.0)</f>
        <v>10170</v>
      </c>
      <c r="F2775" s="1">
        <f>IFERROR(__xludf.DUMMYFUNCTION("""COMPUTED_VALUE"""),23977.0)</f>
        <v>23977</v>
      </c>
    </row>
    <row r="2776">
      <c r="A2776" s="2">
        <f>IFERROR(__xludf.DUMMYFUNCTION("""COMPUTED_VALUE"""),45030.64583333333)</f>
        <v>45030.64583</v>
      </c>
      <c r="B2776" s="1">
        <f>IFERROR(__xludf.DUMMYFUNCTION("""COMPUTED_VALUE"""),10190.0)</f>
        <v>10190</v>
      </c>
      <c r="C2776" s="1">
        <f>IFERROR(__xludf.DUMMYFUNCTION("""COMPUTED_VALUE"""),10270.0)</f>
        <v>10270</v>
      </c>
      <c r="D2776" s="1">
        <f>IFERROR(__xludf.DUMMYFUNCTION("""COMPUTED_VALUE"""),10100.0)</f>
        <v>10100</v>
      </c>
      <c r="E2776" s="1">
        <f>IFERROR(__xludf.DUMMYFUNCTION("""COMPUTED_VALUE"""),10240.0)</f>
        <v>10240</v>
      </c>
      <c r="F2776" s="1">
        <f>IFERROR(__xludf.DUMMYFUNCTION("""COMPUTED_VALUE"""),13928.0)</f>
        <v>13928</v>
      </c>
    </row>
    <row r="2777">
      <c r="A2777" s="2">
        <f>IFERROR(__xludf.DUMMYFUNCTION("""COMPUTED_VALUE"""),45033.64583333333)</f>
        <v>45033.64583</v>
      </c>
      <c r="B2777" s="1">
        <f>IFERROR(__xludf.DUMMYFUNCTION("""COMPUTED_VALUE"""),10200.0)</f>
        <v>10200</v>
      </c>
      <c r="C2777" s="1">
        <f>IFERROR(__xludf.DUMMYFUNCTION("""COMPUTED_VALUE"""),10290.0)</f>
        <v>10290</v>
      </c>
      <c r="D2777" s="1">
        <f>IFERROR(__xludf.DUMMYFUNCTION("""COMPUTED_VALUE"""),10140.0)</f>
        <v>10140</v>
      </c>
      <c r="E2777" s="1">
        <f>IFERROR(__xludf.DUMMYFUNCTION("""COMPUTED_VALUE"""),10220.0)</f>
        <v>10220</v>
      </c>
      <c r="F2777" s="1">
        <f>IFERROR(__xludf.DUMMYFUNCTION("""COMPUTED_VALUE"""),10052.0)</f>
        <v>10052</v>
      </c>
    </row>
    <row r="2778">
      <c r="A2778" s="2">
        <f>IFERROR(__xludf.DUMMYFUNCTION("""COMPUTED_VALUE"""),45034.64583333333)</f>
        <v>45034.64583</v>
      </c>
      <c r="B2778" s="1">
        <f>IFERROR(__xludf.DUMMYFUNCTION("""COMPUTED_VALUE"""),10130.0)</f>
        <v>10130</v>
      </c>
      <c r="C2778" s="1">
        <f>IFERROR(__xludf.DUMMYFUNCTION("""COMPUTED_VALUE"""),10220.0)</f>
        <v>10220</v>
      </c>
      <c r="D2778" s="1">
        <f>IFERROR(__xludf.DUMMYFUNCTION("""COMPUTED_VALUE"""),10100.0)</f>
        <v>10100</v>
      </c>
      <c r="E2778" s="1">
        <f>IFERROR(__xludf.DUMMYFUNCTION("""COMPUTED_VALUE"""),10100.0)</f>
        <v>10100</v>
      </c>
      <c r="F2778" s="1">
        <f>IFERROR(__xludf.DUMMYFUNCTION("""COMPUTED_VALUE"""),32319.0)</f>
        <v>32319</v>
      </c>
    </row>
    <row r="2779">
      <c r="A2779" s="2">
        <f>IFERROR(__xludf.DUMMYFUNCTION("""COMPUTED_VALUE"""),45035.64583333333)</f>
        <v>45035.64583</v>
      </c>
      <c r="B2779" s="1">
        <f>IFERROR(__xludf.DUMMYFUNCTION("""COMPUTED_VALUE"""),10200.0)</f>
        <v>10200</v>
      </c>
      <c r="C2779" s="1">
        <f>IFERROR(__xludf.DUMMYFUNCTION("""COMPUTED_VALUE"""),10240.0)</f>
        <v>10240</v>
      </c>
      <c r="D2779" s="1">
        <f>IFERROR(__xludf.DUMMYFUNCTION("""COMPUTED_VALUE"""),10070.0)</f>
        <v>10070</v>
      </c>
      <c r="E2779" s="1">
        <f>IFERROR(__xludf.DUMMYFUNCTION("""COMPUTED_VALUE"""),10180.0)</f>
        <v>10180</v>
      </c>
      <c r="F2779" s="1">
        <f>IFERROR(__xludf.DUMMYFUNCTION("""COMPUTED_VALUE"""),22827.0)</f>
        <v>22827</v>
      </c>
    </row>
    <row r="2780">
      <c r="A2780" s="2">
        <f>IFERROR(__xludf.DUMMYFUNCTION("""COMPUTED_VALUE"""),45036.64583333333)</f>
        <v>45036.64583</v>
      </c>
      <c r="B2780" s="1">
        <f>IFERROR(__xludf.DUMMYFUNCTION("""COMPUTED_VALUE"""),10100.0)</f>
        <v>10100</v>
      </c>
      <c r="C2780" s="1">
        <f>IFERROR(__xludf.DUMMYFUNCTION("""COMPUTED_VALUE"""),10440.0)</f>
        <v>10440</v>
      </c>
      <c r="D2780" s="1">
        <f>IFERROR(__xludf.DUMMYFUNCTION("""COMPUTED_VALUE"""),10100.0)</f>
        <v>10100</v>
      </c>
      <c r="E2780" s="1">
        <f>IFERROR(__xludf.DUMMYFUNCTION("""COMPUTED_VALUE"""),10330.0)</f>
        <v>10330</v>
      </c>
      <c r="F2780" s="1">
        <f>IFERROR(__xludf.DUMMYFUNCTION("""COMPUTED_VALUE"""),42498.0)</f>
        <v>42498</v>
      </c>
    </row>
    <row r="2781">
      <c r="A2781" s="2">
        <f>IFERROR(__xludf.DUMMYFUNCTION("""COMPUTED_VALUE"""),45037.64583333333)</f>
        <v>45037.64583</v>
      </c>
      <c r="B2781" s="1">
        <f>IFERROR(__xludf.DUMMYFUNCTION("""COMPUTED_VALUE"""),10430.0)</f>
        <v>10430</v>
      </c>
      <c r="C2781" s="1">
        <f>IFERROR(__xludf.DUMMYFUNCTION("""COMPUTED_VALUE"""),10840.0)</f>
        <v>10840</v>
      </c>
      <c r="D2781" s="1">
        <f>IFERROR(__xludf.DUMMYFUNCTION("""COMPUTED_VALUE"""),10370.0)</f>
        <v>10370</v>
      </c>
      <c r="E2781" s="1">
        <f>IFERROR(__xludf.DUMMYFUNCTION("""COMPUTED_VALUE"""),10530.0)</f>
        <v>10530</v>
      </c>
      <c r="F2781" s="1">
        <f>IFERROR(__xludf.DUMMYFUNCTION("""COMPUTED_VALUE"""),121018.0)</f>
        <v>121018</v>
      </c>
    </row>
    <row r="2782">
      <c r="A2782" s="2">
        <f>IFERROR(__xludf.DUMMYFUNCTION("""COMPUTED_VALUE"""),45040.64583333333)</f>
        <v>45040.64583</v>
      </c>
      <c r="B2782" s="1">
        <f>IFERROR(__xludf.DUMMYFUNCTION("""COMPUTED_VALUE"""),10540.0)</f>
        <v>10540</v>
      </c>
      <c r="C2782" s="1">
        <f>IFERROR(__xludf.DUMMYFUNCTION("""COMPUTED_VALUE"""),10540.0)</f>
        <v>10540</v>
      </c>
      <c r="D2782" s="1">
        <f>IFERROR(__xludf.DUMMYFUNCTION("""COMPUTED_VALUE"""),10270.0)</f>
        <v>10270</v>
      </c>
      <c r="E2782" s="1">
        <f>IFERROR(__xludf.DUMMYFUNCTION("""COMPUTED_VALUE"""),10390.0)</f>
        <v>10390</v>
      </c>
      <c r="F2782" s="1">
        <f>IFERROR(__xludf.DUMMYFUNCTION("""COMPUTED_VALUE"""),28209.0)</f>
        <v>28209</v>
      </c>
    </row>
    <row r="2783">
      <c r="A2783" s="2">
        <f>IFERROR(__xludf.DUMMYFUNCTION("""COMPUTED_VALUE"""),45041.64583333333)</f>
        <v>45041.64583</v>
      </c>
      <c r="B2783" s="1">
        <f>IFERROR(__xludf.DUMMYFUNCTION("""COMPUTED_VALUE"""),10390.0)</f>
        <v>10390</v>
      </c>
      <c r="C2783" s="1">
        <f>IFERROR(__xludf.DUMMYFUNCTION("""COMPUTED_VALUE"""),10450.0)</f>
        <v>10450</v>
      </c>
      <c r="D2783" s="1">
        <f>IFERROR(__xludf.DUMMYFUNCTION("""COMPUTED_VALUE"""),10140.0)</f>
        <v>10140</v>
      </c>
      <c r="E2783" s="1">
        <f>IFERROR(__xludf.DUMMYFUNCTION("""COMPUTED_VALUE"""),10230.0)</f>
        <v>10230</v>
      </c>
      <c r="F2783" s="1">
        <f>IFERROR(__xludf.DUMMYFUNCTION("""COMPUTED_VALUE"""),24012.0)</f>
        <v>24012</v>
      </c>
    </row>
    <row r="2784">
      <c r="A2784" s="2">
        <f>IFERROR(__xludf.DUMMYFUNCTION("""COMPUTED_VALUE"""),45042.64583333333)</f>
        <v>45042.64583</v>
      </c>
      <c r="B2784" s="1">
        <f>IFERROR(__xludf.DUMMYFUNCTION("""COMPUTED_VALUE"""),10170.0)</f>
        <v>10170</v>
      </c>
      <c r="C2784" s="1">
        <f>IFERROR(__xludf.DUMMYFUNCTION("""COMPUTED_VALUE"""),10350.0)</f>
        <v>10350</v>
      </c>
      <c r="D2784" s="1">
        <f>IFERROR(__xludf.DUMMYFUNCTION("""COMPUTED_VALUE"""),10110.0)</f>
        <v>10110</v>
      </c>
      <c r="E2784" s="1">
        <f>IFERROR(__xludf.DUMMYFUNCTION("""COMPUTED_VALUE"""),10190.0)</f>
        <v>10190</v>
      </c>
      <c r="F2784" s="1">
        <f>IFERROR(__xludf.DUMMYFUNCTION("""COMPUTED_VALUE"""),22577.0)</f>
        <v>22577</v>
      </c>
    </row>
    <row r="2785">
      <c r="A2785" s="2">
        <f>IFERROR(__xludf.DUMMYFUNCTION("""COMPUTED_VALUE"""),45043.64583333333)</f>
        <v>45043.64583</v>
      </c>
      <c r="B2785" s="1">
        <f>IFERROR(__xludf.DUMMYFUNCTION("""COMPUTED_VALUE"""),10120.0)</f>
        <v>10120</v>
      </c>
      <c r="C2785" s="1">
        <f>IFERROR(__xludf.DUMMYFUNCTION("""COMPUTED_VALUE"""),10190.0)</f>
        <v>10190</v>
      </c>
      <c r="D2785" s="1">
        <f>IFERROR(__xludf.DUMMYFUNCTION("""COMPUTED_VALUE"""),10070.0)</f>
        <v>10070</v>
      </c>
      <c r="E2785" s="1">
        <f>IFERROR(__xludf.DUMMYFUNCTION("""COMPUTED_VALUE"""),10070.0)</f>
        <v>10070</v>
      </c>
      <c r="F2785" s="1">
        <f>IFERROR(__xludf.DUMMYFUNCTION("""COMPUTED_VALUE"""),15016.0)</f>
        <v>15016</v>
      </c>
    </row>
    <row r="2786">
      <c r="A2786" s="2">
        <f>IFERROR(__xludf.DUMMYFUNCTION("""COMPUTED_VALUE"""),45044.64583333333)</f>
        <v>45044.64583</v>
      </c>
      <c r="B2786" s="1">
        <f>IFERROR(__xludf.DUMMYFUNCTION("""COMPUTED_VALUE"""),10050.0)</f>
        <v>10050</v>
      </c>
      <c r="C2786" s="1">
        <f>IFERROR(__xludf.DUMMYFUNCTION("""COMPUTED_VALUE"""),10110.0)</f>
        <v>10110</v>
      </c>
      <c r="D2786" s="1">
        <f>IFERROR(__xludf.DUMMYFUNCTION("""COMPUTED_VALUE"""),9980.0)</f>
        <v>9980</v>
      </c>
      <c r="E2786" s="1">
        <f>IFERROR(__xludf.DUMMYFUNCTION("""COMPUTED_VALUE"""),10070.0)</f>
        <v>10070</v>
      </c>
      <c r="F2786" s="1">
        <f>IFERROR(__xludf.DUMMYFUNCTION("""COMPUTED_VALUE"""),21414.0)</f>
        <v>21414</v>
      </c>
    </row>
    <row r="2787">
      <c r="A2787" s="2">
        <f>IFERROR(__xludf.DUMMYFUNCTION("""COMPUTED_VALUE"""),45048.64583333333)</f>
        <v>45048.64583</v>
      </c>
      <c r="B2787" s="1">
        <f>IFERROR(__xludf.DUMMYFUNCTION("""COMPUTED_VALUE"""),10080.0)</f>
        <v>10080</v>
      </c>
      <c r="C2787" s="1">
        <f>IFERROR(__xludf.DUMMYFUNCTION("""COMPUTED_VALUE"""),10170.0)</f>
        <v>10170</v>
      </c>
      <c r="D2787" s="1">
        <f>IFERROR(__xludf.DUMMYFUNCTION("""COMPUTED_VALUE"""),10060.0)</f>
        <v>10060</v>
      </c>
      <c r="E2787" s="1">
        <f>IFERROR(__xludf.DUMMYFUNCTION("""COMPUTED_VALUE"""),10110.0)</f>
        <v>10110</v>
      </c>
      <c r="F2787" s="1">
        <f>IFERROR(__xludf.DUMMYFUNCTION("""COMPUTED_VALUE"""),9910.0)</f>
        <v>9910</v>
      </c>
    </row>
    <row r="2788">
      <c r="A2788" s="2">
        <f>IFERROR(__xludf.DUMMYFUNCTION("""COMPUTED_VALUE"""),45049.64583333333)</f>
        <v>45049.64583</v>
      </c>
      <c r="B2788" s="1">
        <f>IFERROR(__xludf.DUMMYFUNCTION("""COMPUTED_VALUE"""),10000.0)</f>
        <v>10000</v>
      </c>
      <c r="C2788" s="1">
        <f>IFERROR(__xludf.DUMMYFUNCTION("""COMPUTED_VALUE"""),10260.0)</f>
        <v>10260</v>
      </c>
      <c r="D2788" s="1">
        <f>IFERROR(__xludf.DUMMYFUNCTION("""COMPUTED_VALUE"""),10000.0)</f>
        <v>10000</v>
      </c>
      <c r="E2788" s="1">
        <f>IFERROR(__xludf.DUMMYFUNCTION("""COMPUTED_VALUE"""),10230.0)</f>
        <v>10230</v>
      </c>
      <c r="F2788" s="1">
        <f>IFERROR(__xludf.DUMMYFUNCTION("""COMPUTED_VALUE"""),16833.0)</f>
        <v>16833</v>
      </c>
    </row>
    <row r="2789">
      <c r="A2789" s="2">
        <f>IFERROR(__xludf.DUMMYFUNCTION("""COMPUTED_VALUE"""),45050.64583333333)</f>
        <v>45050.64583</v>
      </c>
      <c r="B2789" s="1">
        <f>IFERROR(__xludf.DUMMYFUNCTION("""COMPUTED_VALUE"""),10230.0)</f>
        <v>10230</v>
      </c>
      <c r="C2789" s="1">
        <f>IFERROR(__xludf.DUMMYFUNCTION("""COMPUTED_VALUE"""),10250.0)</f>
        <v>10250</v>
      </c>
      <c r="D2789" s="1">
        <f>IFERROR(__xludf.DUMMYFUNCTION("""COMPUTED_VALUE"""),10140.0)</f>
        <v>10140</v>
      </c>
      <c r="E2789" s="1">
        <f>IFERROR(__xludf.DUMMYFUNCTION("""COMPUTED_VALUE"""),10170.0)</f>
        <v>10170</v>
      </c>
      <c r="F2789" s="1">
        <f>IFERROR(__xludf.DUMMYFUNCTION("""COMPUTED_VALUE"""),15277.0)</f>
        <v>15277</v>
      </c>
    </row>
    <row r="2790">
      <c r="A2790" s="2">
        <f>IFERROR(__xludf.DUMMYFUNCTION("""COMPUTED_VALUE"""),45054.64583333333)</f>
        <v>45054.64583</v>
      </c>
      <c r="B2790" s="1">
        <f>IFERROR(__xludf.DUMMYFUNCTION("""COMPUTED_VALUE"""),10200.0)</f>
        <v>10200</v>
      </c>
      <c r="C2790" s="1">
        <f>IFERROR(__xludf.DUMMYFUNCTION("""COMPUTED_VALUE"""),10350.0)</f>
        <v>10350</v>
      </c>
      <c r="D2790" s="1">
        <f>IFERROR(__xludf.DUMMYFUNCTION("""COMPUTED_VALUE"""),10150.0)</f>
        <v>10150</v>
      </c>
      <c r="E2790" s="1">
        <f>IFERROR(__xludf.DUMMYFUNCTION("""COMPUTED_VALUE"""),10290.0)</f>
        <v>10290</v>
      </c>
      <c r="F2790" s="1">
        <f>IFERROR(__xludf.DUMMYFUNCTION("""COMPUTED_VALUE"""),19044.0)</f>
        <v>19044</v>
      </c>
    </row>
    <row r="2791">
      <c r="A2791" s="2">
        <f>IFERROR(__xludf.DUMMYFUNCTION("""COMPUTED_VALUE"""),45055.64583333333)</f>
        <v>45055.64583</v>
      </c>
      <c r="B2791" s="1">
        <f>IFERROR(__xludf.DUMMYFUNCTION("""COMPUTED_VALUE"""),10200.0)</f>
        <v>10200</v>
      </c>
      <c r="C2791" s="1">
        <f>IFERROR(__xludf.DUMMYFUNCTION("""COMPUTED_VALUE"""),10360.0)</f>
        <v>10360</v>
      </c>
      <c r="D2791" s="1">
        <f>IFERROR(__xludf.DUMMYFUNCTION("""COMPUTED_VALUE"""),10200.0)</f>
        <v>10200</v>
      </c>
      <c r="E2791" s="1">
        <f>IFERROR(__xludf.DUMMYFUNCTION("""COMPUTED_VALUE"""),10320.0)</f>
        <v>10320</v>
      </c>
      <c r="F2791" s="1">
        <f>IFERROR(__xludf.DUMMYFUNCTION("""COMPUTED_VALUE"""),15146.0)</f>
        <v>15146</v>
      </c>
    </row>
    <row r="2792">
      <c r="A2792" s="2">
        <f>IFERROR(__xludf.DUMMYFUNCTION("""COMPUTED_VALUE"""),45056.64583333333)</f>
        <v>45056.64583</v>
      </c>
      <c r="B2792" s="1">
        <f>IFERROR(__xludf.DUMMYFUNCTION("""COMPUTED_VALUE"""),10270.0)</f>
        <v>10270</v>
      </c>
      <c r="C2792" s="1">
        <f>IFERROR(__xludf.DUMMYFUNCTION("""COMPUTED_VALUE"""),10480.0)</f>
        <v>10480</v>
      </c>
      <c r="D2792" s="1">
        <f>IFERROR(__xludf.DUMMYFUNCTION("""COMPUTED_VALUE"""),10260.0)</f>
        <v>10260</v>
      </c>
      <c r="E2792" s="1">
        <f>IFERROR(__xludf.DUMMYFUNCTION("""COMPUTED_VALUE"""),10360.0)</f>
        <v>10360</v>
      </c>
      <c r="F2792" s="1">
        <f>IFERROR(__xludf.DUMMYFUNCTION("""COMPUTED_VALUE"""),18119.0)</f>
        <v>18119</v>
      </c>
    </row>
    <row r="2793">
      <c r="A2793" s="2">
        <f>IFERROR(__xludf.DUMMYFUNCTION("""COMPUTED_VALUE"""),45057.64583333333)</f>
        <v>45057.64583</v>
      </c>
      <c r="B2793" s="1">
        <f>IFERROR(__xludf.DUMMYFUNCTION("""COMPUTED_VALUE"""),10360.0)</f>
        <v>10360</v>
      </c>
      <c r="C2793" s="1">
        <f>IFERROR(__xludf.DUMMYFUNCTION("""COMPUTED_VALUE"""),10440.0)</f>
        <v>10440</v>
      </c>
      <c r="D2793" s="1">
        <f>IFERROR(__xludf.DUMMYFUNCTION("""COMPUTED_VALUE"""),10340.0)</f>
        <v>10340</v>
      </c>
      <c r="E2793" s="1">
        <f>IFERROR(__xludf.DUMMYFUNCTION("""COMPUTED_VALUE"""),10390.0)</f>
        <v>10390</v>
      </c>
      <c r="F2793" s="1">
        <f>IFERROR(__xludf.DUMMYFUNCTION("""COMPUTED_VALUE"""),12405.0)</f>
        <v>12405</v>
      </c>
    </row>
    <row r="2794">
      <c r="A2794" s="2">
        <f>IFERROR(__xludf.DUMMYFUNCTION("""COMPUTED_VALUE"""),45058.64583333333)</f>
        <v>45058.64583</v>
      </c>
      <c r="B2794" s="1">
        <f>IFERROR(__xludf.DUMMYFUNCTION("""COMPUTED_VALUE"""),10390.0)</f>
        <v>10390</v>
      </c>
      <c r="C2794" s="1">
        <f>IFERROR(__xludf.DUMMYFUNCTION("""COMPUTED_VALUE"""),10470.0)</f>
        <v>10470</v>
      </c>
      <c r="D2794" s="1">
        <f>IFERROR(__xludf.DUMMYFUNCTION("""COMPUTED_VALUE"""),10180.0)</f>
        <v>10180</v>
      </c>
      <c r="E2794" s="1">
        <f>IFERROR(__xludf.DUMMYFUNCTION("""COMPUTED_VALUE"""),10180.0)</f>
        <v>10180</v>
      </c>
      <c r="F2794" s="1">
        <f>IFERROR(__xludf.DUMMYFUNCTION("""COMPUTED_VALUE"""),14191.0)</f>
        <v>14191</v>
      </c>
    </row>
    <row r="2795">
      <c r="A2795" s="2">
        <f>IFERROR(__xludf.DUMMYFUNCTION("""COMPUTED_VALUE"""),45061.64583333333)</f>
        <v>45061.64583</v>
      </c>
      <c r="B2795" s="1">
        <f>IFERROR(__xludf.DUMMYFUNCTION("""COMPUTED_VALUE"""),10180.0)</f>
        <v>10180</v>
      </c>
      <c r="C2795" s="1">
        <f>IFERROR(__xludf.DUMMYFUNCTION("""COMPUTED_VALUE"""),10260.0)</f>
        <v>10260</v>
      </c>
      <c r="D2795" s="1">
        <f>IFERROR(__xludf.DUMMYFUNCTION("""COMPUTED_VALUE"""),10090.0)</f>
        <v>10090</v>
      </c>
      <c r="E2795" s="1">
        <f>IFERROR(__xludf.DUMMYFUNCTION("""COMPUTED_VALUE"""),10150.0)</f>
        <v>10150</v>
      </c>
      <c r="F2795" s="1">
        <f>IFERROR(__xludf.DUMMYFUNCTION("""COMPUTED_VALUE"""),12653.0)</f>
        <v>12653</v>
      </c>
    </row>
    <row r="2796">
      <c r="A2796" s="2">
        <f>IFERROR(__xludf.DUMMYFUNCTION("""COMPUTED_VALUE"""),45062.64583333333)</f>
        <v>45062.64583</v>
      </c>
      <c r="B2796" s="1">
        <f>IFERROR(__xludf.DUMMYFUNCTION("""COMPUTED_VALUE"""),10160.0)</f>
        <v>10160</v>
      </c>
      <c r="C2796" s="1">
        <f>IFERROR(__xludf.DUMMYFUNCTION("""COMPUTED_VALUE"""),10300.0)</f>
        <v>10300</v>
      </c>
      <c r="D2796" s="1">
        <f>IFERROR(__xludf.DUMMYFUNCTION("""COMPUTED_VALUE"""),10160.0)</f>
        <v>10160</v>
      </c>
      <c r="E2796" s="1">
        <f>IFERROR(__xludf.DUMMYFUNCTION("""COMPUTED_VALUE"""),10300.0)</f>
        <v>10300</v>
      </c>
      <c r="F2796" s="1">
        <f>IFERROR(__xludf.DUMMYFUNCTION("""COMPUTED_VALUE"""),15052.0)</f>
        <v>15052</v>
      </c>
    </row>
    <row r="2797">
      <c r="A2797" s="2">
        <f>IFERROR(__xludf.DUMMYFUNCTION("""COMPUTED_VALUE"""),45063.64583333333)</f>
        <v>45063.64583</v>
      </c>
      <c r="B2797" s="1">
        <f>IFERROR(__xludf.DUMMYFUNCTION("""COMPUTED_VALUE"""),10300.0)</f>
        <v>10300</v>
      </c>
      <c r="C2797" s="1">
        <f>IFERROR(__xludf.DUMMYFUNCTION("""COMPUTED_VALUE"""),10400.0)</f>
        <v>10400</v>
      </c>
      <c r="D2797" s="1">
        <f>IFERROR(__xludf.DUMMYFUNCTION("""COMPUTED_VALUE"""),10260.0)</f>
        <v>10260</v>
      </c>
      <c r="E2797" s="1">
        <f>IFERROR(__xludf.DUMMYFUNCTION("""COMPUTED_VALUE"""),10340.0)</f>
        <v>10340</v>
      </c>
      <c r="F2797" s="1">
        <f>IFERROR(__xludf.DUMMYFUNCTION("""COMPUTED_VALUE"""),32126.0)</f>
        <v>32126</v>
      </c>
    </row>
    <row r="2798">
      <c r="A2798" s="2">
        <f>IFERROR(__xludf.DUMMYFUNCTION("""COMPUTED_VALUE"""),45064.64583333333)</f>
        <v>45064.64583</v>
      </c>
      <c r="B2798" s="1">
        <f>IFERROR(__xludf.DUMMYFUNCTION("""COMPUTED_VALUE"""),10340.0)</f>
        <v>10340</v>
      </c>
      <c r="C2798" s="1">
        <f>IFERROR(__xludf.DUMMYFUNCTION("""COMPUTED_VALUE"""),10430.0)</f>
        <v>10430</v>
      </c>
      <c r="D2798" s="1">
        <f>IFERROR(__xludf.DUMMYFUNCTION("""COMPUTED_VALUE"""),10320.0)</f>
        <v>10320</v>
      </c>
      <c r="E2798" s="1">
        <f>IFERROR(__xludf.DUMMYFUNCTION("""COMPUTED_VALUE"""),10340.0)</f>
        <v>10340</v>
      </c>
      <c r="F2798" s="1">
        <f>IFERROR(__xludf.DUMMYFUNCTION("""COMPUTED_VALUE"""),16045.0)</f>
        <v>16045</v>
      </c>
    </row>
    <row r="2799">
      <c r="A2799" s="2">
        <f>IFERROR(__xludf.DUMMYFUNCTION("""COMPUTED_VALUE"""),45065.64583333333)</f>
        <v>45065.64583</v>
      </c>
      <c r="B2799" s="1">
        <f>IFERROR(__xludf.DUMMYFUNCTION("""COMPUTED_VALUE"""),10450.0)</f>
        <v>10450</v>
      </c>
      <c r="C2799" s="1">
        <f>IFERROR(__xludf.DUMMYFUNCTION("""COMPUTED_VALUE"""),10540.0)</f>
        <v>10540</v>
      </c>
      <c r="D2799" s="1">
        <f>IFERROR(__xludf.DUMMYFUNCTION("""COMPUTED_VALUE"""),10400.0)</f>
        <v>10400</v>
      </c>
      <c r="E2799" s="1">
        <f>IFERROR(__xludf.DUMMYFUNCTION("""COMPUTED_VALUE"""),10530.0)</f>
        <v>10530</v>
      </c>
      <c r="F2799" s="1">
        <f>IFERROR(__xludf.DUMMYFUNCTION("""COMPUTED_VALUE"""),38742.0)</f>
        <v>38742</v>
      </c>
    </row>
    <row r="2800">
      <c r="A2800" s="2">
        <f>IFERROR(__xludf.DUMMYFUNCTION("""COMPUTED_VALUE"""),45068.64583333333)</f>
        <v>45068.64583</v>
      </c>
      <c r="B2800" s="1">
        <f>IFERROR(__xludf.DUMMYFUNCTION("""COMPUTED_VALUE"""),10600.0)</f>
        <v>10600</v>
      </c>
      <c r="C2800" s="1">
        <f>IFERROR(__xludf.DUMMYFUNCTION("""COMPUTED_VALUE"""),10740.0)</f>
        <v>10740</v>
      </c>
      <c r="D2800" s="1">
        <f>IFERROR(__xludf.DUMMYFUNCTION("""COMPUTED_VALUE"""),10550.0)</f>
        <v>10550</v>
      </c>
      <c r="E2800" s="1">
        <f>IFERROR(__xludf.DUMMYFUNCTION("""COMPUTED_VALUE"""),10690.0)</f>
        <v>10690</v>
      </c>
      <c r="F2800" s="1">
        <f>IFERROR(__xludf.DUMMYFUNCTION("""COMPUTED_VALUE"""),40995.0)</f>
        <v>40995</v>
      </c>
    </row>
    <row r="2801">
      <c r="A2801" s="2">
        <f>IFERROR(__xludf.DUMMYFUNCTION("""COMPUTED_VALUE"""),45069.64583333333)</f>
        <v>45069.64583</v>
      </c>
      <c r="B2801" s="1">
        <f>IFERROR(__xludf.DUMMYFUNCTION("""COMPUTED_VALUE"""),10700.0)</f>
        <v>10700</v>
      </c>
      <c r="C2801" s="1">
        <f>IFERROR(__xludf.DUMMYFUNCTION("""COMPUTED_VALUE"""),10780.0)</f>
        <v>10780</v>
      </c>
      <c r="D2801" s="1">
        <f>IFERROR(__xludf.DUMMYFUNCTION("""COMPUTED_VALUE"""),10600.0)</f>
        <v>10600</v>
      </c>
      <c r="E2801" s="1">
        <f>IFERROR(__xludf.DUMMYFUNCTION("""COMPUTED_VALUE"""),10700.0)</f>
        <v>10700</v>
      </c>
      <c r="F2801" s="1">
        <f>IFERROR(__xludf.DUMMYFUNCTION("""COMPUTED_VALUE"""),32771.0)</f>
        <v>32771</v>
      </c>
    </row>
    <row r="2802">
      <c r="A2802" s="2">
        <f>IFERROR(__xludf.DUMMYFUNCTION("""COMPUTED_VALUE"""),45070.64583333333)</f>
        <v>45070.64583</v>
      </c>
      <c r="B2802" s="1">
        <f>IFERROR(__xludf.DUMMYFUNCTION("""COMPUTED_VALUE"""),10750.0)</f>
        <v>10750</v>
      </c>
      <c r="C2802" s="1">
        <f>IFERROR(__xludf.DUMMYFUNCTION("""COMPUTED_VALUE"""),10790.0)</f>
        <v>10790</v>
      </c>
      <c r="D2802" s="1">
        <f>IFERROR(__xludf.DUMMYFUNCTION("""COMPUTED_VALUE"""),10580.0)</f>
        <v>10580</v>
      </c>
      <c r="E2802" s="1">
        <f>IFERROR(__xludf.DUMMYFUNCTION("""COMPUTED_VALUE"""),10740.0)</f>
        <v>10740</v>
      </c>
      <c r="F2802" s="1">
        <f>IFERROR(__xludf.DUMMYFUNCTION("""COMPUTED_VALUE"""),27442.0)</f>
        <v>27442</v>
      </c>
    </row>
    <row r="2803">
      <c r="A2803" s="2">
        <f>IFERROR(__xludf.DUMMYFUNCTION("""COMPUTED_VALUE"""),45071.64583333333)</f>
        <v>45071.64583</v>
      </c>
      <c r="B2803" s="1">
        <f>IFERROR(__xludf.DUMMYFUNCTION("""COMPUTED_VALUE"""),10610.0)</f>
        <v>10610</v>
      </c>
      <c r="C2803" s="1">
        <f>IFERROR(__xludf.DUMMYFUNCTION("""COMPUTED_VALUE"""),10770.0)</f>
        <v>10770</v>
      </c>
      <c r="D2803" s="1">
        <f>IFERROR(__xludf.DUMMYFUNCTION("""COMPUTED_VALUE"""),10570.0)</f>
        <v>10570</v>
      </c>
      <c r="E2803" s="1">
        <f>IFERROR(__xludf.DUMMYFUNCTION("""COMPUTED_VALUE"""),10640.0)</f>
        <v>10640</v>
      </c>
      <c r="F2803" s="1">
        <f>IFERROR(__xludf.DUMMYFUNCTION("""COMPUTED_VALUE"""),17782.0)</f>
        <v>17782</v>
      </c>
    </row>
    <row r="2804">
      <c r="A2804" s="2">
        <f>IFERROR(__xludf.DUMMYFUNCTION("""COMPUTED_VALUE"""),45072.64583333333)</f>
        <v>45072.64583</v>
      </c>
      <c r="B2804" s="1">
        <f>IFERROR(__xludf.DUMMYFUNCTION("""COMPUTED_VALUE"""),10640.0)</f>
        <v>10640</v>
      </c>
      <c r="C2804" s="1">
        <f>IFERROR(__xludf.DUMMYFUNCTION("""COMPUTED_VALUE"""),10730.0)</f>
        <v>10730</v>
      </c>
      <c r="D2804" s="1">
        <f>IFERROR(__xludf.DUMMYFUNCTION("""COMPUTED_VALUE"""),10490.0)</f>
        <v>10490</v>
      </c>
      <c r="E2804" s="1">
        <f>IFERROR(__xludf.DUMMYFUNCTION("""COMPUTED_VALUE"""),10530.0)</f>
        <v>10530</v>
      </c>
      <c r="F2804" s="1">
        <f>IFERROR(__xludf.DUMMYFUNCTION("""COMPUTED_VALUE"""),29383.0)</f>
        <v>29383</v>
      </c>
    </row>
    <row r="2805">
      <c r="A2805" s="2">
        <f>IFERROR(__xludf.DUMMYFUNCTION("""COMPUTED_VALUE"""),45076.64583333333)</f>
        <v>45076.64583</v>
      </c>
      <c r="B2805" s="1">
        <f>IFERROR(__xludf.DUMMYFUNCTION("""COMPUTED_VALUE"""),10500.0)</f>
        <v>10500</v>
      </c>
      <c r="C2805" s="1">
        <f>IFERROR(__xludf.DUMMYFUNCTION("""COMPUTED_VALUE"""),10600.0)</f>
        <v>10600</v>
      </c>
      <c r="D2805" s="1">
        <f>IFERROR(__xludf.DUMMYFUNCTION("""COMPUTED_VALUE"""),10470.0)</f>
        <v>10470</v>
      </c>
      <c r="E2805" s="1">
        <f>IFERROR(__xludf.DUMMYFUNCTION("""COMPUTED_VALUE"""),10500.0)</f>
        <v>10500</v>
      </c>
      <c r="F2805" s="1">
        <f>IFERROR(__xludf.DUMMYFUNCTION("""COMPUTED_VALUE"""),15846.0)</f>
        <v>15846</v>
      </c>
    </row>
    <row r="2806">
      <c r="A2806" s="2">
        <f>IFERROR(__xludf.DUMMYFUNCTION("""COMPUTED_VALUE"""),45077.64583333333)</f>
        <v>45077.64583</v>
      </c>
      <c r="B2806" s="1">
        <f>IFERROR(__xludf.DUMMYFUNCTION("""COMPUTED_VALUE"""),10500.0)</f>
        <v>10500</v>
      </c>
      <c r="C2806" s="1">
        <f>IFERROR(__xludf.DUMMYFUNCTION("""COMPUTED_VALUE"""),10610.0)</f>
        <v>10610</v>
      </c>
      <c r="D2806" s="1">
        <f>IFERROR(__xludf.DUMMYFUNCTION("""COMPUTED_VALUE"""),10470.0)</f>
        <v>10470</v>
      </c>
      <c r="E2806" s="1">
        <f>IFERROR(__xludf.DUMMYFUNCTION("""COMPUTED_VALUE"""),10500.0)</f>
        <v>10500</v>
      </c>
      <c r="F2806" s="1">
        <f>IFERROR(__xludf.DUMMYFUNCTION("""COMPUTED_VALUE"""),22889.0)</f>
        <v>22889</v>
      </c>
    </row>
    <row r="2807">
      <c r="A2807" s="2">
        <f>IFERROR(__xludf.DUMMYFUNCTION("""COMPUTED_VALUE"""),45078.64583333333)</f>
        <v>45078.64583</v>
      </c>
      <c r="B2807" s="1">
        <f>IFERROR(__xludf.DUMMYFUNCTION("""COMPUTED_VALUE"""),10500.0)</f>
        <v>10500</v>
      </c>
      <c r="C2807" s="1">
        <f>IFERROR(__xludf.DUMMYFUNCTION("""COMPUTED_VALUE"""),10520.0)</f>
        <v>10520</v>
      </c>
      <c r="D2807" s="1">
        <f>IFERROR(__xludf.DUMMYFUNCTION("""COMPUTED_VALUE"""),10430.0)</f>
        <v>10430</v>
      </c>
      <c r="E2807" s="1">
        <f>IFERROR(__xludf.DUMMYFUNCTION("""COMPUTED_VALUE"""),10440.0)</f>
        <v>10440</v>
      </c>
      <c r="F2807" s="1">
        <f>IFERROR(__xludf.DUMMYFUNCTION("""COMPUTED_VALUE"""),20884.0)</f>
        <v>20884</v>
      </c>
    </row>
    <row r="2808">
      <c r="A2808" s="2">
        <f>IFERROR(__xludf.DUMMYFUNCTION("""COMPUTED_VALUE"""),45079.64583333333)</f>
        <v>45079.64583</v>
      </c>
      <c r="B2808" s="1">
        <f>IFERROR(__xludf.DUMMYFUNCTION("""COMPUTED_VALUE"""),10400.0)</f>
        <v>10400</v>
      </c>
      <c r="C2808" s="1">
        <f>IFERROR(__xludf.DUMMYFUNCTION("""COMPUTED_VALUE"""),10500.0)</f>
        <v>10500</v>
      </c>
      <c r="D2808" s="1">
        <f>IFERROR(__xludf.DUMMYFUNCTION("""COMPUTED_VALUE"""),10400.0)</f>
        <v>10400</v>
      </c>
      <c r="E2808" s="1">
        <f>IFERROR(__xludf.DUMMYFUNCTION("""COMPUTED_VALUE"""),10430.0)</f>
        <v>10430</v>
      </c>
      <c r="F2808" s="1">
        <f>IFERROR(__xludf.DUMMYFUNCTION("""COMPUTED_VALUE"""),12294.0)</f>
        <v>12294</v>
      </c>
    </row>
    <row r="2809">
      <c r="A2809" s="2">
        <f>IFERROR(__xludf.DUMMYFUNCTION("""COMPUTED_VALUE"""),45082.64583333333)</f>
        <v>45082.64583</v>
      </c>
      <c r="B2809" s="1">
        <f>IFERROR(__xludf.DUMMYFUNCTION("""COMPUTED_VALUE"""),10430.0)</f>
        <v>10430</v>
      </c>
      <c r="C2809" s="1">
        <f>IFERROR(__xludf.DUMMYFUNCTION("""COMPUTED_VALUE"""),10540.0)</f>
        <v>10540</v>
      </c>
      <c r="D2809" s="1">
        <f>IFERROR(__xludf.DUMMYFUNCTION("""COMPUTED_VALUE"""),10400.0)</f>
        <v>10400</v>
      </c>
      <c r="E2809" s="1">
        <f>IFERROR(__xludf.DUMMYFUNCTION("""COMPUTED_VALUE"""),10490.0)</f>
        <v>10490</v>
      </c>
      <c r="F2809" s="1">
        <f>IFERROR(__xludf.DUMMYFUNCTION("""COMPUTED_VALUE"""),13099.0)</f>
        <v>13099</v>
      </c>
    </row>
    <row r="2810">
      <c r="A2810" s="2">
        <f>IFERROR(__xludf.DUMMYFUNCTION("""COMPUTED_VALUE"""),45084.64583333333)</f>
        <v>45084.64583</v>
      </c>
      <c r="B2810" s="1">
        <f>IFERROR(__xludf.DUMMYFUNCTION("""COMPUTED_VALUE"""),10550.0)</f>
        <v>10550</v>
      </c>
      <c r="C2810" s="1">
        <f>IFERROR(__xludf.DUMMYFUNCTION("""COMPUTED_VALUE"""),10610.0)</f>
        <v>10610</v>
      </c>
      <c r="D2810" s="1">
        <f>IFERROR(__xludf.DUMMYFUNCTION("""COMPUTED_VALUE"""),10490.0)</f>
        <v>10490</v>
      </c>
      <c r="E2810" s="1">
        <f>IFERROR(__xludf.DUMMYFUNCTION("""COMPUTED_VALUE"""),10550.0)</f>
        <v>10550</v>
      </c>
      <c r="F2810" s="1">
        <f>IFERROR(__xludf.DUMMYFUNCTION("""COMPUTED_VALUE"""),26241.0)</f>
        <v>26241</v>
      </c>
    </row>
    <row r="2811">
      <c r="A2811" s="2">
        <f>IFERROR(__xludf.DUMMYFUNCTION("""COMPUTED_VALUE"""),45085.64583333333)</f>
        <v>45085.64583</v>
      </c>
      <c r="B2811" s="1">
        <f>IFERROR(__xludf.DUMMYFUNCTION("""COMPUTED_VALUE"""),10650.0)</f>
        <v>10650</v>
      </c>
      <c r="C2811" s="1">
        <f>IFERROR(__xludf.DUMMYFUNCTION("""COMPUTED_VALUE"""),10860.0)</f>
        <v>10860</v>
      </c>
      <c r="D2811" s="1">
        <f>IFERROR(__xludf.DUMMYFUNCTION("""COMPUTED_VALUE"""),10610.0)</f>
        <v>10610</v>
      </c>
      <c r="E2811" s="1">
        <f>IFERROR(__xludf.DUMMYFUNCTION("""COMPUTED_VALUE"""),10630.0)</f>
        <v>10630</v>
      </c>
      <c r="F2811" s="1">
        <f>IFERROR(__xludf.DUMMYFUNCTION("""COMPUTED_VALUE"""),58344.0)</f>
        <v>58344</v>
      </c>
    </row>
    <row r="2812">
      <c r="A2812" s="2">
        <f>IFERROR(__xludf.DUMMYFUNCTION("""COMPUTED_VALUE"""),45086.64583333333)</f>
        <v>45086.64583</v>
      </c>
      <c r="B2812" s="1">
        <f>IFERROR(__xludf.DUMMYFUNCTION("""COMPUTED_VALUE"""),10730.0)</f>
        <v>10730</v>
      </c>
      <c r="C2812" s="1">
        <f>IFERROR(__xludf.DUMMYFUNCTION("""COMPUTED_VALUE"""),10780.0)</f>
        <v>10780</v>
      </c>
      <c r="D2812" s="1">
        <f>IFERROR(__xludf.DUMMYFUNCTION("""COMPUTED_VALUE"""),10460.0)</f>
        <v>10460</v>
      </c>
      <c r="E2812" s="1">
        <f>IFERROR(__xludf.DUMMYFUNCTION("""COMPUTED_VALUE"""),10490.0)</f>
        <v>10490</v>
      </c>
      <c r="F2812" s="1">
        <f>IFERROR(__xludf.DUMMYFUNCTION("""COMPUTED_VALUE"""),66820.0)</f>
        <v>66820</v>
      </c>
    </row>
    <row r="2813">
      <c r="A2813" s="2">
        <f>IFERROR(__xludf.DUMMYFUNCTION("""COMPUTED_VALUE"""),45089.64583333333)</f>
        <v>45089.64583</v>
      </c>
      <c r="B2813" s="1">
        <f>IFERROR(__xludf.DUMMYFUNCTION("""COMPUTED_VALUE"""),10490.0)</f>
        <v>10490</v>
      </c>
      <c r="C2813" s="1">
        <f>IFERROR(__xludf.DUMMYFUNCTION("""COMPUTED_VALUE"""),10570.0)</f>
        <v>10570</v>
      </c>
      <c r="D2813" s="1">
        <f>IFERROR(__xludf.DUMMYFUNCTION("""COMPUTED_VALUE"""),10450.0)</f>
        <v>10450</v>
      </c>
      <c r="E2813" s="1">
        <f>IFERROR(__xludf.DUMMYFUNCTION("""COMPUTED_VALUE"""),10500.0)</f>
        <v>10500</v>
      </c>
      <c r="F2813" s="1">
        <f>IFERROR(__xludf.DUMMYFUNCTION("""COMPUTED_VALUE"""),14797.0)</f>
        <v>14797</v>
      </c>
    </row>
    <row r="2814">
      <c r="A2814" s="2">
        <f>IFERROR(__xludf.DUMMYFUNCTION("""COMPUTED_VALUE"""),45090.64583333333)</f>
        <v>45090.64583</v>
      </c>
      <c r="B2814" s="1">
        <f>IFERROR(__xludf.DUMMYFUNCTION("""COMPUTED_VALUE"""),10480.0)</f>
        <v>10480</v>
      </c>
      <c r="C2814" s="1">
        <f>IFERROR(__xludf.DUMMYFUNCTION("""COMPUTED_VALUE"""),10610.0)</f>
        <v>10610</v>
      </c>
      <c r="D2814" s="1">
        <f>IFERROR(__xludf.DUMMYFUNCTION("""COMPUTED_VALUE"""),10480.0)</f>
        <v>10480</v>
      </c>
      <c r="E2814" s="1">
        <f>IFERROR(__xludf.DUMMYFUNCTION("""COMPUTED_VALUE"""),10530.0)</f>
        <v>10530</v>
      </c>
      <c r="F2814" s="1">
        <f>IFERROR(__xludf.DUMMYFUNCTION("""COMPUTED_VALUE"""),16431.0)</f>
        <v>16431</v>
      </c>
    </row>
    <row r="2815">
      <c r="A2815" s="2">
        <f>IFERROR(__xludf.DUMMYFUNCTION("""COMPUTED_VALUE"""),45091.64583333333)</f>
        <v>45091.64583</v>
      </c>
      <c r="B2815" s="1">
        <f>IFERROR(__xludf.DUMMYFUNCTION("""COMPUTED_VALUE"""),10540.0)</f>
        <v>10540</v>
      </c>
      <c r="C2815" s="1">
        <f>IFERROR(__xludf.DUMMYFUNCTION("""COMPUTED_VALUE"""),10540.0)</f>
        <v>10540</v>
      </c>
      <c r="D2815" s="1">
        <f>IFERROR(__xludf.DUMMYFUNCTION("""COMPUTED_VALUE"""),10390.0)</f>
        <v>10390</v>
      </c>
      <c r="E2815" s="1">
        <f>IFERROR(__xludf.DUMMYFUNCTION("""COMPUTED_VALUE"""),10470.0)</f>
        <v>10470</v>
      </c>
      <c r="F2815" s="1">
        <f>IFERROR(__xludf.DUMMYFUNCTION("""COMPUTED_VALUE"""),24350.0)</f>
        <v>24350</v>
      </c>
    </row>
    <row r="2816">
      <c r="A2816" s="2">
        <f>IFERROR(__xludf.DUMMYFUNCTION("""COMPUTED_VALUE"""),45092.64583333333)</f>
        <v>45092.64583</v>
      </c>
      <c r="B2816" s="1">
        <f>IFERROR(__xludf.DUMMYFUNCTION("""COMPUTED_VALUE"""),10470.0)</f>
        <v>10470</v>
      </c>
      <c r="C2816" s="1">
        <f>IFERROR(__xludf.DUMMYFUNCTION("""COMPUTED_VALUE"""),10600.0)</f>
        <v>10600</v>
      </c>
      <c r="D2816" s="1">
        <f>IFERROR(__xludf.DUMMYFUNCTION("""COMPUTED_VALUE"""),10370.0)</f>
        <v>10370</v>
      </c>
      <c r="E2816" s="1">
        <f>IFERROR(__xludf.DUMMYFUNCTION("""COMPUTED_VALUE"""),10400.0)</f>
        <v>10400</v>
      </c>
      <c r="F2816" s="1">
        <f>IFERROR(__xludf.DUMMYFUNCTION("""COMPUTED_VALUE"""),22277.0)</f>
        <v>22277</v>
      </c>
    </row>
    <row r="2817">
      <c r="A2817" s="2">
        <f>IFERROR(__xludf.DUMMYFUNCTION("""COMPUTED_VALUE"""),45093.64583333333)</f>
        <v>45093.64583</v>
      </c>
      <c r="B2817" s="1">
        <f>IFERROR(__xludf.DUMMYFUNCTION("""COMPUTED_VALUE"""),10390.0)</f>
        <v>10390</v>
      </c>
      <c r="C2817" s="1">
        <f>IFERROR(__xludf.DUMMYFUNCTION("""COMPUTED_VALUE"""),10620.0)</f>
        <v>10620</v>
      </c>
      <c r="D2817" s="1">
        <f>IFERROR(__xludf.DUMMYFUNCTION("""COMPUTED_VALUE"""),10390.0)</f>
        <v>10390</v>
      </c>
      <c r="E2817" s="1">
        <f>IFERROR(__xludf.DUMMYFUNCTION("""COMPUTED_VALUE"""),10600.0)</f>
        <v>10600</v>
      </c>
      <c r="F2817" s="1">
        <f>IFERROR(__xludf.DUMMYFUNCTION("""COMPUTED_VALUE"""),20304.0)</f>
        <v>20304</v>
      </c>
    </row>
    <row r="2818">
      <c r="A2818" s="2">
        <f>IFERROR(__xludf.DUMMYFUNCTION("""COMPUTED_VALUE"""),45096.64583333333)</f>
        <v>45096.64583</v>
      </c>
      <c r="B2818" s="1">
        <f>IFERROR(__xludf.DUMMYFUNCTION("""COMPUTED_VALUE"""),10740.0)</f>
        <v>10740</v>
      </c>
      <c r="C2818" s="1">
        <f>IFERROR(__xludf.DUMMYFUNCTION("""COMPUTED_VALUE"""),10750.0)</f>
        <v>10750</v>
      </c>
      <c r="D2818" s="1">
        <f>IFERROR(__xludf.DUMMYFUNCTION("""COMPUTED_VALUE"""),10560.0)</f>
        <v>10560</v>
      </c>
      <c r="E2818" s="1">
        <f>IFERROR(__xludf.DUMMYFUNCTION("""COMPUTED_VALUE"""),10710.0)</f>
        <v>10710</v>
      </c>
      <c r="F2818" s="1">
        <f>IFERROR(__xludf.DUMMYFUNCTION("""COMPUTED_VALUE"""),19874.0)</f>
        <v>19874</v>
      </c>
    </row>
    <row r="2819">
      <c r="A2819" s="2">
        <f>IFERROR(__xludf.DUMMYFUNCTION("""COMPUTED_VALUE"""),45097.64583333333)</f>
        <v>45097.64583</v>
      </c>
      <c r="B2819" s="1">
        <f>IFERROR(__xludf.DUMMYFUNCTION("""COMPUTED_VALUE"""),10710.0)</f>
        <v>10710</v>
      </c>
      <c r="C2819" s="1">
        <f>IFERROR(__xludf.DUMMYFUNCTION("""COMPUTED_VALUE"""),10900.0)</f>
        <v>10900</v>
      </c>
      <c r="D2819" s="1">
        <f>IFERROR(__xludf.DUMMYFUNCTION("""COMPUTED_VALUE"""),10550.0)</f>
        <v>10550</v>
      </c>
      <c r="E2819" s="1">
        <f>IFERROR(__xludf.DUMMYFUNCTION("""COMPUTED_VALUE"""),10670.0)</f>
        <v>10670</v>
      </c>
      <c r="F2819" s="1">
        <f>IFERROR(__xludf.DUMMYFUNCTION("""COMPUTED_VALUE"""),40804.0)</f>
        <v>40804</v>
      </c>
    </row>
    <row r="2820">
      <c r="A2820" s="2">
        <f>IFERROR(__xludf.DUMMYFUNCTION("""COMPUTED_VALUE"""),45098.64583333333)</f>
        <v>45098.64583</v>
      </c>
      <c r="B2820" s="1">
        <f>IFERROR(__xludf.DUMMYFUNCTION("""COMPUTED_VALUE"""),10700.0)</f>
        <v>10700</v>
      </c>
      <c r="C2820" s="1">
        <f>IFERROR(__xludf.DUMMYFUNCTION("""COMPUTED_VALUE"""),10900.0)</f>
        <v>10900</v>
      </c>
      <c r="D2820" s="1">
        <f>IFERROR(__xludf.DUMMYFUNCTION("""COMPUTED_VALUE"""),10640.0)</f>
        <v>10640</v>
      </c>
      <c r="E2820" s="1">
        <f>IFERROR(__xludf.DUMMYFUNCTION("""COMPUTED_VALUE"""),10780.0)</f>
        <v>10780</v>
      </c>
      <c r="F2820" s="1">
        <f>IFERROR(__xludf.DUMMYFUNCTION("""COMPUTED_VALUE"""),36907.0)</f>
        <v>36907</v>
      </c>
    </row>
    <row r="2821">
      <c r="A2821" s="2">
        <f>IFERROR(__xludf.DUMMYFUNCTION("""COMPUTED_VALUE"""),45099.64583333333)</f>
        <v>45099.64583</v>
      </c>
      <c r="B2821" s="1">
        <f>IFERROR(__xludf.DUMMYFUNCTION("""COMPUTED_VALUE"""),10840.0)</f>
        <v>10840</v>
      </c>
      <c r="C2821" s="1">
        <f>IFERROR(__xludf.DUMMYFUNCTION("""COMPUTED_VALUE"""),10840.0)</f>
        <v>10840</v>
      </c>
      <c r="D2821" s="1">
        <f>IFERROR(__xludf.DUMMYFUNCTION("""COMPUTED_VALUE"""),10670.0)</f>
        <v>10670</v>
      </c>
      <c r="E2821" s="1">
        <f>IFERROR(__xludf.DUMMYFUNCTION("""COMPUTED_VALUE"""),10770.0)</f>
        <v>10770</v>
      </c>
      <c r="F2821" s="1">
        <f>IFERROR(__xludf.DUMMYFUNCTION("""COMPUTED_VALUE"""),21879.0)</f>
        <v>21879</v>
      </c>
    </row>
    <row r="2822">
      <c r="A2822" s="2">
        <f>IFERROR(__xludf.DUMMYFUNCTION("""COMPUTED_VALUE"""),45100.64583333333)</f>
        <v>45100.64583</v>
      </c>
      <c r="B2822" s="1">
        <f>IFERROR(__xludf.DUMMYFUNCTION("""COMPUTED_VALUE"""),10820.0)</f>
        <v>10820</v>
      </c>
      <c r="C2822" s="1">
        <f>IFERROR(__xludf.DUMMYFUNCTION("""COMPUTED_VALUE"""),10820.0)</f>
        <v>10820</v>
      </c>
      <c r="D2822" s="1">
        <f>IFERROR(__xludf.DUMMYFUNCTION("""COMPUTED_VALUE"""),10570.0)</f>
        <v>10570</v>
      </c>
      <c r="E2822" s="1">
        <f>IFERROR(__xludf.DUMMYFUNCTION("""COMPUTED_VALUE"""),10650.0)</f>
        <v>10650</v>
      </c>
      <c r="F2822" s="1">
        <f>IFERROR(__xludf.DUMMYFUNCTION("""COMPUTED_VALUE"""),40778.0)</f>
        <v>40778</v>
      </c>
    </row>
    <row r="2823">
      <c r="A2823" s="2">
        <f>IFERROR(__xludf.DUMMYFUNCTION("""COMPUTED_VALUE"""),45103.64583333333)</f>
        <v>45103.64583</v>
      </c>
      <c r="B2823" s="1">
        <f>IFERROR(__xludf.DUMMYFUNCTION("""COMPUTED_VALUE"""),10800.0)</f>
        <v>10800</v>
      </c>
      <c r="C2823" s="1">
        <f>IFERROR(__xludf.DUMMYFUNCTION("""COMPUTED_VALUE"""),10800.0)</f>
        <v>10800</v>
      </c>
      <c r="D2823" s="1">
        <f>IFERROR(__xludf.DUMMYFUNCTION("""COMPUTED_VALUE"""),10600.0)</f>
        <v>10600</v>
      </c>
      <c r="E2823" s="1">
        <f>IFERROR(__xludf.DUMMYFUNCTION("""COMPUTED_VALUE"""),10780.0)</f>
        <v>10780</v>
      </c>
      <c r="F2823" s="1">
        <f>IFERROR(__xludf.DUMMYFUNCTION("""COMPUTED_VALUE"""),30641.0)</f>
        <v>30641</v>
      </c>
    </row>
    <row r="2824">
      <c r="A2824" s="2">
        <f>IFERROR(__xludf.DUMMYFUNCTION("""COMPUTED_VALUE"""),45104.64583333333)</f>
        <v>45104.64583</v>
      </c>
      <c r="B2824" s="1">
        <f>IFERROR(__xludf.DUMMYFUNCTION("""COMPUTED_VALUE"""),10780.0)</f>
        <v>10780</v>
      </c>
      <c r="C2824" s="1">
        <f>IFERROR(__xludf.DUMMYFUNCTION("""COMPUTED_VALUE"""),10800.0)</f>
        <v>10800</v>
      </c>
      <c r="D2824" s="1">
        <f>IFERROR(__xludf.DUMMYFUNCTION("""COMPUTED_VALUE"""),10650.0)</f>
        <v>10650</v>
      </c>
      <c r="E2824" s="1">
        <f>IFERROR(__xludf.DUMMYFUNCTION("""COMPUTED_VALUE"""),10670.0)</f>
        <v>10670</v>
      </c>
      <c r="F2824" s="1">
        <f>IFERROR(__xludf.DUMMYFUNCTION("""COMPUTED_VALUE"""),16901.0)</f>
        <v>16901</v>
      </c>
    </row>
    <row r="2825">
      <c r="A2825" s="2">
        <f>IFERROR(__xludf.DUMMYFUNCTION("""COMPUTED_VALUE"""),45105.64583333333)</f>
        <v>45105.64583</v>
      </c>
      <c r="B2825" s="1">
        <f>IFERROR(__xludf.DUMMYFUNCTION("""COMPUTED_VALUE"""),10680.0)</f>
        <v>10680</v>
      </c>
      <c r="C2825" s="1">
        <f>IFERROR(__xludf.DUMMYFUNCTION("""COMPUTED_VALUE"""),10710.0)</f>
        <v>10710</v>
      </c>
      <c r="D2825" s="1">
        <f>IFERROR(__xludf.DUMMYFUNCTION("""COMPUTED_VALUE"""),10550.0)</f>
        <v>10550</v>
      </c>
      <c r="E2825" s="1">
        <f>IFERROR(__xludf.DUMMYFUNCTION("""COMPUTED_VALUE"""),10580.0)</f>
        <v>10580</v>
      </c>
      <c r="F2825" s="1">
        <f>IFERROR(__xludf.DUMMYFUNCTION("""COMPUTED_VALUE"""),15734.0)</f>
        <v>15734</v>
      </c>
    </row>
    <row r="2826">
      <c r="A2826" s="2">
        <f>IFERROR(__xludf.DUMMYFUNCTION("""COMPUTED_VALUE"""),45106.64583333333)</f>
        <v>45106.64583</v>
      </c>
      <c r="B2826" s="1">
        <f>IFERROR(__xludf.DUMMYFUNCTION("""COMPUTED_VALUE"""),10590.0)</f>
        <v>10590</v>
      </c>
      <c r="C2826" s="1">
        <f>IFERROR(__xludf.DUMMYFUNCTION("""COMPUTED_VALUE"""),10610.0)</f>
        <v>10610</v>
      </c>
      <c r="D2826" s="1">
        <f>IFERROR(__xludf.DUMMYFUNCTION("""COMPUTED_VALUE"""),10420.0)</f>
        <v>10420</v>
      </c>
      <c r="E2826" s="1">
        <f>IFERROR(__xludf.DUMMYFUNCTION("""COMPUTED_VALUE"""),10470.0)</f>
        <v>10470</v>
      </c>
      <c r="F2826" s="1">
        <f>IFERROR(__xludf.DUMMYFUNCTION("""COMPUTED_VALUE"""),23499.0)</f>
        <v>23499</v>
      </c>
    </row>
    <row r="2827">
      <c r="A2827" s="2">
        <f>IFERROR(__xludf.DUMMYFUNCTION("""COMPUTED_VALUE"""),45107.64583333333)</f>
        <v>45107.64583</v>
      </c>
      <c r="B2827" s="1">
        <f>IFERROR(__xludf.DUMMYFUNCTION("""COMPUTED_VALUE"""),10500.0)</f>
        <v>10500</v>
      </c>
      <c r="C2827" s="1">
        <f>IFERROR(__xludf.DUMMYFUNCTION("""COMPUTED_VALUE"""),10500.0)</f>
        <v>10500</v>
      </c>
      <c r="D2827" s="1">
        <f>IFERROR(__xludf.DUMMYFUNCTION("""COMPUTED_VALUE"""),10390.0)</f>
        <v>10390</v>
      </c>
      <c r="E2827" s="1">
        <f>IFERROR(__xludf.DUMMYFUNCTION("""COMPUTED_VALUE"""),10420.0)</f>
        <v>10420</v>
      </c>
      <c r="F2827" s="1">
        <f>IFERROR(__xludf.DUMMYFUNCTION("""COMPUTED_VALUE"""),17575.0)</f>
        <v>17575</v>
      </c>
    </row>
    <row r="2828">
      <c r="A2828" s="2">
        <f>IFERROR(__xludf.DUMMYFUNCTION("""COMPUTED_VALUE"""),45110.64583333333)</f>
        <v>45110.64583</v>
      </c>
      <c r="B2828" s="1">
        <f>IFERROR(__xludf.DUMMYFUNCTION("""COMPUTED_VALUE"""),10420.0)</f>
        <v>10420</v>
      </c>
      <c r="C2828" s="1">
        <f>IFERROR(__xludf.DUMMYFUNCTION("""COMPUTED_VALUE"""),10500.0)</f>
        <v>10500</v>
      </c>
      <c r="D2828" s="1">
        <f>IFERROR(__xludf.DUMMYFUNCTION("""COMPUTED_VALUE"""),10370.0)</f>
        <v>10370</v>
      </c>
      <c r="E2828" s="1">
        <f>IFERROR(__xludf.DUMMYFUNCTION("""COMPUTED_VALUE"""),10450.0)</f>
        <v>10450</v>
      </c>
      <c r="F2828" s="1">
        <f>IFERROR(__xludf.DUMMYFUNCTION("""COMPUTED_VALUE"""),25343.0)</f>
        <v>25343</v>
      </c>
    </row>
    <row r="2829">
      <c r="A2829" s="2">
        <f>IFERROR(__xludf.DUMMYFUNCTION("""COMPUTED_VALUE"""),45111.64583333333)</f>
        <v>45111.64583</v>
      </c>
      <c r="B2829" s="1">
        <f>IFERROR(__xludf.DUMMYFUNCTION("""COMPUTED_VALUE"""),10540.0)</f>
        <v>10540</v>
      </c>
      <c r="C2829" s="1">
        <f>IFERROR(__xludf.DUMMYFUNCTION("""COMPUTED_VALUE"""),10540.0)</f>
        <v>10540</v>
      </c>
      <c r="D2829" s="1">
        <f>IFERROR(__xludf.DUMMYFUNCTION("""COMPUTED_VALUE"""),10300.0)</f>
        <v>10300</v>
      </c>
      <c r="E2829" s="1">
        <f>IFERROR(__xludf.DUMMYFUNCTION("""COMPUTED_VALUE"""),10390.0)</f>
        <v>10390</v>
      </c>
      <c r="F2829" s="1">
        <f>IFERROR(__xludf.DUMMYFUNCTION("""COMPUTED_VALUE"""),28611.0)</f>
        <v>28611</v>
      </c>
    </row>
    <row r="2830">
      <c r="A2830" s="2">
        <f>IFERROR(__xludf.DUMMYFUNCTION("""COMPUTED_VALUE"""),45112.64583333333)</f>
        <v>45112.64583</v>
      </c>
      <c r="B2830" s="1">
        <f>IFERROR(__xludf.DUMMYFUNCTION("""COMPUTED_VALUE"""),10320.0)</f>
        <v>10320</v>
      </c>
      <c r="C2830" s="1">
        <f>IFERROR(__xludf.DUMMYFUNCTION("""COMPUTED_VALUE"""),10380.0)</f>
        <v>10380</v>
      </c>
      <c r="D2830" s="1">
        <f>IFERROR(__xludf.DUMMYFUNCTION("""COMPUTED_VALUE"""),10010.0)</f>
        <v>10010</v>
      </c>
      <c r="E2830" s="1">
        <f>IFERROR(__xludf.DUMMYFUNCTION("""COMPUTED_VALUE"""),10080.0)</f>
        <v>10080</v>
      </c>
      <c r="F2830" s="1">
        <f>IFERROR(__xludf.DUMMYFUNCTION("""COMPUTED_VALUE"""),55280.0)</f>
        <v>55280</v>
      </c>
    </row>
    <row r="2831">
      <c r="A2831" s="2">
        <f>IFERROR(__xludf.DUMMYFUNCTION("""COMPUTED_VALUE"""),45113.64583333333)</f>
        <v>45113.64583</v>
      </c>
      <c r="B2831" s="1">
        <f>IFERROR(__xludf.DUMMYFUNCTION("""COMPUTED_VALUE"""),10050.0)</f>
        <v>10050</v>
      </c>
      <c r="C2831" s="1">
        <f>IFERROR(__xludf.DUMMYFUNCTION("""COMPUTED_VALUE"""),10120.0)</f>
        <v>10120</v>
      </c>
      <c r="D2831" s="1">
        <f>IFERROR(__xludf.DUMMYFUNCTION("""COMPUTED_VALUE"""),9870.0)</f>
        <v>9870</v>
      </c>
      <c r="E2831" s="1">
        <f>IFERROR(__xludf.DUMMYFUNCTION("""COMPUTED_VALUE"""),9930.0)</f>
        <v>9930</v>
      </c>
      <c r="F2831" s="1">
        <f>IFERROR(__xludf.DUMMYFUNCTION("""COMPUTED_VALUE"""),30649.0)</f>
        <v>30649</v>
      </c>
    </row>
    <row r="2832">
      <c r="A2832" s="2">
        <f>IFERROR(__xludf.DUMMYFUNCTION("""COMPUTED_VALUE"""),45114.64583333333)</f>
        <v>45114.64583</v>
      </c>
      <c r="B2832" s="1">
        <f>IFERROR(__xludf.DUMMYFUNCTION("""COMPUTED_VALUE"""),9900.0)</f>
        <v>9900</v>
      </c>
      <c r="C2832" s="1">
        <f>IFERROR(__xludf.DUMMYFUNCTION("""COMPUTED_VALUE"""),9900.0)</f>
        <v>9900</v>
      </c>
      <c r="D2832" s="1">
        <f>IFERROR(__xludf.DUMMYFUNCTION("""COMPUTED_VALUE"""),9600.0)</f>
        <v>9600</v>
      </c>
      <c r="E2832" s="1">
        <f>IFERROR(__xludf.DUMMYFUNCTION("""COMPUTED_VALUE"""),9810.0)</f>
        <v>9810</v>
      </c>
      <c r="F2832" s="1">
        <f>IFERROR(__xludf.DUMMYFUNCTION("""COMPUTED_VALUE"""),28196.0)</f>
        <v>28196</v>
      </c>
    </row>
    <row r="2833">
      <c r="A2833" s="2">
        <f>IFERROR(__xludf.DUMMYFUNCTION("""COMPUTED_VALUE"""),45117.64583333333)</f>
        <v>45117.64583</v>
      </c>
      <c r="B2833" s="1">
        <f>IFERROR(__xludf.DUMMYFUNCTION("""COMPUTED_VALUE"""),9720.0)</f>
        <v>9720</v>
      </c>
      <c r="C2833" s="1">
        <f>IFERROR(__xludf.DUMMYFUNCTION("""COMPUTED_VALUE"""),9940.0)</f>
        <v>9940</v>
      </c>
      <c r="D2833" s="1">
        <f>IFERROR(__xludf.DUMMYFUNCTION("""COMPUTED_VALUE"""),9700.0)</f>
        <v>9700</v>
      </c>
      <c r="E2833" s="1">
        <f>IFERROR(__xludf.DUMMYFUNCTION("""COMPUTED_VALUE"""),9910.0)</f>
        <v>9910</v>
      </c>
      <c r="F2833" s="1">
        <f>IFERROR(__xludf.DUMMYFUNCTION("""COMPUTED_VALUE"""),16445.0)</f>
        <v>16445</v>
      </c>
    </row>
    <row r="2834">
      <c r="A2834" s="2">
        <f>IFERROR(__xludf.DUMMYFUNCTION("""COMPUTED_VALUE"""),45118.64583333333)</f>
        <v>45118.64583</v>
      </c>
      <c r="B2834" s="1">
        <f>IFERROR(__xludf.DUMMYFUNCTION("""COMPUTED_VALUE"""),9910.0)</f>
        <v>9910</v>
      </c>
      <c r="C2834" s="1">
        <f>IFERROR(__xludf.DUMMYFUNCTION("""COMPUTED_VALUE"""),9960.0)</f>
        <v>9960</v>
      </c>
      <c r="D2834" s="1">
        <f>IFERROR(__xludf.DUMMYFUNCTION("""COMPUTED_VALUE"""),9810.0)</f>
        <v>9810</v>
      </c>
      <c r="E2834" s="1">
        <f>IFERROR(__xludf.DUMMYFUNCTION("""COMPUTED_VALUE"""),9940.0)</f>
        <v>9940</v>
      </c>
      <c r="F2834" s="1">
        <f>IFERROR(__xludf.DUMMYFUNCTION("""COMPUTED_VALUE"""),13600.0)</f>
        <v>13600</v>
      </c>
    </row>
    <row r="2835">
      <c r="A2835" s="2">
        <f>IFERROR(__xludf.DUMMYFUNCTION("""COMPUTED_VALUE"""),45119.64583333333)</f>
        <v>45119.64583</v>
      </c>
      <c r="B2835" s="1">
        <f>IFERROR(__xludf.DUMMYFUNCTION("""COMPUTED_VALUE"""),9960.0)</f>
        <v>9960</v>
      </c>
      <c r="C2835" s="1">
        <f>IFERROR(__xludf.DUMMYFUNCTION("""COMPUTED_VALUE"""),10080.0)</f>
        <v>10080</v>
      </c>
      <c r="D2835" s="1">
        <f>IFERROR(__xludf.DUMMYFUNCTION("""COMPUTED_VALUE"""),9810.0)</f>
        <v>9810</v>
      </c>
      <c r="E2835" s="1">
        <f>IFERROR(__xludf.DUMMYFUNCTION("""COMPUTED_VALUE"""),10070.0)</f>
        <v>10070</v>
      </c>
      <c r="F2835" s="1">
        <f>IFERROR(__xludf.DUMMYFUNCTION("""COMPUTED_VALUE"""),22073.0)</f>
        <v>22073</v>
      </c>
    </row>
    <row r="2836">
      <c r="A2836" s="2">
        <f>IFERROR(__xludf.DUMMYFUNCTION("""COMPUTED_VALUE"""),45120.64583333333)</f>
        <v>45120.64583</v>
      </c>
      <c r="B2836" s="1">
        <f>IFERROR(__xludf.DUMMYFUNCTION("""COMPUTED_VALUE"""),10080.0)</f>
        <v>10080</v>
      </c>
      <c r="C2836" s="1">
        <f>IFERROR(__xludf.DUMMYFUNCTION("""COMPUTED_VALUE"""),10190.0)</f>
        <v>10190</v>
      </c>
      <c r="D2836" s="1">
        <f>IFERROR(__xludf.DUMMYFUNCTION("""COMPUTED_VALUE"""),9970.0)</f>
        <v>9970</v>
      </c>
      <c r="E2836" s="1">
        <f>IFERROR(__xludf.DUMMYFUNCTION("""COMPUTED_VALUE"""),10190.0)</f>
        <v>10190</v>
      </c>
      <c r="F2836" s="1">
        <f>IFERROR(__xludf.DUMMYFUNCTION("""COMPUTED_VALUE"""),17435.0)</f>
        <v>17435</v>
      </c>
    </row>
    <row r="2837">
      <c r="A2837" s="2">
        <f>IFERROR(__xludf.DUMMYFUNCTION("""COMPUTED_VALUE"""),45121.64583333333)</f>
        <v>45121.64583</v>
      </c>
      <c r="B2837" s="1">
        <f>IFERROR(__xludf.DUMMYFUNCTION("""COMPUTED_VALUE"""),10200.0)</f>
        <v>10200</v>
      </c>
      <c r="C2837" s="1">
        <f>IFERROR(__xludf.DUMMYFUNCTION("""COMPUTED_VALUE"""),10200.0)</f>
        <v>10200</v>
      </c>
      <c r="D2837" s="1">
        <f>IFERROR(__xludf.DUMMYFUNCTION("""COMPUTED_VALUE"""),10010.0)</f>
        <v>10010</v>
      </c>
      <c r="E2837" s="1">
        <f>IFERROR(__xludf.DUMMYFUNCTION("""COMPUTED_VALUE"""),10070.0)</f>
        <v>10070</v>
      </c>
      <c r="F2837" s="1">
        <f>IFERROR(__xludf.DUMMYFUNCTION("""COMPUTED_VALUE"""),15867.0)</f>
        <v>15867</v>
      </c>
    </row>
    <row r="2838">
      <c r="A2838" s="2">
        <f>IFERROR(__xludf.DUMMYFUNCTION("""COMPUTED_VALUE"""),45124.64583333333)</f>
        <v>45124.64583</v>
      </c>
      <c r="B2838" s="1">
        <f>IFERROR(__xludf.DUMMYFUNCTION("""COMPUTED_VALUE"""),10400.0)</f>
        <v>10400</v>
      </c>
      <c r="C2838" s="1">
        <f>IFERROR(__xludf.DUMMYFUNCTION("""COMPUTED_VALUE"""),12530.0)</f>
        <v>12530</v>
      </c>
      <c r="D2838" s="1">
        <f>IFERROR(__xludf.DUMMYFUNCTION("""COMPUTED_VALUE"""),10350.0)</f>
        <v>10350</v>
      </c>
      <c r="E2838" s="1">
        <f>IFERROR(__xludf.DUMMYFUNCTION("""COMPUTED_VALUE"""),11800.0)</f>
        <v>11800</v>
      </c>
      <c r="F2838" s="1">
        <f>IFERROR(__xludf.DUMMYFUNCTION("""COMPUTED_VALUE"""),5849906.0)</f>
        <v>5849906</v>
      </c>
    </row>
    <row r="2839">
      <c r="A2839" s="2">
        <f>IFERROR(__xludf.DUMMYFUNCTION("""COMPUTED_VALUE"""),45125.64583333333)</f>
        <v>45125.64583</v>
      </c>
      <c r="B2839" s="1">
        <f>IFERROR(__xludf.DUMMYFUNCTION("""COMPUTED_VALUE"""),11790.0)</f>
        <v>11790</v>
      </c>
      <c r="C2839" s="1">
        <f>IFERROR(__xludf.DUMMYFUNCTION("""COMPUTED_VALUE"""),12200.0)</f>
        <v>12200</v>
      </c>
      <c r="D2839" s="1">
        <f>IFERROR(__xludf.DUMMYFUNCTION("""COMPUTED_VALUE"""),11030.0)</f>
        <v>11030</v>
      </c>
      <c r="E2839" s="1">
        <f>IFERROR(__xludf.DUMMYFUNCTION("""COMPUTED_VALUE"""),11160.0)</f>
        <v>11160</v>
      </c>
      <c r="F2839" s="1">
        <f>IFERROR(__xludf.DUMMYFUNCTION("""COMPUTED_VALUE"""),949133.0)</f>
        <v>949133</v>
      </c>
    </row>
    <row r="2840">
      <c r="A2840" s="2">
        <f>IFERROR(__xludf.DUMMYFUNCTION("""COMPUTED_VALUE"""),45126.64583333333)</f>
        <v>45126.64583</v>
      </c>
      <c r="B2840" s="1">
        <f>IFERROR(__xludf.DUMMYFUNCTION("""COMPUTED_VALUE"""),11160.0)</f>
        <v>11160</v>
      </c>
      <c r="C2840" s="1">
        <f>IFERROR(__xludf.DUMMYFUNCTION("""COMPUTED_VALUE"""),11160.0)</f>
        <v>11160</v>
      </c>
      <c r="D2840" s="1">
        <f>IFERROR(__xludf.DUMMYFUNCTION("""COMPUTED_VALUE"""),10700.0)</f>
        <v>10700</v>
      </c>
      <c r="E2840" s="1">
        <f>IFERROR(__xludf.DUMMYFUNCTION("""COMPUTED_VALUE"""),10780.0)</f>
        <v>10780</v>
      </c>
      <c r="F2840" s="1">
        <f>IFERROR(__xludf.DUMMYFUNCTION("""COMPUTED_VALUE"""),334332.0)</f>
        <v>334332</v>
      </c>
    </row>
    <row r="2841">
      <c r="A2841" s="2">
        <f>IFERROR(__xludf.DUMMYFUNCTION("""COMPUTED_VALUE"""),45127.64583333333)</f>
        <v>45127.64583</v>
      </c>
      <c r="B2841" s="1">
        <f>IFERROR(__xludf.DUMMYFUNCTION("""COMPUTED_VALUE"""),11000.0)</f>
        <v>11000</v>
      </c>
      <c r="C2841" s="1">
        <f>IFERROR(__xludf.DUMMYFUNCTION("""COMPUTED_VALUE"""),11190.0)</f>
        <v>11190</v>
      </c>
      <c r="D2841" s="1">
        <f>IFERROR(__xludf.DUMMYFUNCTION("""COMPUTED_VALUE"""),10850.0)</f>
        <v>10850</v>
      </c>
      <c r="E2841" s="1">
        <f>IFERROR(__xludf.DUMMYFUNCTION("""COMPUTED_VALUE"""),10850.0)</f>
        <v>10850</v>
      </c>
      <c r="F2841" s="1">
        <f>IFERROR(__xludf.DUMMYFUNCTION("""COMPUTED_VALUE"""),366995.0)</f>
        <v>366995</v>
      </c>
    </row>
    <row r="2842">
      <c r="A2842" s="2">
        <f>IFERROR(__xludf.DUMMYFUNCTION("""COMPUTED_VALUE"""),45128.64583333333)</f>
        <v>45128.64583</v>
      </c>
      <c r="B2842" s="1">
        <f>IFERROR(__xludf.DUMMYFUNCTION("""COMPUTED_VALUE"""),10680.0)</f>
        <v>10680</v>
      </c>
      <c r="C2842" s="1">
        <f>IFERROR(__xludf.DUMMYFUNCTION("""COMPUTED_VALUE"""),11120.0)</f>
        <v>11120</v>
      </c>
      <c r="D2842" s="1">
        <f>IFERROR(__xludf.DUMMYFUNCTION("""COMPUTED_VALUE"""),10660.0)</f>
        <v>10660</v>
      </c>
      <c r="E2842" s="1">
        <f>IFERROR(__xludf.DUMMYFUNCTION("""COMPUTED_VALUE"""),10940.0)</f>
        <v>10940</v>
      </c>
      <c r="F2842" s="1">
        <f>IFERROR(__xludf.DUMMYFUNCTION("""COMPUTED_VALUE"""),221260.0)</f>
        <v>221260</v>
      </c>
    </row>
    <row r="2843">
      <c r="A2843" s="2">
        <f>IFERROR(__xludf.DUMMYFUNCTION("""COMPUTED_VALUE"""),45131.64583333333)</f>
        <v>45131.64583</v>
      </c>
      <c r="B2843" s="1">
        <f>IFERROR(__xludf.DUMMYFUNCTION("""COMPUTED_VALUE"""),10900.0)</f>
        <v>10900</v>
      </c>
      <c r="C2843" s="1">
        <f>IFERROR(__xludf.DUMMYFUNCTION("""COMPUTED_VALUE"""),10940.0)</f>
        <v>10940</v>
      </c>
      <c r="D2843" s="1">
        <f>IFERROR(__xludf.DUMMYFUNCTION("""COMPUTED_VALUE"""),10430.0)</f>
        <v>10430</v>
      </c>
      <c r="E2843" s="1">
        <f>IFERROR(__xludf.DUMMYFUNCTION("""COMPUTED_VALUE"""),10500.0)</f>
        <v>10500</v>
      </c>
      <c r="F2843" s="1">
        <f>IFERROR(__xludf.DUMMYFUNCTION("""COMPUTED_VALUE"""),207178.0)</f>
        <v>207178</v>
      </c>
    </row>
    <row r="2844">
      <c r="A2844" s="2">
        <f>IFERROR(__xludf.DUMMYFUNCTION("""COMPUTED_VALUE"""),45132.64583333333)</f>
        <v>45132.64583</v>
      </c>
      <c r="B2844" s="1">
        <f>IFERROR(__xludf.DUMMYFUNCTION("""COMPUTED_VALUE"""),10600.0)</f>
        <v>10600</v>
      </c>
      <c r="C2844" s="1">
        <f>IFERROR(__xludf.DUMMYFUNCTION("""COMPUTED_VALUE"""),10850.0)</f>
        <v>10850</v>
      </c>
      <c r="D2844" s="1">
        <f>IFERROR(__xludf.DUMMYFUNCTION("""COMPUTED_VALUE"""),10470.0)</f>
        <v>10470</v>
      </c>
      <c r="E2844" s="1">
        <f>IFERROR(__xludf.DUMMYFUNCTION("""COMPUTED_VALUE"""),10840.0)</f>
        <v>10840</v>
      </c>
      <c r="F2844" s="1">
        <f>IFERROR(__xludf.DUMMYFUNCTION("""COMPUTED_VALUE"""),153041.0)</f>
        <v>153041</v>
      </c>
    </row>
    <row r="2845">
      <c r="A2845" s="2">
        <f>IFERROR(__xludf.DUMMYFUNCTION("""COMPUTED_VALUE"""),45133.64583333333)</f>
        <v>45133.64583</v>
      </c>
      <c r="B2845" s="1">
        <f>IFERROR(__xludf.DUMMYFUNCTION("""COMPUTED_VALUE"""),10890.0)</f>
        <v>10890</v>
      </c>
      <c r="C2845" s="1">
        <f>IFERROR(__xludf.DUMMYFUNCTION("""COMPUTED_VALUE"""),10890.0)</f>
        <v>10890</v>
      </c>
      <c r="D2845" s="1">
        <f>IFERROR(__xludf.DUMMYFUNCTION("""COMPUTED_VALUE"""),9590.0)</f>
        <v>9590</v>
      </c>
      <c r="E2845" s="1">
        <f>IFERROR(__xludf.DUMMYFUNCTION("""COMPUTED_VALUE"""),9900.0)</f>
        <v>9900</v>
      </c>
      <c r="F2845" s="1">
        <f>IFERROR(__xludf.DUMMYFUNCTION("""COMPUTED_VALUE"""),416538.0)</f>
        <v>416538</v>
      </c>
    </row>
    <row r="2846">
      <c r="A2846" s="2">
        <f>IFERROR(__xludf.DUMMYFUNCTION("""COMPUTED_VALUE"""),45134.64583333333)</f>
        <v>45134.64583</v>
      </c>
      <c r="B2846" s="1">
        <f>IFERROR(__xludf.DUMMYFUNCTION("""COMPUTED_VALUE"""),9860.0)</f>
        <v>9860</v>
      </c>
      <c r="C2846" s="1">
        <f>IFERROR(__xludf.DUMMYFUNCTION("""COMPUTED_VALUE"""),10050.0)</f>
        <v>10050</v>
      </c>
      <c r="D2846" s="1">
        <f>IFERROR(__xludf.DUMMYFUNCTION("""COMPUTED_VALUE"""),9800.0)</f>
        <v>9800</v>
      </c>
      <c r="E2846" s="1">
        <f>IFERROR(__xludf.DUMMYFUNCTION("""COMPUTED_VALUE"""),9940.0)</f>
        <v>9940</v>
      </c>
      <c r="F2846" s="1">
        <f>IFERROR(__xludf.DUMMYFUNCTION("""COMPUTED_VALUE"""),68071.0)</f>
        <v>68071</v>
      </c>
    </row>
    <row r="2847">
      <c r="A2847" s="2">
        <f>IFERROR(__xludf.DUMMYFUNCTION("""COMPUTED_VALUE"""),45135.64583333333)</f>
        <v>45135.64583</v>
      </c>
      <c r="B2847" s="1">
        <f>IFERROR(__xludf.DUMMYFUNCTION("""COMPUTED_VALUE"""),9850.0)</f>
        <v>9850</v>
      </c>
      <c r="C2847" s="1">
        <f>IFERROR(__xludf.DUMMYFUNCTION("""COMPUTED_VALUE"""),10060.0)</f>
        <v>10060</v>
      </c>
      <c r="D2847" s="1">
        <f>IFERROR(__xludf.DUMMYFUNCTION("""COMPUTED_VALUE"""),9810.0)</f>
        <v>9810</v>
      </c>
      <c r="E2847" s="1">
        <f>IFERROR(__xludf.DUMMYFUNCTION("""COMPUTED_VALUE"""),10030.0)</f>
        <v>10030</v>
      </c>
      <c r="F2847" s="1">
        <f>IFERROR(__xludf.DUMMYFUNCTION("""COMPUTED_VALUE"""),37494.0)</f>
        <v>37494</v>
      </c>
    </row>
    <row r="2848">
      <c r="A2848" s="2">
        <f>IFERROR(__xludf.DUMMYFUNCTION("""COMPUTED_VALUE"""),45138.64583333333)</f>
        <v>45138.64583</v>
      </c>
      <c r="B2848" s="1">
        <f>IFERROR(__xludf.DUMMYFUNCTION("""COMPUTED_VALUE"""),10040.0)</f>
        <v>10040</v>
      </c>
      <c r="C2848" s="1">
        <f>IFERROR(__xludf.DUMMYFUNCTION("""COMPUTED_VALUE"""),10120.0)</f>
        <v>10120</v>
      </c>
      <c r="D2848" s="1">
        <f>IFERROR(__xludf.DUMMYFUNCTION("""COMPUTED_VALUE"""),9980.0)</f>
        <v>9980</v>
      </c>
      <c r="E2848" s="1">
        <f>IFERROR(__xludf.DUMMYFUNCTION("""COMPUTED_VALUE"""),10030.0)</f>
        <v>10030</v>
      </c>
      <c r="F2848" s="1">
        <f>IFERROR(__xludf.DUMMYFUNCTION("""COMPUTED_VALUE"""),51578.0)</f>
        <v>51578</v>
      </c>
    </row>
    <row r="2849">
      <c r="A2849" s="2">
        <f>IFERROR(__xludf.DUMMYFUNCTION("""COMPUTED_VALUE"""),45139.64583333333)</f>
        <v>45139.64583</v>
      </c>
      <c r="B2849" s="1">
        <f>IFERROR(__xludf.DUMMYFUNCTION("""COMPUTED_VALUE"""),10080.0)</f>
        <v>10080</v>
      </c>
      <c r="C2849" s="1">
        <f>IFERROR(__xludf.DUMMYFUNCTION("""COMPUTED_VALUE"""),10270.0)</f>
        <v>10270</v>
      </c>
      <c r="D2849" s="1">
        <f>IFERROR(__xludf.DUMMYFUNCTION("""COMPUTED_VALUE"""),9990.0)</f>
        <v>9990</v>
      </c>
      <c r="E2849" s="1">
        <f>IFERROR(__xludf.DUMMYFUNCTION("""COMPUTED_VALUE"""),10260.0)</f>
        <v>10260</v>
      </c>
      <c r="F2849" s="1">
        <f>IFERROR(__xludf.DUMMYFUNCTION("""COMPUTED_VALUE"""),48551.0)</f>
        <v>48551</v>
      </c>
    </row>
    <row r="2850">
      <c r="A2850" s="2">
        <f>IFERROR(__xludf.DUMMYFUNCTION("""COMPUTED_VALUE"""),45140.64583333333)</f>
        <v>45140.64583</v>
      </c>
      <c r="B2850" s="1">
        <f>IFERROR(__xludf.DUMMYFUNCTION("""COMPUTED_VALUE"""),10210.0)</f>
        <v>10210</v>
      </c>
      <c r="C2850" s="1">
        <f>IFERROR(__xludf.DUMMYFUNCTION("""COMPUTED_VALUE"""),10220.0)</f>
        <v>10220</v>
      </c>
      <c r="D2850" s="1">
        <f>IFERROR(__xludf.DUMMYFUNCTION("""COMPUTED_VALUE"""),9950.0)</f>
        <v>9950</v>
      </c>
      <c r="E2850" s="1">
        <f>IFERROR(__xludf.DUMMYFUNCTION("""COMPUTED_VALUE"""),9990.0)</f>
        <v>9990</v>
      </c>
      <c r="F2850" s="1">
        <f>IFERROR(__xludf.DUMMYFUNCTION("""COMPUTED_VALUE"""),74248.0)</f>
        <v>74248</v>
      </c>
    </row>
    <row r="2851">
      <c r="A2851" s="2">
        <f>IFERROR(__xludf.DUMMYFUNCTION("""COMPUTED_VALUE"""),45141.64583333333)</f>
        <v>45141.64583</v>
      </c>
      <c r="B2851" s="1">
        <f>IFERROR(__xludf.DUMMYFUNCTION("""COMPUTED_VALUE"""),9930.0)</f>
        <v>9930</v>
      </c>
      <c r="C2851" s="1">
        <f>IFERROR(__xludf.DUMMYFUNCTION("""COMPUTED_VALUE"""),10160.0)</f>
        <v>10160</v>
      </c>
      <c r="D2851" s="1">
        <f>IFERROR(__xludf.DUMMYFUNCTION("""COMPUTED_VALUE"""),9880.0)</f>
        <v>9880</v>
      </c>
      <c r="E2851" s="1">
        <f>IFERROR(__xludf.DUMMYFUNCTION("""COMPUTED_VALUE"""),10110.0)</f>
        <v>10110</v>
      </c>
      <c r="F2851" s="1">
        <f>IFERROR(__xludf.DUMMYFUNCTION("""COMPUTED_VALUE"""),59070.0)</f>
        <v>59070</v>
      </c>
    </row>
    <row r="2852">
      <c r="A2852" s="2">
        <f>IFERROR(__xludf.DUMMYFUNCTION("""COMPUTED_VALUE"""),45142.64583333333)</f>
        <v>45142.64583</v>
      </c>
      <c r="B2852" s="1">
        <f>IFERROR(__xludf.DUMMYFUNCTION("""COMPUTED_VALUE"""),10110.0)</f>
        <v>10110</v>
      </c>
      <c r="C2852" s="1">
        <f>IFERROR(__xludf.DUMMYFUNCTION("""COMPUTED_VALUE"""),10410.0)</f>
        <v>10410</v>
      </c>
      <c r="D2852" s="1">
        <f>IFERROR(__xludf.DUMMYFUNCTION("""COMPUTED_VALUE"""),10050.0)</f>
        <v>10050</v>
      </c>
      <c r="E2852" s="1">
        <f>IFERROR(__xludf.DUMMYFUNCTION("""COMPUTED_VALUE"""),10410.0)</f>
        <v>10410</v>
      </c>
      <c r="F2852" s="1">
        <f>IFERROR(__xludf.DUMMYFUNCTION("""COMPUTED_VALUE"""),57259.0)</f>
        <v>57259</v>
      </c>
    </row>
    <row r="2853">
      <c r="A2853" s="2">
        <f>IFERROR(__xludf.DUMMYFUNCTION("""COMPUTED_VALUE"""),45145.64583333333)</f>
        <v>45145.64583</v>
      </c>
      <c r="B2853" s="1">
        <f>IFERROR(__xludf.DUMMYFUNCTION("""COMPUTED_VALUE"""),10550.0)</f>
        <v>10550</v>
      </c>
      <c r="C2853" s="1">
        <f>IFERROR(__xludf.DUMMYFUNCTION("""COMPUTED_VALUE"""),10760.0)</f>
        <v>10760</v>
      </c>
      <c r="D2853" s="1">
        <f>IFERROR(__xludf.DUMMYFUNCTION("""COMPUTED_VALUE"""),10430.0)</f>
        <v>10430</v>
      </c>
      <c r="E2853" s="1">
        <f>IFERROR(__xludf.DUMMYFUNCTION("""COMPUTED_VALUE"""),10760.0)</f>
        <v>10760</v>
      </c>
      <c r="F2853" s="1">
        <f>IFERROR(__xludf.DUMMYFUNCTION("""COMPUTED_VALUE"""),161560.0)</f>
        <v>161560</v>
      </c>
    </row>
    <row r="2854">
      <c r="A2854" s="2">
        <f>IFERROR(__xludf.DUMMYFUNCTION("""COMPUTED_VALUE"""),45146.64583333333)</f>
        <v>45146.64583</v>
      </c>
      <c r="B2854" s="1">
        <f>IFERROR(__xludf.DUMMYFUNCTION("""COMPUTED_VALUE"""),10770.0)</f>
        <v>10770</v>
      </c>
      <c r="C2854" s="1">
        <f>IFERROR(__xludf.DUMMYFUNCTION("""COMPUTED_VALUE"""),10870.0)</f>
        <v>10870</v>
      </c>
      <c r="D2854" s="1">
        <f>IFERROR(__xludf.DUMMYFUNCTION("""COMPUTED_VALUE"""),10490.0)</f>
        <v>10490</v>
      </c>
      <c r="E2854" s="1">
        <f>IFERROR(__xludf.DUMMYFUNCTION("""COMPUTED_VALUE"""),10630.0)</f>
        <v>10630</v>
      </c>
      <c r="F2854" s="1">
        <f>IFERROR(__xludf.DUMMYFUNCTION("""COMPUTED_VALUE"""),102926.0)</f>
        <v>102926</v>
      </c>
    </row>
    <row r="2855">
      <c r="A2855" s="2">
        <f>IFERROR(__xludf.DUMMYFUNCTION("""COMPUTED_VALUE"""),45147.64583333333)</f>
        <v>45147.64583</v>
      </c>
      <c r="B2855" s="1">
        <f>IFERROR(__xludf.DUMMYFUNCTION("""COMPUTED_VALUE"""),10850.0)</f>
        <v>10850</v>
      </c>
      <c r="C2855" s="1">
        <f>IFERROR(__xludf.DUMMYFUNCTION("""COMPUTED_VALUE"""),11060.0)</f>
        <v>11060</v>
      </c>
      <c r="D2855" s="1">
        <f>IFERROR(__xludf.DUMMYFUNCTION("""COMPUTED_VALUE"""),10520.0)</f>
        <v>10520</v>
      </c>
      <c r="E2855" s="1">
        <f>IFERROR(__xludf.DUMMYFUNCTION("""COMPUTED_VALUE"""),11050.0)</f>
        <v>11050</v>
      </c>
      <c r="F2855" s="1">
        <f>IFERROR(__xludf.DUMMYFUNCTION("""COMPUTED_VALUE"""),210113.0)</f>
        <v>210113</v>
      </c>
    </row>
    <row r="2856">
      <c r="A2856" s="2">
        <f>IFERROR(__xludf.DUMMYFUNCTION("""COMPUTED_VALUE"""),45148.64583333333)</f>
        <v>45148.64583</v>
      </c>
      <c r="B2856" s="1">
        <f>IFERROR(__xludf.DUMMYFUNCTION("""COMPUTED_VALUE"""),10840.0)</f>
        <v>10840</v>
      </c>
      <c r="C2856" s="1">
        <f>IFERROR(__xludf.DUMMYFUNCTION("""COMPUTED_VALUE"""),10840.0)</f>
        <v>10840</v>
      </c>
      <c r="D2856" s="1">
        <f>IFERROR(__xludf.DUMMYFUNCTION("""COMPUTED_VALUE"""),10310.0)</f>
        <v>10310</v>
      </c>
      <c r="E2856" s="1">
        <f>IFERROR(__xludf.DUMMYFUNCTION("""COMPUTED_VALUE"""),10350.0)</f>
        <v>10350</v>
      </c>
      <c r="F2856" s="1">
        <f>IFERROR(__xludf.DUMMYFUNCTION("""COMPUTED_VALUE"""),213482.0)</f>
        <v>213482</v>
      </c>
    </row>
    <row r="2857">
      <c r="A2857" s="2">
        <f>IFERROR(__xludf.DUMMYFUNCTION("""COMPUTED_VALUE"""),45149.64583333333)</f>
        <v>45149.64583</v>
      </c>
      <c r="B2857" s="1">
        <f>IFERROR(__xludf.DUMMYFUNCTION("""COMPUTED_VALUE"""),10400.0)</f>
        <v>10400</v>
      </c>
      <c r="C2857" s="1">
        <f>IFERROR(__xludf.DUMMYFUNCTION("""COMPUTED_VALUE"""),10400.0)</f>
        <v>10400</v>
      </c>
      <c r="D2857" s="1">
        <f>IFERROR(__xludf.DUMMYFUNCTION("""COMPUTED_VALUE"""),10090.0)</f>
        <v>10090</v>
      </c>
      <c r="E2857" s="1">
        <f>IFERROR(__xludf.DUMMYFUNCTION("""COMPUTED_VALUE"""),10210.0)</f>
        <v>10210</v>
      </c>
      <c r="F2857" s="1">
        <f>IFERROR(__xludf.DUMMYFUNCTION("""COMPUTED_VALUE"""),92958.0)</f>
        <v>92958</v>
      </c>
    </row>
    <row r="2858">
      <c r="A2858" s="2">
        <f>IFERROR(__xludf.DUMMYFUNCTION("""COMPUTED_VALUE"""),45152.64583333333)</f>
        <v>45152.64583</v>
      </c>
      <c r="B2858" s="1">
        <f>IFERROR(__xludf.DUMMYFUNCTION("""COMPUTED_VALUE"""),10250.0)</f>
        <v>10250</v>
      </c>
      <c r="C2858" s="1">
        <f>IFERROR(__xludf.DUMMYFUNCTION("""COMPUTED_VALUE"""),10250.0)</f>
        <v>10250</v>
      </c>
      <c r="D2858" s="1">
        <f>IFERROR(__xludf.DUMMYFUNCTION("""COMPUTED_VALUE"""),9950.0)</f>
        <v>9950</v>
      </c>
      <c r="E2858" s="1">
        <f>IFERROR(__xludf.DUMMYFUNCTION("""COMPUTED_VALUE"""),10070.0)</f>
        <v>10070</v>
      </c>
      <c r="F2858" s="1">
        <f>IFERROR(__xludf.DUMMYFUNCTION("""COMPUTED_VALUE"""),89610.0)</f>
        <v>89610</v>
      </c>
    </row>
    <row r="2859">
      <c r="A2859" s="2">
        <f>IFERROR(__xludf.DUMMYFUNCTION("""COMPUTED_VALUE"""),45154.64583333333)</f>
        <v>45154.64583</v>
      </c>
      <c r="B2859" s="1">
        <f>IFERROR(__xludf.DUMMYFUNCTION("""COMPUTED_VALUE"""),10010.0)</f>
        <v>10010</v>
      </c>
      <c r="C2859" s="1">
        <f>IFERROR(__xludf.DUMMYFUNCTION("""COMPUTED_VALUE"""),10130.0)</f>
        <v>10130</v>
      </c>
      <c r="D2859" s="1">
        <f>IFERROR(__xludf.DUMMYFUNCTION("""COMPUTED_VALUE"""),9810.0)</f>
        <v>9810</v>
      </c>
      <c r="E2859" s="1">
        <f>IFERROR(__xludf.DUMMYFUNCTION("""COMPUTED_VALUE"""),9960.0)</f>
        <v>9960</v>
      </c>
      <c r="F2859" s="1">
        <f>IFERROR(__xludf.DUMMYFUNCTION("""COMPUTED_VALUE"""),64091.0)</f>
        <v>64091</v>
      </c>
    </row>
    <row r="2860">
      <c r="A2860" s="2">
        <f>IFERROR(__xludf.DUMMYFUNCTION("""COMPUTED_VALUE"""),45155.64583333333)</f>
        <v>45155.64583</v>
      </c>
      <c r="B2860" s="1">
        <f>IFERROR(__xludf.DUMMYFUNCTION("""COMPUTED_VALUE"""),9850.0)</f>
        <v>9850</v>
      </c>
      <c r="C2860" s="1">
        <f>IFERROR(__xludf.DUMMYFUNCTION("""COMPUTED_VALUE"""),9960.0)</f>
        <v>9960</v>
      </c>
      <c r="D2860" s="1">
        <f>IFERROR(__xludf.DUMMYFUNCTION("""COMPUTED_VALUE"""),9700.0)</f>
        <v>9700</v>
      </c>
      <c r="E2860" s="1">
        <f>IFERROR(__xludf.DUMMYFUNCTION("""COMPUTED_VALUE"""),9940.0)</f>
        <v>9940</v>
      </c>
      <c r="F2860" s="1">
        <f>IFERROR(__xludf.DUMMYFUNCTION("""COMPUTED_VALUE"""),45595.0)</f>
        <v>45595</v>
      </c>
    </row>
    <row r="2861">
      <c r="A2861" s="2">
        <f>IFERROR(__xludf.DUMMYFUNCTION("""COMPUTED_VALUE"""),45156.64583333333)</f>
        <v>45156.64583</v>
      </c>
      <c r="B2861" s="1">
        <f>IFERROR(__xludf.DUMMYFUNCTION("""COMPUTED_VALUE"""),9760.0)</f>
        <v>9760</v>
      </c>
      <c r="C2861" s="1">
        <f>IFERROR(__xludf.DUMMYFUNCTION("""COMPUTED_VALUE"""),9980.0)</f>
        <v>9980</v>
      </c>
      <c r="D2861" s="1">
        <f>IFERROR(__xludf.DUMMYFUNCTION("""COMPUTED_VALUE"""),9740.0)</f>
        <v>9740</v>
      </c>
      <c r="E2861" s="1">
        <f>IFERROR(__xludf.DUMMYFUNCTION("""COMPUTED_VALUE"""),9950.0)</f>
        <v>9950</v>
      </c>
      <c r="F2861" s="1">
        <f>IFERROR(__xludf.DUMMYFUNCTION("""COMPUTED_VALUE"""),33554.0)</f>
        <v>33554</v>
      </c>
    </row>
    <row r="2862">
      <c r="A2862" s="2">
        <f>IFERROR(__xludf.DUMMYFUNCTION("""COMPUTED_VALUE"""),45159.64583333333)</f>
        <v>45159.64583</v>
      </c>
      <c r="B2862" s="1">
        <f>IFERROR(__xludf.DUMMYFUNCTION("""COMPUTED_VALUE"""),9900.0)</f>
        <v>9900</v>
      </c>
      <c r="C2862" s="1">
        <f>IFERROR(__xludf.DUMMYFUNCTION("""COMPUTED_VALUE"""),10000.0)</f>
        <v>10000</v>
      </c>
      <c r="D2862" s="1">
        <f>IFERROR(__xludf.DUMMYFUNCTION("""COMPUTED_VALUE"""),9850.0)</f>
        <v>9850</v>
      </c>
      <c r="E2862" s="1">
        <f>IFERROR(__xludf.DUMMYFUNCTION("""COMPUTED_VALUE"""),9920.0)</f>
        <v>9920</v>
      </c>
      <c r="F2862" s="1">
        <f>IFERROR(__xludf.DUMMYFUNCTION("""COMPUTED_VALUE"""),34596.0)</f>
        <v>34596</v>
      </c>
    </row>
    <row r="2863">
      <c r="A2863" s="2">
        <f>IFERROR(__xludf.DUMMYFUNCTION("""COMPUTED_VALUE"""),45160.64583333333)</f>
        <v>45160.64583</v>
      </c>
      <c r="B2863" s="1">
        <f>IFERROR(__xludf.DUMMYFUNCTION("""COMPUTED_VALUE"""),9920.0)</f>
        <v>9920</v>
      </c>
      <c r="C2863" s="1">
        <f>IFERROR(__xludf.DUMMYFUNCTION("""COMPUTED_VALUE"""),10050.0)</f>
        <v>10050</v>
      </c>
      <c r="D2863" s="1">
        <f>IFERROR(__xludf.DUMMYFUNCTION("""COMPUTED_VALUE"""),9880.0)</f>
        <v>9880</v>
      </c>
      <c r="E2863" s="1">
        <f>IFERROR(__xludf.DUMMYFUNCTION("""COMPUTED_VALUE"""),10010.0)</f>
        <v>10010</v>
      </c>
      <c r="F2863" s="1">
        <f>IFERROR(__xludf.DUMMYFUNCTION("""COMPUTED_VALUE"""),25191.0)</f>
        <v>25191</v>
      </c>
    </row>
    <row r="2864">
      <c r="A2864" s="2">
        <f>IFERROR(__xludf.DUMMYFUNCTION("""COMPUTED_VALUE"""),45161.64583333333)</f>
        <v>45161.64583</v>
      </c>
      <c r="B2864" s="1">
        <f>IFERROR(__xludf.DUMMYFUNCTION("""COMPUTED_VALUE"""),10010.0)</f>
        <v>10010</v>
      </c>
      <c r="C2864" s="1">
        <f>IFERROR(__xludf.DUMMYFUNCTION("""COMPUTED_VALUE"""),10010.0)</f>
        <v>10010</v>
      </c>
      <c r="D2864" s="1">
        <f>IFERROR(__xludf.DUMMYFUNCTION("""COMPUTED_VALUE"""),9840.0)</f>
        <v>9840</v>
      </c>
      <c r="E2864" s="1">
        <f>IFERROR(__xludf.DUMMYFUNCTION("""COMPUTED_VALUE"""),9940.0)</f>
        <v>9940</v>
      </c>
      <c r="F2864" s="1">
        <f>IFERROR(__xludf.DUMMYFUNCTION("""COMPUTED_VALUE"""),36179.0)</f>
        <v>36179</v>
      </c>
    </row>
    <row r="2865">
      <c r="A2865" s="2">
        <f>IFERROR(__xludf.DUMMYFUNCTION("""COMPUTED_VALUE"""),45162.64583333333)</f>
        <v>45162.64583</v>
      </c>
      <c r="B2865" s="1">
        <f>IFERROR(__xludf.DUMMYFUNCTION("""COMPUTED_VALUE"""),9900.0)</f>
        <v>9900</v>
      </c>
      <c r="C2865" s="1">
        <f>IFERROR(__xludf.DUMMYFUNCTION("""COMPUTED_VALUE"""),9950.0)</f>
        <v>9950</v>
      </c>
      <c r="D2865" s="1">
        <f>IFERROR(__xludf.DUMMYFUNCTION("""COMPUTED_VALUE"""),9850.0)</f>
        <v>9850</v>
      </c>
      <c r="E2865" s="1">
        <f>IFERROR(__xludf.DUMMYFUNCTION("""COMPUTED_VALUE"""),9940.0)</f>
        <v>9940</v>
      </c>
      <c r="F2865" s="1">
        <f>IFERROR(__xludf.DUMMYFUNCTION("""COMPUTED_VALUE"""),33607.0)</f>
        <v>33607</v>
      </c>
    </row>
    <row r="2866">
      <c r="A2866" s="2">
        <f>IFERROR(__xludf.DUMMYFUNCTION("""COMPUTED_VALUE"""),45163.64583333333)</f>
        <v>45163.64583</v>
      </c>
      <c r="B2866" s="1">
        <f>IFERROR(__xludf.DUMMYFUNCTION("""COMPUTED_VALUE"""),9880.0)</f>
        <v>9880</v>
      </c>
      <c r="C2866" s="1">
        <f>IFERROR(__xludf.DUMMYFUNCTION("""COMPUTED_VALUE"""),9940.0)</f>
        <v>9940</v>
      </c>
      <c r="D2866" s="1">
        <f>IFERROR(__xludf.DUMMYFUNCTION("""COMPUTED_VALUE"""),9850.0)</f>
        <v>9850</v>
      </c>
      <c r="E2866" s="1">
        <f>IFERROR(__xludf.DUMMYFUNCTION("""COMPUTED_VALUE"""),9940.0)</f>
        <v>9940</v>
      </c>
      <c r="F2866" s="1">
        <f>IFERROR(__xludf.DUMMYFUNCTION("""COMPUTED_VALUE"""),19358.0)</f>
        <v>19358</v>
      </c>
    </row>
    <row r="2867">
      <c r="A2867" s="2">
        <f>IFERROR(__xludf.DUMMYFUNCTION("""COMPUTED_VALUE"""),45166.64583333333)</f>
        <v>45166.64583</v>
      </c>
      <c r="B2867" s="1">
        <f>IFERROR(__xludf.DUMMYFUNCTION("""COMPUTED_VALUE"""),9980.0)</f>
        <v>9980</v>
      </c>
      <c r="C2867" s="1">
        <f>IFERROR(__xludf.DUMMYFUNCTION("""COMPUTED_VALUE"""),10070.0)</f>
        <v>10070</v>
      </c>
      <c r="D2867" s="1">
        <f>IFERROR(__xludf.DUMMYFUNCTION("""COMPUTED_VALUE"""),9820.0)</f>
        <v>9820</v>
      </c>
      <c r="E2867" s="1">
        <f>IFERROR(__xludf.DUMMYFUNCTION("""COMPUTED_VALUE"""),9960.0)</f>
        <v>9960</v>
      </c>
      <c r="F2867" s="1">
        <f>IFERROR(__xludf.DUMMYFUNCTION("""COMPUTED_VALUE"""),27692.0)</f>
        <v>27692</v>
      </c>
    </row>
    <row r="2868">
      <c r="A2868" s="2">
        <f>IFERROR(__xludf.DUMMYFUNCTION("""COMPUTED_VALUE"""),45167.64583333333)</f>
        <v>45167.64583</v>
      </c>
      <c r="B2868" s="1">
        <f>IFERROR(__xludf.DUMMYFUNCTION("""COMPUTED_VALUE"""),9960.0)</f>
        <v>9960</v>
      </c>
      <c r="C2868" s="1">
        <f>IFERROR(__xludf.DUMMYFUNCTION("""COMPUTED_VALUE"""),10040.0)</f>
        <v>10040</v>
      </c>
      <c r="D2868" s="1">
        <f>IFERROR(__xludf.DUMMYFUNCTION("""COMPUTED_VALUE"""),9920.0)</f>
        <v>9920</v>
      </c>
      <c r="E2868" s="1">
        <f>IFERROR(__xludf.DUMMYFUNCTION("""COMPUTED_VALUE"""),10020.0)</f>
        <v>10020</v>
      </c>
      <c r="F2868" s="1">
        <f>IFERROR(__xludf.DUMMYFUNCTION("""COMPUTED_VALUE"""),20048.0)</f>
        <v>20048</v>
      </c>
    </row>
    <row r="2869">
      <c r="A2869" s="2">
        <f>IFERROR(__xludf.DUMMYFUNCTION("""COMPUTED_VALUE"""),45168.64583333333)</f>
        <v>45168.64583</v>
      </c>
      <c r="B2869" s="1">
        <f>IFERROR(__xludf.DUMMYFUNCTION("""COMPUTED_VALUE"""),10070.0)</f>
        <v>10070</v>
      </c>
      <c r="C2869" s="1">
        <f>IFERROR(__xludf.DUMMYFUNCTION("""COMPUTED_VALUE"""),10070.0)</f>
        <v>10070</v>
      </c>
      <c r="D2869" s="1">
        <f>IFERROR(__xludf.DUMMYFUNCTION("""COMPUTED_VALUE"""),9980.0)</f>
        <v>9980</v>
      </c>
      <c r="E2869" s="1">
        <f>IFERROR(__xludf.DUMMYFUNCTION("""COMPUTED_VALUE"""),9990.0)</f>
        <v>9990</v>
      </c>
      <c r="F2869" s="1">
        <f>IFERROR(__xludf.DUMMYFUNCTION("""COMPUTED_VALUE"""),21323.0)</f>
        <v>21323</v>
      </c>
    </row>
    <row r="2870">
      <c r="A2870" s="2">
        <f>IFERROR(__xludf.DUMMYFUNCTION("""COMPUTED_VALUE"""),45169.64583333333)</f>
        <v>45169.64583</v>
      </c>
      <c r="B2870" s="1">
        <f>IFERROR(__xludf.DUMMYFUNCTION("""COMPUTED_VALUE"""),9990.0)</f>
        <v>9990</v>
      </c>
      <c r="C2870" s="1">
        <f>IFERROR(__xludf.DUMMYFUNCTION("""COMPUTED_VALUE"""),9990.0)</f>
        <v>9990</v>
      </c>
      <c r="D2870" s="1">
        <f>IFERROR(__xludf.DUMMYFUNCTION("""COMPUTED_VALUE"""),9890.0)</f>
        <v>9890</v>
      </c>
      <c r="E2870" s="1">
        <f>IFERROR(__xludf.DUMMYFUNCTION("""COMPUTED_VALUE"""),9910.0)</f>
        <v>9910</v>
      </c>
      <c r="F2870" s="1">
        <f>IFERROR(__xludf.DUMMYFUNCTION("""COMPUTED_VALUE"""),20791.0)</f>
        <v>20791</v>
      </c>
    </row>
    <row r="2871">
      <c r="A2871" s="2">
        <f>IFERROR(__xludf.DUMMYFUNCTION("""COMPUTED_VALUE"""),45170.64583333333)</f>
        <v>45170.64583</v>
      </c>
      <c r="B2871" s="1">
        <f>IFERROR(__xludf.DUMMYFUNCTION("""COMPUTED_VALUE"""),9950.0)</f>
        <v>9950</v>
      </c>
      <c r="C2871" s="1">
        <f>IFERROR(__xludf.DUMMYFUNCTION("""COMPUTED_VALUE"""),9950.0)</f>
        <v>9950</v>
      </c>
      <c r="D2871" s="1">
        <f>IFERROR(__xludf.DUMMYFUNCTION("""COMPUTED_VALUE"""),9840.0)</f>
        <v>9840</v>
      </c>
      <c r="E2871" s="1">
        <f>IFERROR(__xludf.DUMMYFUNCTION("""COMPUTED_VALUE"""),9880.0)</f>
        <v>9880</v>
      </c>
      <c r="F2871" s="1">
        <f>IFERROR(__xludf.DUMMYFUNCTION("""COMPUTED_VALUE"""),25277.0)</f>
        <v>25277</v>
      </c>
    </row>
    <row r="2872">
      <c r="A2872" s="2">
        <f>IFERROR(__xludf.DUMMYFUNCTION("""COMPUTED_VALUE"""),45173.64583333333)</f>
        <v>45173.64583</v>
      </c>
      <c r="B2872" s="1">
        <f>IFERROR(__xludf.DUMMYFUNCTION("""COMPUTED_VALUE"""),9880.0)</f>
        <v>9880</v>
      </c>
      <c r="C2872" s="1">
        <f>IFERROR(__xludf.DUMMYFUNCTION("""COMPUTED_VALUE"""),9890.0)</f>
        <v>9890</v>
      </c>
      <c r="D2872" s="1">
        <f>IFERROR(__xludf.DUMMYFUNCTION("""COMPUTED_VALUE"""),9790.0)</f>
        <v>9790</v>
      </c>
      <c r="E2872" s="1">
        <f>IFERROR(__xludf.DUMMYFUNCTION("""COMPUTED_VALUE"""),9870.0)</f>
        <v>9870</v>
      </c>
      <c r="F2872" s="1">
        <f>IFERROR(__xludf.DUMMYFUNCTION("""COMPUTED_VALUE"""),21932.0)</f>
        <v>21932</v>
      </c>
    </row>
    <row r="2873">
      <c r="A2873" s="2">
        <f>IFERROR(__xludf.DUMMYFUNCTION("""COMPUTED_VALUE"""),45174.64583333333)</f>
        <v>45174.64583</v>
      </c>
      <c r="B2873" s="1">
        <f>IFERROR(__xludf.DUMMYFUNCTION("""COMPUTED_VALUE"""),9870.0)</f>
        <v>9870</v>
      </c>
      <c r="C2873" s="1">
        <f>IFERROR(__xludf.DUMMYFUNCTION("""COMPUTED_VALUE"""),9930.0)</f>
        <v>9930</v>
      </c>
      <c r="D2873" s="1">
        <f>IFERROR(__xludf.DUMMYFUNCTION("""COMPUTED_VALUE"""),9820.0)</f>
        <v>9820</v>
      </c>
      <c r="E2873" s="1">
        <f>IFERROR(__xludf.DUMMYFUNCTION("""COMPUTED_VALUE"""),9910.0)</f>
        <v>9910</v>
      </c>
      <c r="F2873" s="1">
        <f>IFERROR(__xludf.DUMMYFUNCTION("""COMPUTED_VALUE"""),21983.0)</f>
        <v>21983</v>
      </c>
    </row>
    <row r="2874">
      <c r="A2874" s="2">
        <f>IFERROR(__xludf.DUMMYFUNCTION("""COMPUTED_VALUE"""),45175.64583333333)</f>
        <v>45175.64583</v>
      </c>
      <c r="B2874" s="1">
        <f>IFERROR(__xludf.DUMMYFUNCTION("""COMPUTED_VALUE"""),9930.0)</f>
        <v>9930</v>
      </c>
      <c r="C2874" s="1">
        <f>IFERROR(__xludf.DUMMYFUNCTION("""COMPUTED_VALUE"""),9930.0)</f>
        <v>9930</v>
      </c>
      <c r="D2874" s="1">
        <f>IFERROR(__xludf.DUMMYFUNCTION("""COMPUTED_VALUE"""),9810.0)</f>
        <v>9810</v>
      </c>
      <c r="E2874" s="1">
        <f>IFERROR(__xludf.DUMMYFUNCTION("""COMPUTED_VALUE"""),9850.0)</f>
        <v>9850</v>
      </c>
      <c r="F2874" s="1">
        <f>IFERROR(__xludf.DUMMYFUNCTION("""COMPUTED_VALUE"""),23310.0)</f>
        <v>23310</v>
      </c>
    </row>
    <row r="2875">
      <c r="A2875" s="2">
        <f>IFERROR(__xludf.DUMMYFUNCTION("""COMPUTED_VALUE"""),45176.64583333333)</f>
        <v>45176.64583</v>
      </c>
      <c r="B2875" s="1">
        <f>IFERROR(__xludf.DUMMYFUNCTION("""COMPUTED_VALUE"""),9810.0)</f>
        <v>9810</v>
      </c>
      <c r="C2875" s="1">
        <f>IFERROR(__xludf.DUMMYFUNCTION("""COMPUTED_VALUE"""),9860.0)</f>
        <v>9860</v>
      </c>
      <c r="D2875" s="1">
        <f>IFERROR(__xludf.DUMMYFUNCTION("""COMPUTED_VALUE"""),9720.0)</f>
        <v>9720</v>
      </c>
      <c r="E2875" s="1">
        <f>IFERROR(__xludf.DUMMYFUNCTION("""COMPUTED_VALUE"""),9730.0)</f>
        <v>9730</v>
      </c>
      <c r="F2875" s="1">
        <f>IFERROR(__xludf.DUMMYFUNCTION("""COMPUTED_VALUE"""),97255.0)</f>
        <v>97255</v>
      </c>
    </row>
    <row r="2876">
      <c r="A2876" s="2">
        <f>IFERROR(__xludf.DUMMYFUNCTION("""COMPUTED_VALUE"""),45177.64583333333)</f>
        <v>45177.64583</v>
      </c>
      <c r="B2876" s="1">
        <f>IFERROR(__xludf.DUMMYFUNCTION("""COMPUTED_VALUE"""),11700.0)</f>
        <v>11700</v>
      </c>
      <c r="C2876" s="1">
        <f>IFERROR(__xludf.DUMMYFUNCTION("""COMPUTED_VALUE"""),11920.0)</f>
        <v>11920</v>
      </c>
      <c r="D2876" s="1">
        <f>IFERROR(__xludf.DUMMYFUNCTION("""COMPUTED_VALUE"""),9990.0)</f>
        <v>9990</v>
      </c>
      <c r="E2876" s="1">
        <f>IFERROR(__xludf.DUMMYFUNCTION("""COMPUTED_VALUE"""),10000.0)</f>
        <v>10000</v>
      </c>
      <c r="F2876" s="1">
        <f>IFERROR(__xludf.DUMMYFUNCTION("""COMPUTED_VALUE"""),2102503.0)</f>
        <v>2102503</v>
      </c>
    </row>
    <row r="2877">
      <c r="A2877" s="2">
        <f>IFERROR(__xludf.DUMMYFUNCTION("""COMPUTED_VALUE"""),45180.64583333333)</f>
        <v>45180.64583</v>
      </c>
      <c r="B2877" s="1">
        <f>IFERROR(__xludf.DUMMYFUNCTION("""COMPUTED_VALUE"""),10120.0)</f>
        <v>10120</v>
      </c>
      <c r="C2877" s="1">
        <f>IFERROR(__xludf.DUMMYFUNCTION("""COMPUTED_VALUE"""),10120.0)</f>
        <v>10120</v>
      </c>
      <c r="D2877" s="1">
        <f>IFERROR(__xludf.DUMMYFUNCTION("""COMPUTED_VALUE"""),9870.0)</f>
        <v>9870</v>
      </c>
      <c r="E2877" s="1">
        <f>IFERROR(__xludf.DUMMYFUNCTION("""COMPUTED_VALUE"""),10020.0)</f>
        <v>10020</v>
      </c>
      <c r="F2877" s="1">
        <f>IFERROR(__xludf.DUMMYFUNCTION("""COMPUTED_VALUE"""),182614.0)</f>
        <v>182614</v>
      </c>
    </row>
    <row r="2878">
      <c r="A2878" s="2">
        <f>IFERROR(__xludf.DUMMYFUNCTION("""COMPUTED_VALUE"""),45181.64583333333)</f>
        <v>45181.64583</v>
      </c>
      <c r="B2878" s="1">
        <f>IFERROR(__xludf.DUMMYFUNCTION("""COMPUTED_VALUE"""),10020.0)</f>
        <v>10020</v>
      </c>
      <c r="C2878" s="1">
        <f>IFERROR(__xludf.DUMMYFUNCTION("""COMPUTED_VALUE"""),10030.0)</f>
        <v>10030</v>
      </c>
      <c r="D2878" s="1">
        <f>IFERROR(__xludf.DUMMYFUNCTION("""COMPUTED_VALUE"""),9890.0)</f>
        <v>9890</v>
      </c>
      <c r="E2878" s="1">
        <f>IFERROR(__xludf.DUMMYFUNCTION("""COMPUTED_VALUE"""),9890.0)</f>
        <v>9890</v>
      </c>
      <c r="F2878" s="1">
        <f>IFERROR(__xludf.DUMMYFUNCTION("""COMPUTED_VALUE"""),115781.0)</f>
        <v>115781</v>
      </c>
    </row>
    <row r="2879">
      <c r="A2879" s="2">
        <f>IFERROR(__xludf.DUMMYFUNCTION("""COMPUTED_VALUE"""),45182.64583333333)</f>
        <v>45182.64583</v>
      </c>
      <c r="B2879" s="1">
        <f>IFERROR(__xludf.DUMMYFUNCTION("""COMPUTED_VALUE"""),9850.0)</f>
        <v>9850</v>
      </c>
      <c r="C2879" s="1">
        <f>IFERROR(__xludf.DUMMYFUNCTION("""COMPUTED_VALUE"""),10650.0)</f>
        <v>10650</v>
      </c>
      <c r="D2879" s="1">
        <f>IFERROR(__xludf.DUMMYFUNCTION("""COMPUTED_VALUE"""),9850.0)</f>
        <v>9850</v>
      </c>
      <c r="E2879" s="1">
        <f>IFERROR(__xludf.DUMMYFUNCTION("""COMPUTED_VALUE"""),10040.0)</f>
        <v>10040</v>
      </c>
      <c r="F2879" s="1">
        <f>IFERROR(__xludf.DUMMYFUNCTION("""COMPUTED_VALUE"""),783161.0)</f>
        <v>783161</v>
      </c>
    </row>
    <row r="2880">
      <c r="A2880" s="2">
        <f>IFERROR(__xludf.DUMMYFUNCTION("""COMPUTED_VALUE"""),45183.64583333333)</f>
        <v>45183.64583</v>
      </c>
      <c r="B2880" s="1">
        <f>IFERROR(__xludf.DUMMYFUNCTION("""COMPUTED_VALUE"""),10030.0)</f>
        <v>10030</v>
      </c>
      <c r="C2880" s="1">
        <f>IFERROR(__xludf.DUMMYFUNCTION("""COMPUTED_VALUE"""),10090.0)</f>
        <v>10090</v>
      </c>
      <c r="D2880" s="1">
        <f>IFERROR(__xludf.DUMMYFUNCTION("""COMPUTED_VALUE"""),9920.0)</f>
        <v>9920</v>
      </c>
      <c r="E2880" s="1">
        <f>IFERROR(__xludf.DUMMYFUNCTION("""COMPUTED_VALUE"""),10030.0)</f>
        <v>10030</v>
      </c>
      <c r="F2880" s="1">
        <f>IFERROR(__xludf.DUMMYFUNCTION("""COMPUTED_VALUE"""),74306.0)</f>
        <v>74306</v>
      </c>
    </row>
    <row r="2881">
      <c r="A2881" s="2">
        <f>IFERROR(__xludf.DUMMYFUNCTION("""COMPUTED_VALUE"""),45184.64583333333)</f>
        <v>45184.64583</v>
      </c>
      <c r="B2881" s="1">
        <f>IFERROR(__xludf.DUMMYFUNCTION("""COMPUTED_VALUE"""),10030.0)</f>
        <v>10030</v>
      </c>
      <c r="C2881" s="1">
        <f>IFERROR(__xludf.DUMMYFUNCTION("""COMPUTED_VALUE"""),10170.0)</f>
        <v>10170</v>
      </c>
      <c r="D2881" s="1">
        <f>IFERROR(__xludf.DUMMYFUNCTION("""COMPUTED_VALUE"""),9990.0)</f>
        <v>9990</v>
      </c>
      <c r="E2881" s="1">
        <f>IFERROR(__xludf.DUMMYFUNCTION("""COMPUTED_VALUE"""),10050.0)</f>
        <v>10050</v>
      </c>
      <c r="F2881" s="1">
        <f>IFERROR(__xludf.DUMMYFUNCTION("""COMPUTED_VALUE"""),72451.0)</f>
        <v>72451</v>
      </c>
    </row>
    <row r="2882">
      <c r="A2882" s="2">
        <f>IFERROR(__xludf.DUMMYFUNCTION("""COMPUTED_VALUE"""),45187.64583333333)</f>
        <v>45187.64583</v>
      </c>
      <c r="B2882" s="1">
        <f>IFERROR(__xludf.DUMMYFUNCTION("""COMPUTED_VALUE"""),10120.0)</f>
        <v>10120</v>
      </c>
      <c r="C2882" s="1">
        <f>IFERROR(__xludf.DUMMYFUNCTION("""COMPUTED_VALUE"""),10220.0)</f>
        <v>10220</v>
      </c>
      <c r="D2882" s="1">
        <f>IFERROR(__xludf.DUMMYFUNCTION("""COMPUTED_VALUE"""),10040.0)</f>
        <v>10040</v>
      </c>
      <c r="E2882" s="1">
        <f>IFERROR(__xludf.DUMMYFUNCTION("""COMPUTED_VALUE"""),10050.0)</f>
        <v>10050</v>
      </c>
      <c r="F2882" s="1">
        <f>IFERROR(__xludf.DUMMYFUNCTION("""COMPUTED_VALUE"""),66586.0)</f>
        <v>66586</v>
      </c>
    </row>
    <row r="2883">
      <c r="A2883" s="2">
        <f>IFERROR(__xludf.DUMMYFUNCTION("""COMPUTED_VALUE"""),45188.64583333333)</f>
        <v>45188.64583</v>
      </c>
      <c r="B2883" s="1">
        <f>IFERROR(__xludf.DUMMYFUNCTION("""COMPUTED_VALUE"""),10070.0)</f>
        <v>10070</v>
      </c>
      <c r="C2883" s="1">
        <f>IFERROR(__xludf.DUMMYFUNCTION("""COMPUTED_VALUE"""),10110.0)</f>
        <v>10110</v>
      </c>
      <c r="D2883" s="1">
        <f>IFERROR(__xludf.DUMMYFUNCTION("""COMPUTED_VALUE"""),9920.0)</f>
        <v>9920</v>
      </c>
      <c r="E2883" s="1">
        <f>IFERROR(__xludf.DUMMYFUNCTION("""COMPUTED_VALUE"""),9990.0)</f>
        <v>9990</v>
      </c>
      <c r="F2883" s="1">
        <f>IFERROR(__xludf.DUMMYFUNCTION("""COMPUTED_VALUE"""),72214.0)</f>
        <v>72214</v>
      </c>
    </row>
    <row r="2884">
      <c r="A2884" s="2">
        <f>IFERROR(__xludf.DUMMYFUNCTION("""COMPUTED_VALUE"""),45189.64583333333)</f>
        <v>45189.64583</v>
      </c>
      <c r="B2884" s="1">
        <f>IFERROR(__xludf.DUMMYFUNCTION("""COMPUTED_VALUE"""),9960.0)</f>
        <v>9960</v>
      </c>
      <c r="C2884" s="1">
        <f>IFERROR(__xludf.DUMMYFUNCTION("""COMPUTED_VALUE"""),10020.0)</f>
        <v>10020</v>
      </c>
      <c r="D2884" s="1">
        <f>IFERROR(__xludf.DUMMYFUNCTION("""COMPUTED_VALUE"""),9940.0)</f>
        <v>9940</v>
      </c>
      <c r="E2884" s="1">
        <f>IFERROR(__xludf.DUMMYFUNCTION("""COMPUTED_VALUE"""),9980.0)</f>
        <v>9980</v>
      </c>
      <c r="F2884" s="1">
        <f>IFERROR(__xludf.DUMMYFUNCTION("""COMPUTED_VALUE"""),32206.0)</f>
        <v>32206</v>
      </c>
    </row>
    <row r="2885">
      <c r="A2885" s="2">
        <f>IFERROR(__xludf.DUMMYFUNCTION("""COMPUTED_VALUE"""),45190.64583333333)</f>
        <v>45190.64583</v>
      </c>
      <c r="B2885" s="1">
        <f>IFERROR(__xludf.DUMMYFUNCTION("""COMPUTED_VALUE"""),9980.0)</f>
        <v>9980</v>
      </c>
      <c r="C2885" s="1">
        <f>IFERROR(__xludf.DUMMYFUNCTION("""COMPUTED_VALUE"""),10010.0)</f>
        <v>10010</v>
      </c>
      <c r="D2885" s="1">
        <f>IFERROR(__xludf.DUMMYFUNCTION("""COMPUTED_VALUE"""),9850.0)</f>
        <v>9850</v>
      </c>
      <c r="E2885" s="1">
        <f>IFERROR(__xludf.DUMMYFUNCTION("""COMPUTED_VALUE"""),9860.0)</f>
        <v>9860</v>
      </c>
      <c r="F2885" s="1">
        <f>IFERROR(__xludf.DUMMYFUNCTION("""COMPUTED_VALUE"""),69053.0)</f>
        <v>69053</v>
      </c>
    </row>
    <row r="2886">
      <c r="A2886" s="2">
        <f>IFERROR(__xludf.DUMMYFUNCTION("""COMPUTED_VALUE"""),45191.64583333333)</f>
        <v>45191.64583</v>
      </c>
      <c r="B2886" s="1">
        <f>IFERROR(__xludf.DUMMYFUNCTION("""COMPUTED_VALUE"""),9840.0)</f>
        <v>9840</v>
      </c>
      <c r="C2886" s="1">
        <f>IFERROR(__xludf.DUMMYFUNCTION("""COMPUTED_VALUE"""),9920.0)</f>
        <v>9920</v>
      </c>
      <c r="D2886" s="1">
        <f>IFERROR(__xludf.DUMMYFUNCTION("""COMPUTED_VALUE"""),9760.0)</f>
        <v>9760</v>
      </c>
      <c r="E2886" s="1">
        <f>IFERROR(__xludf.DUMMYFUNCTION("""COMPUTED_VALUE"""),9850.0)</f>
        <v>9850</v>
      </c>
      <c r="F2886" s="1">
        <f>IFERROR(__xludf.DUMMYFUNCTION("""COMPUTED_VALUE"""),37931.0)</f>
        <v>37931</v>
      </c>
    </row>
    <row r="2887">
      <c r="A2887" s="2">
        <f>IFERROR(__xludf.DUMMYFUNCTION("""COMPUTED_VALUE"""),45194.64583333333)</f>
        <v>45194.64583</v>
      </c>
      <c r="B2887" s="1">
        <f>IFERROR(__xludf.DUMMYFUNCTION("""COMPUTED_VALUE"""),9810.0)</f>
        <v>9810</v>
      </c>
      <c r="C2887" s="1">
        <f>IFERROR(__xludf.DUMMYFUNCTION("""COMPUTED_VALUE"""),9900.0)</f>
        <v>9900</v>
      </c>
      <c r="D2887" s="1">
        <f>IFERROR(__xludf.DUMMYFUNCTION("""COMPUTED_VALUE"""),9720.0)</f>
        <v>9720</v>
      </c>
      <c r="E2887" s="1">
        <f>IFERROR(__xludf.DUMMYFUNCTION("""COMPUTED_VALUE"""),9740.0)</f>
        <v>9740</v>
      </c>
      <c r="F2887" s="1">
        <f>IFERROR(__xludf.DUMMYFUNCTION("""COMPUTED_VALUE"""),35332.0)</f>
        <v>35332</v>
      </c>
    </row>
    <row r="2888">
      <c r="A2888" s="2">
        <f>IFERROR(__xludf.DUMMYFUNCTION("""COMPUTED_VALUE"""),45195.64583333333)</f>
        <v>45195.64583</v>
      </c>
      <c r="B2888" s="1">
        <f>IFERROR(__xludf.DUMMYFUNCTION("""COMPUTED_VALUE"""),9730.0)</f>
        <v>9730</v>
      </c>
      <c r="C2888" s="1">
        <f>IFERROR(__xludf.DUMMYFUNCTION("""COMPUTED_VALUE"""),9760.0)</f>
        <v>9760</v>
      </c>
      <c r="D2888" s="1">
        <f>IFERROR(__xludf.DUMMYFUNCTION("""COMPUTED_VALUE"""),9580.0)</f>
        <v>9580</v>
      </c>
      <c r="E2888" s="1">
        <f>IFERROR(__xludf.DUMMYFUNCTION("""COMPUTED_VALUE"""),9580.0)</f>
        <v>9580</v>
      </c>
      <c r="F2888" s="1">
        <f>IFERROR(__xludf.DUMMYFUNCTION("""COMPUTED_VALUE"""),50128.0)</f>
        <v>50128</v>
      </c>
    </row>
    <row r="2889">
      <c r="A2889" s="2">
        <f>IFERROR(__xludf.DUMMYFUNCTION("""COMPUTED_VALUE"""),45196.64583333333)</f>
        <v>45196.64583</v>
      </c>
      <c r="B2889" s="1">
        <f>IFERROR(__xludf.DUMMYFUNCTION("""COMPUTED_VALUE"""),9440.0)</f>
        <v>9440</v>
      </c>
      <c r="C2889" s="1">
        <f>IFERROR(__xludf.DUMMYFUNCTION("""COMPUTED_VALUE"""),9680.0)</f>
        <v>9680</v>
      </c>
      <c r="D2889" s="1">
        <f>IFERROR(__xludf.DUMMYFUNCTION("""COMPUTED_VALUE"""),9440.0)</f>
        <v>9440</v>
      </c>
      <c r="E2889" s="1">
        <f>IFERROR(__xludf.DUMMYFUNCTION("""COMPUTED_VALUE"""),9670.0)</f>
        <v>9670</v>
      </c>
      <c r="F2889" s="1">
        <f>IFERROR(__xludf.DUMMYFUNCTION("""COMPUTED_VALUE"""),14767.0)</f>
        <v>14767</v>
      </c>
    </row>
    <row r="2890">
      <c r="A2890" s="2">
        <f>IFERROR(__xludf.DUMMYFUNCTION("""COMPUTED_VALUE"""),45203.64583333333)</f>
        <v>45203.64583</v>
      </c>
      <c r="B2890" s="1">
        <f>IFERROR(__xludf.DUMMYFUNCTION("""COMPUTED_VALUE"""),9580.0)</f>
        <v>9580</v>
      </c>
      <c r="C2890" s="1">
        <f>IFERROR(__xludf.DUMMYFUNCTION("""COMPUTED_VALUE"""),9670.0)</f>
        <v>9670</v>
      </c>
      <c r="D2890" s="1">
        <f>IFERROR(__xludf.DUMMYFUNCTION("""COMPUTED_VALUE"""),9330.0)</f>
        <v>9330</v>
      </c>
      <c r="E2890" s="1">
        <f>IFERROR(__xludf.DUMMYFUNCTION("""COMPUTED_VALUE"""),9340.0)</f>
        <v>9340</v>
      </c>
      <c r="F2890" s="1">
        <f>IFERROR(__xludf.DUMMYFUNCTION("""COMPUTED_VALUE"""),41326.0)</f>
        <v>41326</v>
      </c>
    </row>
    <row r="2891">
      <c r="A2891" s="2">
        <f>IFERROR(__xludf.DUMMYFUNCTION("""COMPUTED_VALUE"""),45204.64583333333)</f>
        <v>45204.64583</v>
      </c>
      <c r="B2891" s="1">
        <f>IFERROR(__xludf.DUMMYFUNCTION("""COMPUTED_VALUE"""),9520.0)</f>
        <v>9520</v>
      </c>
      <c r="C2891" s="1">
        <f>IFERROR(__xludf.DUMMYFUNCTION("""COMPUTED_VALUE"""),9520.0)</f>
        <v>9520</v>
      </c>
      <c r="D2891" s="1">
        <f>IFERROR(__xludf.DUMMYFUNCTION("""COMPUTED_VALUE"""),9330.0)</f>
        <v>9330</v>
      </c>
      <c r="E2891" s="1">
        <f>IFERROR(__xludf.DUMMYFUNCTION("""COMPUTED_VALUE"""),9340.0)</f>
        <v>9340</v>
      </c>
      <c r="F2891" s="1">
        <f>IFERROR(__xludf.DUMMYFUNCTION("""COMPUTED_VALUE"""),21624.0)</f>
        <v>21624</v>
      </c>
    </row>
    <row r="2892">
      <c r="A2892" s="2">
        <f>IFERROR(__xludf.DUMMYFUNCTION("""COMPUTED_VALUE"""),45205.64583333333)</f>
        <v>45205.64583</v>
      </c>
      <c r="B2892" s="1">
        <f>IFERROR(__xludf.DUMMYFUNCTION("""COMPUTED_VALUE"""),9210.0)</f>
        <v>9210</v>
      </c>
      <c r="C2892" s="1">
        <f>IFERROR(__xludf.DUMMYFUNCTION("""COMPUTED_VALUE"""),9560.0)</f>
        <v>9560</v>
      </c>
      <c r="D2892" s="1">
        <f>IFERROR(__xludf.DUMMYFUNCTION("""COMPUTED_VALUE"""),9210.0)</f>
        <v>9210</v>
      </c>
      <c r="E2892" s="1">
        <f>IFERROR(__xludf.DUMMYFUNCTION("""COMPUTED_VALUE"""),9400.0)</f>
        <v>9400</v>
      </c>
      <c r="F2892" s="1">
        <f>IFERROR(__xludf.DUMMYFUNCTION("""COMPUTED_VALUE"""),27201.0)</f>
        <v>27201</v>
      </c>
    </row>
    <row r="2893">
      <c r="A2893" s="2">
        <f>IFERROR(__xludf.DUMMYFUNCTION("""COMPUTED_VALUE"""),45209.64583333333)</f>
        <v>45209.64583</v>
      </c>
      <c r="B2893" s="1">
        <f>IFERROR(__xludf.DUMMYFUNCTION("""COMPUTED_VALUE"""),9320.0)</f>
        <v>9320</v>
      </c>
      <c r="C2893" s="1">
        <f>IFERROR(__xludf.DUMMYFUNCTION("""COMPUTED_VALUE"""),9620.0)</f>
        <v>9620</v>
      </c>
      <c r="D2893" s="1">
        <f>IFERROR(__xludf.DUMMYFUNCTION("""COMPUTED_VALUE"""),9320.0)</f>
        <v>9320</v>
      </c>
      <c r="E2893" s="1">
        <f>IFERROR(__xludf.DUMMYFUNCTION("""COMPUTED_VALUE"""),9450.0)</f>
        <v>9450</v>
      </c>
      <c r="F2893" s="1">
        <f>IFERROR(__xludf.DUMMYFUNCTION("""COMPUTED_VALUE"""),25133.0)</f>
        <v>25133</v>
      </c>
    </row>
    <row r="2894">
      <c r="A2894" s="2">
        <f>IFERROR(__xludf.DUMMYFUNCTION("""COMPUTED_VALUE"""),45210.64583333333)</f>
        <v>45210.64583</v>
      </c>
      <c r="B2894" s="1">
        <f>IFERROR(__xludf.DUMMYFUNCTION("""COMPUTED_VALUE"""),9400.0)</f>
        <v>9400</v>
      </c>
      <c r="C2894" s="1">
        <f>IFERROR(__xludf.DUMMYFUNCTION("""COMPUTED_VALUE"""),9560.0)</f>
        <v>9560</v>
      </c>
      <c r="D2894" s="1">
        <f>IFERROR(__xludf.DUMMYFUNCTION("""COMPUTED_VALUE"""),9390.0)</f>
        <v>9390</v>
      </c>
      <c r="E2894" s="1">
        <f>IFERROR(__xludf.DUMMYFUNCTION("""COMPUTED_VALUE"""),9490.0)</f>
        <v>9490</v>
      </c>
      <c r="F2894" s="1">
        <f>IFERROR(__xludf.DUMMYFUNCTION("""COMPUTED_VALUE"""),12645.0)</f>
        <v>12645</v>
      </c>
    </row>
    <row r="2895">
      <c r="A2895" s="2">
        <f>IFERROR(__xludf.DUMMYFUNCTION("""COMPUTED_VALUE"""),45211.64583333333)</f>
        <v>45211.64583</v>
      </c>
      <c r="B2895" s="1">
        <f>IFERROR(__xludf.DUMMYFUNCTION("""COMPUTED_VALUE"""),9540.0)</f>
        <v>9540</v>
      </c>
      <c r="C2895" s="1">
        <f>IFERROR(__xludf.DUMMYFUNCTION("""COMPUTED_VALUE"""),9580.0)</f>
        <v>9580</v>
      </c>
      <c r="D2895" s="1">
        <f>IFERROR(__xludf.DUMMYFUNCTION("""COMPUTED_VALUE"""),9430.0)</f>
        <v>9430</v>
      </c>
      <c r="E2895" s="1">
        <f>IFERROR(__xludf.DUMMYFUNCTION("""COMPUTED_VALUE"""),9580.0)</f>
        <v>9580</v>
      </c>
      <c r="F2895" s="1">
        <f>IFERROR(__xludf.DUMMYFUNCTION("""COMPUTED_VALUE"""),8581.0)</f>
        <v>8581</v>
      </c>
    </row>
    <row r="2896">
      <c r="A2896" s="2">
        <f>IFERROR(__xludf.DUMMYFUNCTION("""COMPUTED_VALUE"""),45212.64583333333)</f>
        <v>45212.64583</v>
      </c>
      <c r="B2896" s="1">
        <f>IFERROR(__xludf.DUMMYFUNCTION("""COMPUTED_VALUE"""),9580.0)</f>
        <v>9580</v>
      </c>
      <c r="C2896" s="1">
        <f>IFERROR(__xludf.DUMMYFUNCTION("""COMPUTED_VALUE"""),9860.0)</f>
        <v>9860</v>
      </c>
      <c r="D2896" s="1">
        <f>IFERROR(__xludf.DUMMYFUNCTION("""COMPUTED_VALUE"""),9490.0)</f>
        <v>9490</v>
      </c>
      <c r="E2896" s="1">
        <f>IFERROR(__xludf.DUMMYFUNCTION("""COMPUTED_VALUE"""),9640.0)</f>
        <v>9640</v>
      </c>
      <c r="F2896" s="1">
        <f>IFERROR(__xludf.DUMMYFUNCTION("""COMPUTED_VALUE"""),26754.0)</f>
        <v>26754</v>
      </c>
    </row>
    <row r="2897">
      <c r="A2897" s="2">
        <f>IFERROR(__xludf.DUMMYFUNCTION("""COMPUTED_VALUE"""),45215.64583333333)</f>
        <v>45215.64583</v>
      </c>
      <c r="B2897" s="1">
        <f>IFERROR(__xludf.DUMMYFUNCTION("""COMPUTED_VALUE"""),9780.0)</f>
        <v>9780</v>
      </c>
      <c r="C2897" s="1">
        <f>IFERROR(__xludf.DUMMYFUNCTION("""COMPUTED_VALUE"""),9780.0)</f>
        <v>9780</v>
      </c>
      <c r="D2897" s="1">
        <f>IFERROR(__xludf.DUMMYFUNCTION("""COMPUTED_VALUE"""),9500.0)</f>
        <v>9500</v>
      </c>
      <c r="E2897" s="1">
        <f>IFERROR(__xludf.DUMMYFUNCTION("""COMPUTED_VALUE"""),9650.0)</f>
        <v>9650</v>
      </c>
      <c r="F2897" s="1">
        <f>IFERROR(__xludf.DUMMYFUNCTION("""COMPUTED_VALUE"""),20981.0)</f>
        <v>20981</v>
      </c>
    </row>
    <row r="2898">
      <c r="A2898" s="2">
        <f>IFERROR(__xludf.DUMMYFUNCTION("""COMPUTED_VALUE"""),45216.64583333333)</f>
        <v>45216.64583</v>
      </c>
      <c r="B2898" s="1">
        <f>IFERROR(__xludf.DUMMYFUNCTION("""COMPUTED_VALUE"""),9570.0)</f>
        <v>9570</v>
      </c>
      <c r="C2898" s="1">
        <f>IFERROR(__xludf.DUMMYFUNCTION("""COMPUTED_VALUE"""),9740.0)</f>
        <v>9740</v>
      </c>
      <c r="D2898" s="1">
        <f>IFERROR(__xludf.DUMMYFUNCTION("""COMPUTED_VALUE"""),9510.0)</f>
        <v>9510</v>
      </c>
      <c r="E2898" s="1">
        <f>IFERROR(__xludf.DUMMYFUNCTION("""COMPUTED_VALUE"""),9590.0)</f>
        <v>9590</v>
      </c>
      <c r="F2898" s="1">
        <f>IFERROR(__xludf.DUMMYFUNCTION("""COMPUTED_VALUE"""),19790.0)</f>
        <v>19790</v>
      </c>
    </row>
    <row r="2899">
      <c r="A2899" s="2">
        <f>IFERROR(__xludf.DUMMYFUNCTION("""COMPUTED_VALUE"""),45217.64583333333)</f>
        <v>45217.64583</v>
      </c>
      <c r="B2899" s="1">
        <f>IFERROR(__xludf.DUMMYFUNCTION("""COMPUTED_VALUE"""),9470.0)</f>
        <v>9470</v>
      </c>
      <c r="C2899" s="1">
        <f>IFERROR(__xludf.DUMMYFUNCTION("""COMPUTED_VALUE"""),9570.0)</f>
        <v>9570</v>
      </c>
      <c r="D2899" s="1">
        <f>IFERROR(__xludf.DUMMYFUNCTION("""COMPUTED_VALUE"""),9470.0)</f>
        <v>9470</v>
      </c>
      <c r="E2899" s="1">
        <f>IFERROR(__xludf.DUMMYFUNCTION("""COMPUTED_VALUE"""),9540.0)</f>
        <v>9540</v>
      </c>
      <c r="F2899" s="1">
        <f>IFERROR(__xludf.DUMMYFUNCTION("""COMPUTED_VALUE"""),19242.0)</f>
        <v>19242</v>
      </c>
    </row>
    <row r="2900">
      <c r="A2900" s="2">
        <f>IFERROR(__xludf.DUMMYFUNCTION("""COMPUTED_VALUE"""),45218.64583333333)</f>
        <v>45218.64583</v>
      </c>
      <c r="B2900" s="1">
        <f>IFERROR(__xludf.DUMMYFUNCTION("""COMPUTED_VALUE"""),9470.0)</f>
        <v>9470</v>
      </c>
      <c r="C2900" s="1">
        <f>IFERROR(__xludf.DUMMYFUNCTION("""COMPUTED_VALUE"""),9530.0)</f>
        <v>9530</v>
      </c>
      <c r="D2900" s="1">
        <f>IFERROR(__xludf.DUMMYFUNCTION("""COMPUTED_VALUE"""),9290.0)</f>
        <v>9290</v>
      </c>
      <c r="E2900" s="1">
        <f>IFERROR(__xludf.DUMMYFUNCTION("""COMPUTED_VALUE"""),9470.0)</f>
        <v>9470</v>
      </c>
      <c r="F2900" s="1">
        <f>IFERROR(__xludf.DUMMYFUNCTION("""COMPUTED_VALUE"""),30607.0)</f>
        <v>30607</v>
      </c>
    </row>
    <row r="2901">
      <c r="A2901" s="2">
        <f>IFERROR(__xludf.DUMMYFUNCTION("""COMPUTED_VALUE"""),45219.64583333333)</f>
        <v>45219.64583</v>
      </c>
      <c r="B2901" s="1">
        <f>IFERROR(__xludf.DUMMYFUNCTION("""COMPUTED_VALUE"""),9300.0)</f>
        <v>9300</v>
      </c>
      <c r="C2901" s="1">
        <f>IFERROR(__xludf.DUMMYFUNCTION("""COMPUTED_VALUE"""),9370.0)</f>
        <v>9370</v>
      </c>
      <c r="D2901" s="1">
        <f>IFERROR(__xludf.DUMMYFUNCTION("""COMPUTED_VALUE"""),9220.0)</f>
        <v>9220</v>
      </c>
      <c r="E2901" s="1">
        <f>IFERROR(__xludf.DUMMYFUNCTION("""COMPUTED_VALUE"""),9340.0)</f>
        <v>9340</v>
      </c>
      <c r="F2901" s="1">
        <f>IFERROR(__xludf.DUMMYFUNCTION("""COMPUTED_VALUE"""),22574.0)</f>
        <v>22574</v>
      </c>
    </row>
    <row r="2902">
      <c r="A2902" s="2">
        <f>IFERROR(__xludf.DUMMYFUNCTION("""COMPUTED_VALUE"""),45222.64583333333)</f>
        <v>45222.64583</v>
      </c>
      <c r="B2902" s="1">
        <f>IFERROR(__xludf.DUMMYFUNCTION("""COMPUTED_VALUE"""),9170.0)</f>
        <v>9170</v>
      </c>
      <c r="C2902" s="1">
        <f>IFERROR(__xludf.DUMMYFUNCTION("""COMPUTED_VALUE"""),9330.0)</f>
        <v>9330</v>
      </c>
      <c r="D2902" s="1">
        <f>IFERROR(__xludf.DUMMYFUNCTION("""COMPUTED_VALUE"""),9170.0)</f>
        <v>9170</v>
      </c>
      <c r="E2902" s="1">
        <f>IFERROR(__xludf.DUMMYFUNCTION("""COMPUTED_VALUE"""),9190.0)</f>
        <v>9190</v>
      </c>
      <c r="F2902" s="1">
        <f>IFERROR(__xludf.DUMMYFUNCTION("""COMPUTED_VALUE"""),22636.0)</f>
        <v>22636</v>
      </c>
    </row>
    <row r="2903">
      <c r="A2903" s="2">
        <f>IFERROR(__xludf.DUMMYFUNCTION("""COMPUTED_VALUE"""),45223.64583333333)</f>
        <v>45223.64583</v>
      </c>
      <c r="B2903" s="1">
        <f>IFERROR(__xludf.DUMMYFUNCTION("""COMPUTED_VALUE"""),9190.0)</f>
        <v>9190</v>
      </c>
      <c r="C2903" s="1">
        <f>IFERROR(__xludf.DUMMYFUNCTION("""COMPUTED_VALUE"""),9360.0)</f>
        <v>9360</v>
      </c>
      <c r="D2903" s="1">
        <f>IFERROR(__xludf.DUMMYFUNCTION("""COMPUTED_VALUE"""),9100.0)</f>
        <v>9100</v>
      </c>
      <c r="E2903" s="1">
        <f>IFERROR(__xludf.DUMMYFUNCTION("""COMPUTED_VALUE"""),9360.0)</f>
        <v>9360</v>
      </c>
      <c r="F2903" s="1">
        <f>IFERROR(__xludf.DUMMYFUNCTION("""COMPUTED_VALUE"""),26931.0)</f>
        <v>26931</v>
      </c>
    </row>
    <row r="2904">
      <c r="A2904" s="2">
        <f>IFERROR(__xludf.DUMMYFUNCTION("""COMPUTED_VALUE"""),45224.64583333333)</f>
        <v>45224.64583</v>
      </c>
      <c r="B2904" s="1">
        <f>IFERROR(__xludf.DUMMYFUNCTION("""COMPUTED_VALUE"""),9360.0)</f>
        <v>9360</v>
      </c>
      <c r="C2904" s="1">
        <f>IFERROR(__xludf.DUMMYFUNCTION("""COMPUTED_VALUE"""),10640.0)</f>
        <v>10640</v>
      </c>
      <c r="D2904" s="1">
        <f>IFERROR(__xludf.DUMMYFUNCTION("""COMPUTED_VALUE"""),9340.0)</f>
        <v>9340</v>
      </c>
      <c r="E2904" s="1">
        <f>IFERROR(__xludf.DUMMYFUNCTION("""COMPUTED_VALUE"""),9480.0)</f>
        <v>9480</v>
      </c>
      <c r="F2904" s="1">
        <f>IFERROR(__xludf.DUMMYFUNCTION("""COMPUTED_VALUE"""),1722463.0)</f>
        <v>1722463</v>
      </c>
    </row>
    <row r="2905">
      <c r="A2905" s="2">
        <f>IFERROR(__xludf.DUMMYFUNCTION("""COMPUTED_VALUE"""),45225.64583333333)</f>
        <v>45225.64583</v>
      </c>
      <c r="B2905" s="1">
        <f>IFERROR(__xludf.DUMMYFUNCTION("""COMPUTED_VALUE"""),9370.0)</f>
        <v>9370</v>
      </c>
      <c r="C2905" s="1">
        <f>IFERROR(__xludf.DUMMYFUNCTION("""COMPUTED_VALUE"""),9390.0)</f>
        <v>9390</v>
      </c>
      <c r="D2905" s="1">
        <f>IFERROR(__xludf.DUMMYFUNCTION("""COMPUTED_VALUE"""),9210.0)</f>
        <v>9210</v>
      </c>
      <c r="E2905" s="1">
        <f>IFERROR(__xludf.DUMMYFUNCTION("""COMPUTED_VALUE"""),9220.0)</f>
        <v>9220</v>
      </c>
      <c r="F2905" s="1">
        <f>IFERROR(__xludf.DUMMYFUNCTION("""COMPUTED_VALUE"""),92282.0)</f>
        <v>92282</v>
      </c>
    </row>
    <row r="2906">
      <c r="A2906" s="2">
        <f>IFERROR(__xludf.DUMMYFUNCTION("""COMPUTED_VALUE"""),45226.64583333333)</f>
        <v>45226.64583</v>
      </c>
      <c r="B2906" s="1">
        <f>IFERROR(__xludf.DUMMYFUNCTION("""COMPUTED_VALUE"""),9190.0)</f>
        <v>9190</v>
      </c>
      <c r="C2906" s="1">
        <f>IFERROR(__xludf.DUMMYFUNCTION("""COMPUTED_VALUE"""),9500.0)</f>
        <v>9500</v>
      </c>
      <c r="D2906" s="1">
        <f>IFERROR(__xludf.DUMMYFUNCTION("""COMPUTED_VALUE"""),9120.0)</f>
        <v>9120</v>
      </c>
      <c r="E2906" s="1">
        <f>IFERROR(__xludf.DUMMYFUNCTION("""COMPUTED_VALUE"""),9220.0)</f>
        <v>9220</v>
      </c>
      <c r="F2906" s="1">
        <f>IFERROR(__xludf.DUMMYFUNCTION("""COMPUTED_VALUE"""),87251.0)</f>
        <v>87251</v>
      </c>
    </row>
    <row r="2907">
      <c r="A2907" s="2">
        <f>IFERROR(__xludf.DUMMYFUNCTION("""COMPUTED_VALUE"""),45229.64583333333)</f>
        <v>45229.64583</v>
      </c>
      <c r="B2907" s="1">
        <f>IFERROR(__xludf.DUMMYFUNCTION("""COMPUTED_VALUE"""),9130.0)</f>
        <v>9130</v>
      </c>
      <c r="C2907" s="1">
        <f>IFERROR(__xludf.DUMMYFUNCTION("""COMPUTED_VALUE"""),9300.0)</f>
        <v>9300</v>
      </c>
      <c r="D2907" s="1">
        <f>IFERROR(__xludf.DUMMYFUNCTION("""COMPUTED_VALUE"""),9130.0)</f>
        <v>9130</v>
      </c>
      <c r="E2907" s="1">
        <f>IFERROR(__xludf.DUMMYFUNCTION("""COMPUTED_VALUE"""),9290.0)</f>
        <v>9290</v>
      </c>
      <c r="F2907" s="1">
        <f>IFERROR(__xludf.DUMMYFUNCTION("""COMPUTED_VALUE"""),25843.0)</f>
        <v>25843</v>
      </c>
    </row>
    <row r="2908">
      <c r="A2908" s="2">
        <f>IFERROR(__xludf.DUMMYFUNCTION("""COMPUTED_VALUE"""),45230.64583333333)</f>
        <v>45230.64583</v>
      </c>
      <c r="B2908" s="1">
        <f>IFERROR(__xludf.DUMMYFUNCTION("""COMPUTED_VALUE"""),9350.0)</f>
        <v>9350</v>
      </c>
      <c r="C2908" s="1">
        <f>IFERROR(__xludf.DUMMYFUNCTION("""COMPUTED_VALUE"""),9830.0)</f>
        <v>9830</v>
      </c>
      <c r="D2908" s="1">
        <f>IFERROR(__xludf.DUMMYFUNCTION("""COMPUTED_VALUE"""),9340.0)</f>
        <v>9340</v>
      </c>
      <c r="E2908" s="1">
        <f>IFERROR(__xludf.DUMMYFUNCTION("""COMPUTED_VALUE"""),9420.0)</f>
        <v>9420</v>
      </c>
      <c r="F2908" s="1">
        <f>IFERROR(__xludf.DUMMYFUNCTION("""COMPUTED_VALUE"""),148220.0)</f>
        <v>148220</v>
      </c>
    </row>
    <row r="2909">
      <c r="A2909" s="2">
        <f>IFERROR(__xludf.DUMMYFUNCTION("""COMPUTED_VALUE"""),45231.64583333333)</f>
        <v>45231.64583</v>
      </c>
      <c r="B2909" s="1">
        <f>IFERROR(__xludf.DUMMYFUNCTION("""COMPUTED_VALUE"""),9440.0)</f>
        <v>9440</v>
      </c>
      <c r="C2909" s="1">
        <f>IFERROR(__xludf.DUMMYFUNCTION("""COMPUTED_VALUE"""),9510.0)</f>
        <v>9510</v>
      </c>
      <c r="D2909" s="1">
        <f>IFERROR(__xludf.DUMMYFUNCTION("""COMPUTED_VALUE"""),9330.0)</f>
        <v>9330</v>
      </c>
      <c r="E2909" s="1">
        <f>IFERROR(__xludf.DUMMYFUNCTION("""COMPUTED_VALUE"""),9400.0)</f>
        <v>9400</v>
      </c>
      <c r="F2909" s="1">
        <f>IFERROR(__xludf.DUMMYFUNCTION("""COMPUTED_VALUE"""),37752.0)</f>
        <v>37752</v>
      </c>
    </row>
    <row r="2910">
      <c r="A2910" s="2">
        <f>IFERROR(__xludf.DUMMYFUNCTION("""COMPUTED_VALUE"""),45232.64583333333)</f>
        <v>45232.64583</v>
      </c>
      <c r="B2910" s="1">
        <f>IFERROR(__xludf.DUMMYFUNCTION("""COMPUTED_VALUE"""),9400.0)</f>
        <v>9400</v>
      </c>
      <c r="C2910" s="1">
        <f>IFERROR(__xludf.DUMMYFUNCTION("""COMPUTED_VALUE"""),9580.0)</f>
        <v>9580</v>
      </c>
      <c r="D2910" s="1">
        <f>IFERROR(__xludf.DUMMYFUNCTION("""COMPUTED_VALUE"""),9400.0)</f>
        <v>9400</v>
      </c>
      <c r="E2910" s="1">
        <f>IFERROR(__xludf.DUMMYFUNCTION("""COMPUTED_VALUE"""),9550.0)</f>
        <v>9550</v>
      </c>
      <c r="F2910" s="1">
        <f>IFERROR(__xludf.DUMMYFUNCTION("""COMPUTED_VALUE"""),43426.0)</f>
        <v>43426</v>
      </c>
    </row>
    <row r="2911">
      <c r="A2911" s="2">
        <f>IFERROR(__xludf.DUMMYFUNCTION("""COMPUTED_VALUE"""),45233.64583333333)</f>
        <v>45233.64583</v>
      </c>
      <c r="B2911" s="1">
        <f>IFERROR(__xludf.DUMMYFUNCTION("""COMPUTED_VALUE"""),9550.0)</f>
        <v>9550</v>
      </c>
      <c r="C2911" s="1">
        <f>IFERROR(__xludf.DUMMYFUNCTION("""COMPUTED_VALUE"""),9580.0)</f>
        <v>9580</v>
      </c>
      <c r="D2911" s="1">
        <f>IFERROR(__xludf.DUMMYFUNCTION("""COMPUTED_VALUE"""),9450.0)</f>
        <v>9450</v>
      </c>
      <c r="E2911" s="1">
        <f>IFERROR(__xludf.DUMMYFUNCTION("""COMPUTED_VALUE"""),9550.0)</f>
        <v>9550</v>
      </c>
      <c r="F2911" s="1">
        <f>IFERROR(__xludf.DUMMYFUNCTION("""COMPUTED_VALUE"""),40016.0)</f>
        <v>40016</v>
      </c>
    </row>
    <row r="2912">
      <c r="A2912" s="2">
        <f>IFERROR(__xludf.DUMMYFUNCTION("""COMPUTED_VALUE"""),45236.64583333333)</f>
        <v>45236.64583</v>
      </c>
      <c r="B2912" s="1">
        <f>IFERROR(__xludf.DUMMYFUNCTION("""COMPUTED_VALUE"""),9590.0)</f>
        <v>9590</v>
      </c>
      <c r="C2912" s="1">
        <f>IFERROR(__xludf.DUMMYFUNCTION("""COMPUTED_VALUE"""),9670.0)</f>
        <v>9670</v>
      </c>
      <c r="D2912" s="1">
        <f>IFERROR(__xludf.DUMMYFUNCTION("""COMPUTED_VALUE"""),9510.0)</f>
        <v>9510</v>
      </c>
      <c r="E2912" s="1">
        <f>IFERROR(__xludf.DUMMYFUNCTION("""COMPUTED_VALUE"""),9620.0)</f>
        <v>9620</v>
      </c>
      <c r="F2912" s="1">
        <f>IFERROR(__xludf.DUMMYFUNCTION("""COMPUTED_VALUE"""),41467.0)</f>
        <v>41467</v>
      </c>
    </row>
    <row r="2913">
      <c r="A2913" s="2">
        <f>IFERROR(__xludf.DUMMYFUNCTION("""COMPUTED_VALUE"""),45237.64583333333)</f>
        <v>45237.64583</v>
      </c>
      <c r="B2913" s="1">
        <f>IFERROR(__xludf.DUMMYFUNCTION("""COMPUTED_VALUE"""),9900.0)</f>
        <v>9900</v>
      </c>
      <c r="C2913" s="1">
        <f>IFERROR(__xludf.DUMMYFUNCTION("""COMPUTED_VALUE"""),12500.0)</f>
        <v>12500</v>
      </c>
      <c r="D2913" s="1">
        <f>IFERROR(__xludf.DUMMYFUNCTION("""COMPUTED_VALUE"""),9760.0)</f>
        <v>9760</v>
      </c>
      <c r="E2913" s="1">
        <f>IFERROR(__xludf.DUMMYFUNCTION("""COMPUTED_VALUE"""),12500.0)</f>
        <v>12500</v>
      </c>
      <c r="F2913" s="1">
        <f>IFERROR(__xludf.DUMMYFUNCTION("""COMPUTED_VALUE"""),5568613.0)</f>
        <v>5568613</v>
      </c>
    </row>
    <row r="2914">
      <c r="A2914" s="2">
        <f>IFERROR(__xludf.DUMMYFUNCTION("""COMPUTED_VALUE"""),45238.64583333333)</f>
        <v>45238.64583</v>
      </c>
      <c r="B2914" s="1">
        <f>IFERROR(__xludf.DUMMYFUNCTION("""COMPUTED_VALUE"""),13600.0)</f>
        <v>13600</v>
      </c>
      <c r="C2914" s="1">
        <f>IFERROR(__xludf.DUMMYFUNCTION("""COMPUTED_VALUE"""),13910.0)</f>
        <v>13910</v>
      </c>
      <c r="D2914" s="1">
        <f>IFERROR(__xludf.DUMMYFUNCTION("""COMPUTED_VALUE"""),12250.0)</f>
        <v>12250</v>
      </c>
      <c r="E2914" s="1">
        <f>IFERROR(__xludf.DUMMYFUNCTION("""COMPUTED_VALUE"""),12510.0)</f>
        <v>12510</v>
      </c>
      <c r="F2914" s="1">
        <f>IFERROR(__xludf.DUMMYFUNCTION("""COMPUTED_VALUE"""),7509278.0)</f>
        <v>7509278</v>
      </c>
    </row>
    <row r="2915">
      <c r="A2915" s="2">
        <f>IFERROR(__xludf.DUMMYFUNCTION("""COMPUTED_VALUE"""),45239.64583333333)</f>
        <v>45239.64583</v>
      </c>
      <c r="B2915" s="1">
        <f>IFERROR(__xludf.DUMMYFUNCTION("""COMPUTED_VALUE"""),12740.0)</f>
        <v>12740</v>
      </c>
      <c r="C2915" s="1">
        <f>IFERROR(__xludf.DUMMYFUNCTION("""COMPUTED_VALUE"""),13760.0)</f>
        <v>13760</v>
      </c>
      <c r="D2915" s="1">
        <f>IFERROR(__xludf.DUMMYFUNCTION("""COMPUTED_VALUE"""),12050.0)</f>
        <v>12050</v>
      </c>
      <c r="E2915" s="1">
        <f>IFERROR(__xludf.DUMMYFUNCTION("""COMPUTED_VALUE"""),13340.0)</f>
        <v>13340</v>
      </c>
      <c r="F2915" s="1">
        <f>IFERROR(__xludf.DUMMYFUNCTION("""COMPUTED_VALUE"""),1.1596017E7)</f>
        <v>11596017</v>
      </c>
    </row>
    <row r="2916">
      <c r="A2916" s="2">
        <f>IFERROR(__xludf.DUMMYFUNCTION("""COMPUTED_VALUE"""),45240.64583333333)</f>
        <v>45240.64583</v>
      </c>
      <c r="B2916" s="1">
        <f>IFERROR(__xludf.DUMMYFUNCTION("""COMPUTED_VALUE"""),13370.0)</f>
        <v>13370</v>
      </c>
      <c r="C2916" s="1">
        <f>IFERROR(__xludf.DUMMYFUNCTION("""COMPUTED_VALUE"""),16150.0)</f>
        <v>16150</v>
      </c>
      <c r="D2916" s="1">
        <f>IFERROR(__xludf.DUMMYFUNCTION("""COMPUTED_VALUE"""),13160.0)</f>
        <v>13160</v>
      </c>
      <c r="E2916" s="1">
        <f>IFERROR(__xludf.DUMMYFUNCTION("""COMPUTED_VALUE"""),13350.0)</f>
        <v>13350</v>
      </c>
      <c r="F2916" s="1">
        <f>IFERROR(__xludf.DUMMYFUNCTION("""COMPUTED_VALUE"""),1.6195903E7)</f>
        <v>16195903</v>
      </c>
    </row>
    <row r="2917">
      <c r="A2917" s="2">
        <f>IFERROR(__xludf.DUMMYFUNCTION("""COMPUTED_VALUE"""),45243.64583333333)</f>
        <v>45243.64583</v>
      </c>
      <c r="B2917" s="1">
        <f>IFERROR(__xludf.DUMMYFUNCTION("""COMPUTED_VALUE"""),13310.0)</f>
        <v>13310</v>
      </c>
      <c r="C2917" s="1">
        <f>IFERROR(__xludf.DUMMYFUNCTION("""COMPUTED_VALUE"""),14070.0)</f>
        <v>14070</v>
      </c>
      <c r="D2917" s="1">
        <f>IFERROR(__xludf.DUMMYFUNCTION("""COMPUTED_VALUE"""),12230.0)</f>
        <v>12230</v>
      </c>
      <c r="E2917" s="1">
        <f>IFERROR(__xludf.DUMMYFUNCTION("""COMPUTED_VALUE"""),12430.0)</f>
        <v>12430</v>
      </c>
      <c r="F2917" s="1">
        <f>IFERROR(__xludf.DUMMYFUNCTION("""COMPUTED_VALUE"""),3907465.0)</f>
        <v>3907465</v>
      </c>
    </row>
    <row r="2918">
      <c r="A2918" s="2">
        <f>IFERROR(__xludf.DUMMYFUNCTION("""COMPUTED_VALUE"""),45244.64583333333)</f>
        <v>45244.64583</v>
      </c>
      <c r="B2918" s="1">
        <f>IFERROR(__xludf.DUMMYFUNCTION("""COMPUTED_VALUE"""),12540.0)</f>
        <v>12540</v>
      </c>
      <c r="C2918" s="1">
        <f>IFERROR(__xludf.DUMMYFUNCTION("""COMPUTED_VALUE"""),13880.0)</f>
        <v>13880</v>
      </c>
      <c r="D2918" s="1">
        <f>IFERROR(__xludf.DUMMYFUNCTION("""COMPUTED_VALUE"""),12530.0)</f>
        <v>12530</v>
      </c>
      <c r="E2918" s="1">
        <f>IFERROR(__xludf.DUMMYFUNCTION("""COMPUTED_VALUE"""),13250.0)</f>
        <v>13250</v>
      </c>
      <c r="F2918" s="1">
        <f>IFERROR(__xludf.DUMMYFUNCTION("""COMPUTED_VALUE"""),7218717.0)</f>
        <v>7218717</v>
      </c>
    </row>
    <row r="2919">
      <c r="A2919" s="2">
        <f>IFERROR(__xludf.DUMMYFUNCTION("""COMPUTED_VALUE"""),45245.64583333333)</f>
        <v>45245.64583</v>
      </c>
      <c r="B2919" s="1">
        <f>IFERROR(__xludf.DUMMYFUNCTION("""COMPUTED_VALUE"""),13040.0)</f>
        <v>13040</v>
      </c>
      <c r="C2919" s="1">
        <f>IFERROR(__xludf.DUMMYFUNCTION("""COMPUTED_VALUE"""),14100.0)</f>
        <v>14100</v>
      </c>
      <c r="D2919" s="1">
        <f>IFERROR(__xludf.DUMMYFUNCTION("""COMPUTED_VALUE"""),12810.0)</f>
        <v>12810</v>
      </c>
      <c r="E2919" s="1">
        <f>IFERROR(__xludf.DUMMYFUNCTION("""COMPUTED_VALUE"""),13590.0)</f>
        <v>13590</v>
      </c>
      <c r="F2919" s="1">
        <f>IFERROR(__xludf.DUMMYFUNCTION("""COMPUTED_VALUE"""),3931001.0)</f>
        <v>3931001</v>
      </c>
    </row>
    <row r="2920">
      <c r="A2920" s="2">
        <f>IFERROR(__xludf.DUMMYFUNCTION("""COMPUTED_VALUE"""),45246.64583333333)</f>
        <v>45246.64583</v>
      </c>
      <c r="B2920" s="1">
        <f>IFERROR(__xludf.DUMMYFUNCTION("""COMPUTED_VALUE"""),13310.0)</f>
        <v>13310</v>
      </c>
      <c r="C2920" s="1">
        <f>IFERROR(__xludf.DUMMYFUNCTION("""COMPUTED_VALUE"""),13730.0)</f>
        <v>13730</v>
      </c>
      <c r="D2920" s="1">
        <f>IFERROR(__xludf.DUMMYFUNCTION("""COMPUTED_VALUE"""),13070.0)</f>
        <v>13070</v>
      </c>
      <c r="E2920" s="1">
        <f>IFERROR(__xludf.DUMMYFUNCTION("""COMPUTED_VALUE"""),13190.0)</f>
        <v>13190</v>
      </c>
      <c r="F2920" s="1">
        <f>IFERROR(__xludf.DUMMYFUNCTION("""COMPUTED_VALUE"""),890144.0)</f>
        <v>890144</v>
      </c>
    </row>
    <row r="2921">
      <c r="A2921" s="2">
        <f>IFERROR(__xludf.DUMMYFUNCTION("""COMPUTED_VALUE"""),45247.64583333333)</f>
        <v>45247.64583</v>
      </c>
      <c r="B2921" s="1">
        <f>IFERROR(__xludf.DUMMYFUNCTION("""COMPUTED_VALUE"""),12900.0)</f>
        <v>12900</v>
      </c>
      <c r="C2921" s="1">
        <f>IFERROR(__xludf.DUMMYFUNCTION("""COMPUTED_VALUE"""),13510.0)</f>
        <v>13510</v>
      </c>
      <c r="D2921" s="1">
        <f>IFERROR(__xludf.DUMMYFUNCTION("""COMPUTED_VALUE"""),12540.0)</f>
        <v>12540</v>
      </c>
      <c r="E2921" s="1">
        <f>IFERROR(__xludf.DUMMYFUNCTION("""COMPUTED_VALUE"""),12540.0)</f>
        <v>12540</v>
      </c>
      <c r="F2921" s="1">
        <f>IFERROR(__xludf.DUMMYFUNCTION("""COMPUTED_VALUE"""),864735.0)</f>
        <v>864735</v>
      </c>
    </row>
    <row r="2922">
      <c r="A2922" s="2">
        <f>IFERROR(__xludf.DUMMYFUNCTION("""COMPUTED_VALUE"""),45250.64583333333)</f>
        <v>45250.64583</v>
      </c>
      <c r="B2922" s="1">
        <f>IFERROR(__xludf.DUMMYFUNCTION("""COMPUTED_VALUE"""),12330.0)</f>
        <v>12330</v>
      </c>
      <c r="C2922" s="1">
        <f>IFERROR(__xludf.DUMMYFUNCTION("""COMPUTED_VALUE"""),12400.0)</f>
        <v>12400</v>
      </c>
      <c r="D2922" s="1">
        <f>IFERROR(__xludf.DUMMYFUNCTION("""COMPUTED_VALUE"""),11650.0)</f>
        <v>11650</v>
      </c>
      <c r="E2922" s="1">
        <f>IFERROR(__xludf.DUMMYFUNCTION("""COMPUTED_VALUE"""),12030.0)</f>
        <v>12030</v>
      </c>
      <c r="F2922" s="1">
        <f>IFERROR(__xludf.DUMMYFUNCTION("""COMPUTED_VALUE"""),603931.0)</f>
        <v>603931</v>
      </c>
    </row>
    <row r="2923">
      <c r="A2923" s="2">
        <f>IFERROR(__xludf.DUMMYFUNCTION("""COMPUTED_VALUE"""),45251.64583333333)</f>
        <v>45251.64583</v>
      </c>
      <c r="B2923" s="1">
        <f>IFERROR(__xludf.DUMMYFUNCTION("""COMPUTED_VALUE"""),11940.0)</f>
        <v>11940</v>
      </c>
      <c r="C2923" s="1">
        <f>IFERROR(__xludf.DUMMYFUNCTION("""COMPUTED_VALUE"""),12020.0)</f>
        <v>12020</v>
      </c>
      <c r="D2923" s="1">
        <f>IFERROR(__xludf.DUMMYFUNCTION("""COMPUTED_VALUE"""),11610.0)</f>
        <v>11610</v>
      </c>
      <c r="E2923" s="1">
        <f>IFERROR(__xludf.DUMMYFUNCTION("""COMPUTED_VALUE"""),11910.0)</f>
        <v>11910</v>
      </c>
      <c r="F2923" s="1">
        <f>IFERROR(__xludf.DUMMYFUNCTION("""COMPUTED_VALUE"""),327388.0)</f>
        <v>327388</v>
      </c>
    </row>
    <row r="2924">
      <c r="A2924" s="2">
        <f>IFERROR(__xludf.DUMMYFUNCTION("""COMPUTED_VALUE"""),45252.64583333333)</f>
        <v>45252.64583</v>
      </c>
      <c r="B2924" s="1">
        <f>IFERROR(__xludf.DUMMYFUNCTION("""COMPUTED_VALUE"""),11850.0)</f>
        <v>11850</v>
      </c>
      <c r="C2924" s="1">
        <f>IFERROR(__xludf.DUMMYFUNCTION("""COMPUTED_VALUE"""),12220.0)</f>
        <v>12220</v>
      </c>
      <c r="D2924" s="1">
        <f>IFERROR(__xludf.DUMMYFUNCTION("""COMPUTED_VALUE"""),11350.0)</f>
        <v>11350</v>
      </c>
      <c r="E2924" s="1">
        <f>IFERROR(__xludf.DUMMYFUNCTION("""COMPUTED_VALUE"""),11470.0)</f>
        <v>11470</v>
      </c>
      <c r="F2924" s="1">
        <f>IFERROR(__xludf.DUMMYFUNCTION("""COMPUTED_VALUE"""),501041.0)</f>
        <v>501041</v>
      </c>
    </row>
    <row r="2925">
      <c r="A2925" s="2">
        <f>IFERROR(__xludf.DUMMYFUNCTION("""COMPUTED_VALUE"""),45253.64583333333)</f>
        <v>45253.64583</v>
      </c>
      <c r="B2925" s="1">
        <f>IFERROR(__xludf.DUMMYFUNCTION("""COMPUTED_VALUE"""),11470.0)</f>
        <v>11470</v>
      </c>
      <c r="C2925" s="1">
        <f>IFERROR(__xludf.DUMMYFUNCTION("""COMPUTED_VALUE"""),11710.0)</f>
        <v>11710</v>
      </c>
      <c r="D2925" s="1">
        <f>IFERROR(__xludf.DUMMYFUNCTION("""COMPUTED_VALUE"""),11150.0)</f>
        <v>11150</v>
      </c>
      <c r="E2925" s="1">
        <f>IFERROR(__xludf.DUMMYFUNCTION("""COMPUTED_VALUE"""),11200.0)</f>
        <v>11200</v>
      </c>
      <c r="F2925" s="1">
        <f>IFERROR(__xludf.DUMMYFUNCTION("""COMPUTED_VALUE"""),352052.0)</f>
        <v>352052</v>
      </c>
    </row>
    <row r="2926">
      <c r="A2926" s="2">
        <f>IFERROR(__xludf.DUMMYFUNCTION("""COMPUTED_VALUE"""),45254.64583333333)</f>
        <v>45254.64583</v>
      </c>
      <c r="B2926" s="1">
        <f>IFERROR(__xludf.DUMMYFUNCTION("""COMPUTED_VALUE"""),11110.0)</f>
        <v>11110</v>
      </c>
      <c r="C2926" s="1">
        <f>IFERROR(__xludf.DUMMYFUNCTION("""COMPUTED_VALUE"""),11260.0)</f>
        <v>11260</v>
      </c>
      <c r="D2926" s="1">
        <f>IFERROR(__xludf.DUMMYFUNCTION("""COMPUTED_VALUE"""),10870.0)</f>
        <v>10870</v>
      </c>
      <c r="E2926" s="1">
        <f>IFERROR(__xludf.DUMMYFUNCTION("""COMPUTED_VALUE"""),11150.0)</f>
        <v>11150</v>
      </c>
      <c r="F2926" s="1">
        <f>IFERROR(__xludf.DUMMYFUNCTION("""COMPUTED_VALUE"""),231855.0)</f>
        <v>231855</v>
      </c>
    </row>
    <row r="2927">
      <c r="A2927" s="2">
        <f>IFERROR(__xludf.DUMMYFUNCTION("""COMPUTED_VALUE"""),45257.64583333333)</f>
        <v>45257.64583</v>
      </c>
      <c r="B2927" s="1">
        <f>IFERROR(__xludf.DUMMYFUNCTION("""COMPUTED_VALUE"""),11210.0)</f>
        <v>11210</v>
      </c>
      <c r="C2927" s="1">
        <f>IFERROR(__xludf.DUMMYFUNCTION("""COMPUTED_VALUE"""),11400.0)</f>
        <v>11400</v>
      </c>
      <c r="D2927" s="1">
        <f>IFERROR(__xludf.DUMMYFUNCTION("""COMPUTED_VALUE"""),10900.0)</f>
        <v>10900</v>
      </c>
      <c r="E2927" s="1">
        <f>IFERROR(__xludf.DUMMYFUNCTION("""COMPUTED_VALUE"""),10960.0)</f>
        <v>10960</v>
      </c>
      <c r="F2927" s="1">
        <f>IFERROR(__xludf.DUMMYFUNCTION("""COMPUTED_VALUE"""),181815.0)</f>
        <v>181815</v>
      </c>
    </row>
    <row r="2928">
      <c r="A2928" s="2">
        <f>IFERROR(__xludf.DUMMYFUNCTION("""COMPUTED_VALUE"""),45258.64583333333)</f>
        <v>45258.64583</v>
      </c>
      <c r="B2928" s="1">
        <f>IFERROR(__xludf.DUMMYFUNCTION("""COMPUTED_VALUE"""),11020.0)</f>
        <v>11020</v>
      </c>
      <c r="C2928" s="1">
        <f>IFERROR(__xludf.DUMMYFUNCTION("""COMPUTED_VALUE"""),11260.0)</f>
        <v>11260</v>
      </c>
      <c r="D2928" s="1">
        <f>IFERROR(__xludf.DUMMYFUNCTION("""COMPUTED_VALUE"""),10700.0)</f>
        <v>10700</v>
      </c>
      <c r="E2928" s="1">
        <f>IFERROR(__xludf.DUMMYFUNCTION("""COMPUTED_VALUE"""),10750.0)</f>
        <v>10750</v>
      </c>
      <c r="F2928" s="1">
        <f>IFERROR(__xludf.DUMMYFUNCTION("""COMPUTED_VALUE"""),256953.0)</f>
        <v>256953</v>
      </c>
    </row>
    <row r="2929">
      <c r="A2929" s="2">
        <f>IFERROR(__xludf.DUMMYFUNCTION("""COMPUTED_VALUE"""),45259.64583333333)</f>
        <v>45259.64583</v>
      </c>
      <c r="B2929" s="1">
        <f>IFERROR(__xludf.DUMMYFUNCTION("""COMPUTED_VALUE"""),10750.0)</f>
        <v>10750</v>
      </c>
      <c r="C2929" s="1">
        <f>IFERROR(__xludf.DUMMYFUNCTION("""COMPUTED_VALUE"""),10780.0)</f>
        <v>10780</v>
      </c>
      <c r="D2929" s="1">
        <f>IFERROR(__xludf.DUMMYFUNCTION("""COMPUTED_VALUE"""),10320.0)</f>
        <v>10320</v>
      </c>
      <c r="E2929" s="1">
        <f>IFERROR(__xludf.DUMMYFUNCTION("""COMPUTED_VALUE"""),10400.0)</f>
        <v>10400</v>
      </c>
      <c r="F2929" s="1">
        <f>IFERROR(__xludf.DUMMYFUNCTION("""COMPUTED_VALUE"""),340770.0)</f>
        <v>340770</v>
      </c>
    </row>
    <row r="2930">
      <c r="A2930" s="2">
        <f>IFERROR(__xludf.DUMMYFUNCTION("""COMPUTED_VALUE"""),45260.64583333333)</f>
        <v>45260.64583</v>
      </c>
      <c r="B2930" s="1">
        <f>IFERROR(__xludf.DUMMYFUNCTION("""COMPUTED_VALUE"""),10450.0)</f>
        <v>10450</v>
      </c>
      <c r="C2930" s="1">
        <f>IFERROR(__xludf.DUMMYFUNCTION("""COMPUTED_VALUE"""),10470.0)</f>
        <v>10470</v>
      </c>
      <c r="D2930" s="1">
        <f>IFERROR(__xludf.DUMMYFUNCTION("""COMPUTED_VALUE"""),10280.0)</f>
        <v>10280</v>
      </c>
      <c r="E2930" s="1">
        <f>IFERROR(__xludf.DUMMYFUNCTION("""COMPUTED_VALUE"""),10450.0)</f>
        <v>10450</v>
      </c>
      <c r="F2930" s="1">
        <f>IFERROR(__xludf.DUMMYFUNCTION("""COMPUTED_VALUE"""),108169.0)</f>
        <v>108169</v>
      </c>
    </row>
    <row r="2931">
      <c r="A2931" s="2">
        <f>IFERROR(__xludf.DUMMYFUNCTION("""COMPUTED_VALUE"""),45261.64583333333)</f>
        <v>45261.64583</v>
      </c>
      <c r="B2931" s="1">
        <f>IFERROR(__xludf.DUMMYFUNCTION("""COMPUTED_VALUE"""),10330.0)</f>
        <v>10330</v>
      </c>
      <c r="C2931" s="1">
        <f>IFERROR(__xludf.DUMMYFUNCTION("""COMPUTED_VALUE"""),10440.0)</f>
        <v>10440</v>
      </c>
      <c r="D2931" s="1">
        <f>IFERROR(__xludf.DUMMYFUNCTION("""COMPUTED_VALUE"""),10210.0)</f>
        <v>10210</v>
      </c>
      <c r="E2931" s="1">
        <f>IFERROR(__xludf.DUMMYFUNCTION("""COMPUTED_VALUE"""),10300.0)</f>
        <v>10300</v>
      </c>
      <c r="F2931" s="1">
        <f>IFERROR(__xludf.DUMMYFUNCTION("""COMPUTED_VALUE"""),118765.0)</f>
        <v>118765</v>
      </c>
    </row>
    <row r="2932">
      <c r="A2932" s="2">
        <f>IFERROR(__xludf.DUMMYFUNCTION("""COMPUTED_VALUE"""),45264.64583333333)</f>
        <v>45264.64583</v>
      </c>
      <c r="B2932" s="1">
        <f>IFERROR(__xludf.DUMMYFUNCTION("""COMPUTED_VALUE"""),10700.0)</f>
        <v>10700</v>
      </c>
      <c r="C2932" s="1">
        <f>IFERROR(__xludf.DUMMYFUNCTION("""COMPUTED_VALUE"""),10720.0)</f>
        <v>10720</v>
      </c>
      <c r="D2932" s="1">
        <f>IFERROR(__xludf.DUMMYFUNCTION("""COMPUTED_VALUE"""),10230.0)</f>
        <v>10230</v>
      </c>
      <c r="E2932" s="1">
        <f>IFERROR(__xludf.DUMMYFUNCTION("""COMPUTED_VALUE"""),10400.0)</f>
        <v>10400</v>
      </c>
      <c r="F2932" s="1">
        <f>IFERROR(__xludf.DUMMYFUNCTION("""COMPUTED_VALUE"""),300094.0)</f>
        <v>300094</v>
      </c>
    </row>
    <row r="2933">
      <c r="A2933" s="2">
        <f>IFERROR(__xludf.DUMMYFUNCTION("""COMPUTED_VALUE"""),45265.64583333333)</f>
        <v>45265.64583</v>
      </c>
      <c r="B2933" s="1">
        <f>IFERROR(__xludf.DUMMYFUNCTION("""COMPUTED_VALUE"""),10560.0)</f>
        <v>10560</v>
      </c>
      <c r="C2933" s="1">
        <f>IFERROR(__xludf.DUMMYFUNCTION("""COMPUTED_VALUE"""),10650.0)</f>
        <v>10650</v>
      </c>
      <c r="D2933" s="1">
        <f>IFERROR(__xludf.DUMMYFUNCTION("""COMPUTED_VALUE"""),10090.0)</f>
        <v>10090</v>
      </c>
      <c r="E2933" s="1">
        <f>IFERROR(__xludf.DUMMYFUNCTION("""COMPUTED_VALUE"""),10110.0)</f>
        <v>10110</v>
      </c>
      <c r="F2933" s="1">
        <f>IFERROR(__xludf.DUMMYFUNCTION("""COMPUTED_VALUE"""),371652.0)</f>
        <v>371652</v>
      </c>
    </row>
    <row r="2934">
      <c r="A2934" s="2">
        <f>IFERROR(__xludf.DUMMYFUNCTION("""COMPUTED_VALUE"""),45266.64583333333)</f>
        <v>45266.64583</v>
      </c>
      <c r="B2934" s="1">
        <f>IFERROR(__xludf.DUMMYFUNCTION("""COMPUTED_VALUE"""),10130.0)</f>
        <v>10130</v>
      </c>
      <c r="C2934" s="1">
        <f>IFERROR(__xludf.DUMMYFUNCTION("""COMPUTED_VALUE"""),10220.0)</f>
        <v>10220</v>
      </c>
      <c r="D2934" s="1">
        <f>IFERROR(__xludf.DUMMYFUNCTION("""COMPUTED_VALUE"""),10070.0)</f>
        <v>10070</v>
      </c>
      <c r="E2934" s="1">
        <f>IFERROR(__xludf.DUMMYFUNCTION("""COMPUTED_VALUE"""),10160.0)</f>
        <v>10160</v>
      </c>
      <c r="F2934" s="1">
        <f>IFERROR(__xludf.DUMMYFUNCTION("""COMPUTED_VALUE"""),111871.0)</f>
        <v>111871</v>
      </c>
    </row>
    <row r="2935">
      <c r="A2935" s="2">
        <f>IFERROR(__xludf.DUMMYFUNCTION("""COMPUTED_VALUE"""),45267.64583333333)</f>
        <v>45267.64583</v>
      </c>
      <c r="B2935" s="1">
        <f>IFERROR(__xludf.DUMMYFUNCTION("""COMPUTED_VALUE"""),10160.0)</f>
        <v>10160</v>
      </c>
      <c r="C2935" s="1">
        <f>IFERROR(__xludf.DUMMYFUNCTION("""COMPUTED_VALUE"""),10220.0)</f>
        <v>10220</v>
      </c>
      <c r="D2935" s="1">
        <f>IFERROR(__xludf.DUMMYFUNCTION("""COMPUTED_VALUE"""),10030.0)</f>
        <v>10030</v>
      </c>
      <c r="E2935" s="1">
        <f>IFERROR(__xludf.DUMMYFUNCTION("""COMPUTED_VALUE"""),10090.0)</f>
        <v>10090</v>
      </c>
      <c r="F2935" s="1">
        <f>IFERROR(__xludf.DUMMYFUNCTION("""COMPUTED_VALUE"""),111814.0)</f>
        <v>111814</v>
      </c>
    </row>
    <row r="2936">
      <c r="A2936" s="2">
        <f>IFERROR(__xludf.DUMMYFUNCTION("""COMPUTED_VALUE"""),45268.64583333333)</f>
        <v>45268.64583</v>
      </c>
      <c r="B2936" s="1">
        <f>IFERROR(__xludf.DUMMYFUNCTION("""COMPUTED_VALUE"""),10400.0)</f>
        <v>10400</v>
      </c>
      <c r="C2936" s="1">
        <f>IFERROR(__xludf.DUMMYFUNCTION("""COMPUTED_VALUE"""),10780.0)</f>
        <v>10780</v>
      </c>
      <c r="D2936" s="1">
        <f>IFERROR(__xludf.DUMMYFUNCTION("""COMPUTED_VALUE"""),10130.0)</f>
        <v>10130</v>
      </c>
      <c r="E2936" s="1">
        <f>IFERROR(__xludf.DUMMYFUNCTION("""COMPUTED_VALUE"""),10200.0)</f>
        <v>10200</v>
      </c>
      <c r="F2936" s="1">
        <f>IFERROR(__xludf.DUMMYFUNCTION("""COMPUTED_VALUE"""),706125.0)</f>
        <v>706125</v>
      </c>
    </row>
    <row r="2937">
      <c r="A2937" s="2">
        <f>IFERROR(__xludf.DUMMYFUNCTION("""COMPUTED_VALUE"""),45271.64583333333)</f>
        <v>45271.64583</v>
      </c>
      <c r="B2937" s="1">
        <f>IFERROR(__xludf.DUMMYFUNCTION("""COMPUTED_VALUE"""),10200.0)</f>
        <v>10200</v>
      </c>
      <c r="C2937" s="1">
        <f>IFERROR(__xludf.DUMMYFUNCTION("""COMPUTED_VALUE"""),10310.0)</f>
        <v>10310</v>
      </c>
      <c r="D2937" s="1">
        <f>IFERROR(__xludf.DUMMYFUNCTION("""COMPUTED_VALUE"""),10130.0)</f>
        <v>10130</v>
      </c>
      <c r="E2937" s="1">
        <f>IFERROR(__xludf.DUMMYFUNCTION("""COMPUTED_VALUE"""),10190.0)</f>
        <v>10190</v>
      </c>
      <c r="F2937" s="1">
        <f>IFERROR(__xludf.DUMMYFUNCTION("""COMPUTED_VALUE"""),105269.0)</f>
        <v>105269</v>
      </c>
    </row>
    <row r="2938">
      <c r="A2938" s="2">
        <f>IFERROR(__xludf.DUMMYFUNCTION("""COMPUTED_VALUE"""),45272.64583333333)</f>
        <v>45272.64583</v>
      </c>
      <c r="B2938" s="1">
        <f>IFERROR(__xludf.DUMMYFUNCTION("""COMPUTED_VALUE"""),10230.0)</f>
        <v>10230</v>
      </c>
      <c r="C2938" s="1">
        <f>IFERROR(__xludf.DUMMYFUNCTION("""COMPUTED_VALUE"""),10230.0)</f>
        <v>10230</v>
      </c>
      <c r="D2938" s="1">
        <f>IFERROR(__xludf.DUMMYFUNCTION("""COMPUTED_VALUE"""),10080.0)</f>
        <v>10080</v>
      </c>
      <c r="E2938" s="1">
        <f>IFERROR(__xludf.DUMMYFUNCTION("""COMPUTED_VALUE"""),10190.0)</f>
        <v>10190</v>
      </c>
      <c r="F2938" s="1">
        <f>IFERROR(__xludf.DUMMYFUNCTION("""COMPUTED_VALUE"""),71382.0)</f>
        <v>71382</v>
      </c>
    </row>
    <row r="2939">
      <c r="A2939" s="2">
        <f>IFERROR(__xludf.DUMMYFUNCTION("""COMPUTED_VALUE"""),45273.64583333333)</f>
        <v>45273.64583</v>
      </c>
      <c r="B2939" s="1">
        <f>IFERROR(__xludf.DUMMYFUNCTION("""COMPUTED_VALUE"""),10140.0)</f>
        <v>10140</v>
      </c>
      <c r="C2939" s="1">
        <f>IFERROR(__xludf.DUMMYFUNCTION("""COMPUTED_VALUE"""),10190.0)</f>
        <v>10190</v>
      </c>
      <c r="D2939" s="1">
        <f>IFERROR(__xludf.DUMMYFUNCTION("""COMPUTED_VALUE"""),10000.0)</f>
        <v>10000</v>
      </c>
      <c r="E2939" s="1">
        <f>IFERROR(__xludf.DUMMYFUNCTION("""COMPUTED_VALUE"""),10010.0)</f>
        <v>10010</v>
      </c>
      <c r="F2939" s="1">
        <f>IFERROR(__xludf.DUMMYFUNCTION("""COMPUTED_VALUE"""),106522.0)</f>
        <v>106522</v>
      </c>
    </row>
    <row r="2940">
      <c r="A2940" s="2">
        <f>IFERROR(__xludf.DUMMYFUNCTION("""COMPUTED_VALUE"""),45274.64583333333)</f>
        <v>45274.64583</v>
      </c>
      <c r="B2940" s="1">
        <f>IFERROR(__xludf.DUMMYFUNCTION("""COMPUTED_VALUE"""),10050.0)</f>
        <v>10050</v>
      </c>
      <c r="C2940" s="1">
        <f>IFERROR(__xludf.DUMMYFUNCTION("""COMPUTED_VALUE"""),10090.0)</f>
        <v>10090</v>
      </c>
      <c r="D2940" s="1">
        <f>IFERROR(__xludf.DUMMYFUNCTION("""COMPUTED_VALUE"""),9870.0)</f>
        <v>9870</v>
      </c>
      <c r="E2940" s="1">
        <f>IFERROR(__xludf.DUMMYFUNCTION("""COMPUTED_VALUE"""),9930.0)</f>
        <v>9930</v>
      </c>
      <c r="F2940" s="1">
        <f>IFERROR(__xludf.DUMMYFUNCTION("""COMPUTED_VALUE"""),121210.0)</f>
        <v>121210</v>
      </c>
    </row>
    <row r="2941">
      <c r="A2941" s="2">
        <f>IFERROR(__xludf.DUMMYFUNCTION("""COMPUTED_VALUE"""),45275.64583333333)</f>
        <v>45275.64583</v>
      </c>
      <c r="B2941" s="1">
        <f>IFERROR(__xludf.DUMMYFUNCTION("""COMPUTED_VALUE"""),9910.0)</f>
        <v>9910</v>
      </c>
      <c r="C2941" s="1">
        <f>IFERROR(__xludf.DUMMYFUNCTION("""COMPUTED_VALUE"""),10070.0)</f>
        <v>10070</v>
      </c>
      <c r="D2941" s="1">
        <f>IFERROR(__xludf.DUMMYFUNCTION("""COMPUTED_VALUE"""),9910.0)</f>
        <v>9910</v>
      </c>
      <c r="E2941" s="1">
        <f>IFERROR(__xludf.DUMMYFUNCTION("""COMPUTED_VALUE"""),10030.0)</f>
        <v>10030</v>
      </c>
      <c r="F2941" s="1">
        <f>IFERROR(__xludf.DUMMYFUNCTION("""COMPUTED_VALUE"""),69022.0)</f>
        <v>69022</v>
      </c>
    </row>
    <row r="2942">
      <c r="A2942" s="2">
        <f>IFERROR(__xludf.DUMMYFUNCTION("""COMPUTED_VALUE"""),45278.64583333333)</f>
        <v>45278.64583</v>
      </c>
      <c r="B2942" s="1">
        <f>IFERROR(__xludf.DUMMYFUNCTION("""COMPUTED_VALUE"""),10050.0)</f>
        <v>10050</v>
      </c>
      <c r="C2942" s="1">
        <f>IFERROR(__xludf.DUMMYFUNCTION("""COMPUTED_VALUE"""),10130.0)</f>
        <v>10130</v>
      </c>
      <c r="D2942" s="1">
        <f>IFERROR(__xludf.DUMMYFUNCTION("""COMPUTED_VALUE"""),9990.0)</f>
        <v>9990</v>
      </c>
      <c r="E2942" s="1">
        <f>IFERROR(__xludf.DUMMYFUNCTION("""COMPUTED_VALUE"""),10080.0)</f>
        <v>10080</v>
      </c>
      <c r="F2942" s="1">
        <f>IFERROR(__xludf.DUMMYFUNCTION("""COMPUTED_VALUE"""),48786.0)</f>
        <v>48786</v>
      </c>
    </row>
    <row r="2943">
      <c r="A2943" s="2">
        <f>IFERROR(__xludf.DUMMYFUNCTION("""COMPUTED_VALUE"""),45279.64583333333)</f>
        <v>45279.64583</v>
      </c>
      <c r="B2943" s="1">
        <f>IFERROR(__xludf.DUMMYFUNCTION("""COMPUTED_VALUE"""),10080.0)</f>
        <v>10080</v>
      </c>
      <c r="C2943" s="1">
        <f>IFERROR(__xludf.DUMMYFUNCTION("""COMPUTED_VALUE"""),10210.0)</f>
        <v>10210</v>
      </c>
      <c r="D2943" s="1">
        <f>IFERROR(__xludf.DUMMYFUNCTION("""COMPUTED_VALUE"""),10010.0)</f>
        <v>10010</v>
      </c>
      <c r="E2943" s="1">
        <f>IFERROR(__xludf.DUMMYFUNCTION("""COMPUTED_VALUE"""),10210.0)</f>
        <v>10210</v>
      </c>
      <c r="F2943" s="1">
        <f>IFERROR(__xludf.DUMMYFUNCTION("""COMPUTED_VALUE"""),64527.0)</f>
        <v>64527</v>
      </c>
    </row>
    <row r="2944">
      <c r="A2944" s="2">
        <f>IFERROR(__xludf.DUMMYFUNCTION("""COMPUTED_VALUE"""),45280.64583333333)</f>
        <v>45280.64583</v>
      </c>
      <c r="B2944" s="1">
        <f>IFERROR(__xludf.DUMMYFUNCTION("""COMPUTED_VALUE"""),10230.0)</f>
        <v>10230</v>
      </c>
      <c r="C2944" s="1">
        <f>IFERROR(__xludf.DUMMYFUNCTION("""COMPUTED_VALUE"""),10230.0)</f>
        <v>10230</v>
      </c>
      <c r="D2944" s="1">
        <f>IFERROR(__xludf.DUMMYFUNCTION("""COMPUTED_VALUE"""),10140.0)</f>
        <v>10140</v>
      </c>
      <c r="E2944" s="1">
        <f>IFERROR(__xludf.DUMMYFUNCTION("""COMPUTED_VALUE"""),10180.0)</f>
        <v>10180</v>
      </c>
      <c r="F2944" s="1">
        <f>IFERROR(__xludf.DUMMYFUNCTION("""COMPUTED_VALUE"""),44650.0)</f>
        <v>44650</v>
      </c>
    </row>
    <row r="2945">
      <c r="A2945" s="2">
        <f>IFERROR(__xludf.DUMMYFUNCTION("""COMPUTED_VALUE"""),45281.64583333333)</f>
        <v>45281.64583</v>
      </c>
      <c r="B2945" s="1">
        <f>IFERROR(__xludf.DUMMYFUNCTION("""COMPUTED_VALUE"""),10150.0)</f>
        <v>10150</v>
      </c>
      <c r="C2945" s="1">
        <f>IFERROR(__xludf.DUMMYFUNCTION("""COMPUTED_VALUE"""),10240.0)</f>
        <v>10240</v>
      </c>
      <c r="D2945" s="1">
        <f>IFERROR(__xludf.DUMMYFUNCTION("""COMPUTED_VALUE"""),10100.0)</f>
        <v>10100</v>
      </c>
      <c r="E2945" s="1">
        <f>IFERROR(__xludf.DUMMYFUNCTION("""COMPUTED_VALUE"""),10240.0)</f>
        <v>10240</v>
      </c>
      <c r="F2945" s="1">
        <f>IFERROR(__xludf.DUMMYFUNCTION("""COMPUTED_VALUE"""),81101.0)</f>
        <v>81101</v>
      </c>
    </row>
    <row r="2946">
      <c r="A2946" s="2">
        <f>IFERROR(__xludf.DUMMYFUNCTION("""COMPUTED_VALUE"""),45282.64583333333)</f>
        <v>45282.64583</v>
      </c>
      <c r="B2946" s="1">
        <f>IFERROR(__xludf.DUMMYFUNCTION("""COMPUTED_VALUE"""),10250.0)</f>
        <v>10250</v>
      </c>
      <c r="C2946" s="1">
        <f>IFERROR(__xludf.DUMMYFUNCTION("""COMPUTED_VALUE"""),10260.0)</f>
        <v>10260</v>
      </c>
      <c r="D2946" s="1">
        <f>IFERROR(__xludf.DUMMYFUNCTION("""COMPUTED_VALUE"""),10100.0)</f>
        <v>10100</v>
      </c>
      <c r="E2946" s="1">
        <f>IFERROR(__xludf.DUMMYFUNCTION("""COMPUTED_VALUE"""),10150.0)</f>
        <v>10150</v>
      </c>
      <c r="F2946" s="1">
        <f>IFERROR(__xludf.DUMMYFUNCTION("""COMPUTED_VALUE"""),69172.0)</f>
        <v>69172</v>
      </c>
    </row>
    <row r="2947">
      <c r="A2947" s="2">
        <f>IFERROR(__xludf.DUMMYFUNCTION("""COMPUTED_VALUE"""),45286.64583333333)</f>
        <v>45286.64583</v>
      </c>
      <c r="B2947" s="1">
        <f>IFERROR(__xludf.DUMMYFUNCTION("""COMPUTED_VALUE"""),10150.0)</f>
        <v>10150</v>
      </c>
      <c r="C2947" s="1">
        <f>IFERROR(__xludf.DUMMYFUNCTION("""COMPUTED_VALUE"""),10270.0)</f>
        <v>10270</v>
      </c>
      <c r="D2947" s="1">
        <f>IFERROR(__xludf.DUMMYFUNCTION("""COMPUTED_VALUE"""),10080.0)</f>
        <v>10080</v>
      </c>
      <c r="E2947" s="1">
        <f>IFERROR(__xludf.DUMMYFUNCTION("""COMPUTED_VALUE"""),10260.0)</f>
        <v>10260</v>
      </c>
      <c r="F2947" s="1">
        <f>IFERROR(__xludf.DUMMYFUNCTION("""COMPUTED_VALUE"""),93420.0)</f>
        <v>93420</v>
      </c>
    </row>
    <row r="2948">
      <c r="A2948" s="2">
        <f>IFERROR(__xludf.DUMMYFUNCTION("""COMPUTED_VALUE"""),45287.64583333333)</f>
        <v>45287.64583</v>
      </c>
      <c r="B2948" s="1">
        <f>IFERROR(__xludf.DUMMYFUNCTION("""COMPUTED_VALUE"""),10240.0)</f>
        <v>10240</v>
      </c>
      <c r="C2948" s="1">
        <f>IFERROR(__xludf.DUMMYFUNCTION("""COMPUTED_VALUE"""),10240.0)</f>
        <v>10240</v>
      </c>
      <c r="D2948" s="1">
        <f>IFERROR(__xludf.DUMMYFUNCTION("""COMPUTED_VALUE"""),10080.0)</f>
        <v>10080</v>
      </c>
      <c r="E2948" s="1">
        <f>IFERROR(__xludf.DUMMYFUNCTION("""COMPUTED_VALUE"""),10120.0)</f>
        <v>10120</v>
      </c>
      <c r="F2948" s="1">
        <f>IFERROR(__xludf.DUMMYFUNCTION("""COMPUTED_VALUE"""),69848.0)</f>
        <v>69848</v>
      </c>
    </row>
    <row r="2949">
      <c r="A2949" s="2">
        <f>IFERROR(__xludf.DUMMYFUNCTION("""COMPUTED_VALUE"""),45288.64583333333)</f>
        <v>45288.64583</v>
      </c>
      <c r="B2949" s="1">
        <f>IFERROR(__xludf.DUMMYFUNCTION("""COMPUTED_VALUE"""),10120.0)</f>
        <v>10120</v>
      </c>
      <c r="C2949" s="1">
        <f>IFERROR(__xludf.DUMMYFUNCTION("""COMPUTED_VALUE"""),10210.0)</f>
        <v>10210</v>
      </c>
      <c r="D2949" s="1">
        <f>IFERROR(__xludf.DUMMYFUNCTION("""COMPUTED_VALUE"""),10050.0)</f>
        <v>10050</v>
      </c>
      <c r="E2949" s="1">
        <f>IFERROR(__xludf.DUMMYFUNCTION("""COMPUTED_VALUE"""),10170.0)</f>
        <v>10170</v>
      </c>
      <c r="F2949" s="1">
        <f>IFERROR(__xludf.DUMMYFUNCTION("""COMPUTED_VALUE"""),40671.0)</f>
        <v>40671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IFERROR(__xludf.DUMMYFUNCTION("GOOGLEFINANCE(""KRX:010955"", ""all"", DATE(2012,1,1), DATE(2023,12,31), ""DAILY"")"),"Date")</f>
        <v>Date</v>
      </c>
      <c r="B1" s="1" t="str">
        <f>IFERROR(__xludf.DUMMYFUNCTION("""COMPUTED_VALUE"""),"Open")</f>
        <v>Open</v>
      </c>
      <c r="C1" s="1" t="str">
        <f>IFERROR(__xludf.DUMMYFUNCTION("""COMPUTED_VALUE"""),"High")</f>
        <v>High</v>
      </c>
      <c r="D1" s="1" t="str">
        <f>IFERROR(__xludf.DUMMYFUNCTION("""COMPUTED_VALUE"""),"Low")</f>
        <v>Low</v>
      </c>
      <c r="E1" s="1" t="str">
        <f>IFERROR(__xludf.DUMMYFUNCTION("""COMPUTED_VALUE"""),"Close")</f>
        <v>Close</v>
      </c>
      <c r="F1" s="1" t="str">
        <f>IFERROR(__xludf.DUMMYFUNCTION("""COMPUTED_VALUE"""),"Volume")</f>
        <v>Volume</v>
      </c>
    </row>
    <row r="2">
      <c r="A2" s="2">
        <f>IFERROR(__xludf.DUMMYFUNCTION("""COMPUTED_VALUE"""),40910.645833333336)</f>
        <v>40910.64583</v>
      </c>
      <c r="B2" s="1">
        <f>IFERROR(__xludf.DUMMYFUNCTION("""COMPUTED_VALUE"""),56200.0)</f>
        <v>56200</v>
      </c>
      <c r="C2" s="1">
        <f>IFERROR(__xludf.DUMMYFUNCTION("""COMPUTED_VALUE"""),56200.0)</f>
        <v>56200</v>
      </c>
      <c r="D2" s="1">
        <f>IFERROR(__xludf.DUMMYFUNCTION("""COMPUTED_VALUE"""),55500.0)</f>
        <v>55500</v>
      </c>
      <c r="E2" s="1">
        <f>IFERROR(__xludf.DUMMYFUNCTION("""COMPUTED_VALUE"""),55600.0)</f>
        <v>55600</v>
      </c>
      <c r="F2" s="1">
        <f>IFERROR(__xludf.DUMMYFUNCTION("""COMPUTED_VALUE"""),22047.0)</f>
        <v>22047</v>
      </c>
    </row>
    <row r="3">
      <c r="A3" s="2">
        <f>IFERROR(__xludf.DUMMYFUNCTION("""COMPUTED_VALUE"""),40911.645833333336)</f>
        <v>40911.64583</v>
      </c>
      <c r="B3" s="1">
        <f>IFERROR(__xludf.DUMMYFUNCTION("""COMPUTED_VALUE"""),55600.0)</f>
        <v>55600</v>
      </c>
      <c r="C3" s="1">
        <f>IFERROR(__xludf.DUMMYFUNCTION("""COMPUTED_VALUE"""),56300.0)</f>
        <v>56300</v>
      </c>
      <c r="D3" s="1">
        <f>IFERROR(__xludf.DUMMYFUNCTION("""COMPUTED_VALUE"""),54000.0)</f>
        <v>54000</v>
      </c>
      <c r="E3" s="1">
        <f>IFERROR(__xludf.DUMMYFUNCTION("""COMPUTED_VALUE"""),56000.0)</f>
        <v>56000</v>
      </c>
      <c r="F3" s="1">
        <f>IFERROR(__xludf.DUMMYFUNCTION("""COMPUTED_VALUE"""),6015.0)</f>
        <v>6015</v>
      </c>
    </row>
    <row r="4">
      <c r="A4" s="2">
        <f>IFERROR(__xludf.DUMMYFUNCTION("""COMPUTED_VALUE"""),40912.645833333336)</f>
        <v>40912.64583</v>
      </c>
      <c r="B4" s="1">
        <f>IFERROR(__xludf.DUMMYFUNCTION("""COMPUTED_VALUE"""),56300.0)</f>
        <v>56300</v>
      </c>
      <c r="C4" s="1">
        <f>IFERROR(__xludf.DUMMYFUNCTION("""COMPUTED_VALUE"""),56300.0)</f>
        <v>56300</v>
      </c>
      <c r="D4" s="1">
        <f>IFERROR(__xludf.DUMMYFUNCTION("""COMPUTED_VALUE"""),55000.0)</f>
        <v>55000</v>
      </c>
      <c r="E4" s="1">
        <f>IFERROR(__xludf.DUMMYFUNCTION("""COMPUTED_VALUE"""),55400.0)</f>
        <v>55400</v>
      </c>
      <c r="F4" s="1">
        <f>IFERROR(__xludf.DUMMYFUNCTION("""COMPUTED_VALUE"""),2216.0)</f>
        <v>2216</v>
      </c>
    </row>
    <row r="5">
      <c r="A5" s="2">
        <f>IFERROR(__xludf.DUMMYFUNCTION("""COMPUTED_VALUE"""),40913.645833333336)</f>
        <v>40913.64583</v>
      </c>
      <c r="B5" s="1">
        <f>IFERROR(__xludf.DUMMYFUNCTION("""COMPUTED_VALUE"""),55600.0)</f>
        <v>55600</v>
      </c>
      <c r="C5" s="1">
        <f>IFERROR(__xludf.DUMMYFUNCTION("""COMPUTED_VALUE"""),55700.0)</f>
        <v>55700</v>
      </c>
      <c r="D5" s="1">
        <f>IFERROR(__xludf.DUMMYFUNCTION("""COMPUTED_VALUE"""),55100.0)</f>
        <v>55100</v>
      </c>
      <c r="E5" s="1">
        <f>IFERROR(__xludf.DUMMYFUNCTION("""COMPUTED_VALUE"""),55700.0)</f>
        <v>55700</v>
      </c>
      <c r="F5" s="1">
        <f>IFERROR(__xludf.DUMMYFUNCTION("""COMPUTED_VALUE"""),4778.0)</f>
        <v>4778</v>
      </c>
    </row>
    <row r="6">
      <c r="A6" s="2">
        <f>IFERROR(__xludf.DUMMYFUNCTION("""COMPUTED_VALUE"""),40914.645833333336)</f>
        <v>40914.64583</v>
      </c>
      <c r="B6" s="1">
        <f>IFERROR(__xludf.DUMMYFUNCTION("""COMPUTED_VALUE"""),55800.0)</f>
        <v>55800</v>
      </c>
      <c r="C6" s="1">
        <f>IFERROR(__xludf.DUMMYFUNCTION("""COMPUTED_VALUE"""),55800.0)</f>
        <v>55800</v>
      </c>
      <c r="D6" s="1">
        <f>IFERROR(__xludf.DUMMYFUNCTION("""COMPUTED_VALUE"""),55000.0)</f>
        <v>55000</v>
      </c>
      <c r="E6" s="1">
        <f>IFERROR(__xludf.DUMMYFUNCTION("""COMPUTED_VALUE"""),55500.0)</f>
        <v>55500</v>
      </c>
      <c r="F6" s="1">
        <f>IFERROR(__xludf.DUMMYFUNCTION("""COMPUTED_VALUE"""),1825.0)</f>
        <v>1825</v>
      </c>
    </row>
    <row r="7">
      <c r="A7" s="2">
        <f>IFERROR(__xludf.DUMMYFUNCTION("""COMPUTED_VALUE"""),40917.645833333336)</f>
        <v>40917.64583</v>
      </c>
      <c r="B7" s="1">
        <f>IFERROR(__xludf.DUMMYFUNCTION("""COMPUTED_VALUE"""),55700.0)</f>
        <v>55700</v>
      </c>
      <c r="C7" s="1">
        <f>IFERROR(__xludf.DUMMYFUNCTION("""COMPUTED_VALUE"""),55700.0)</f>
        <v>55700</v>
      </c>
      <c r="D7" s="1">
        <f>IFERROR(__xludf.DUMMYFUNCTION("""COMPUTED_VALUE"""),55000.0)</f>
        <v>55000</v>
      </c>
      <c r="E7" s="1">
        <f>IFERROR(__xludf.DUMMYFUNCTION("""COMPUTED_VALUE"""),55200.0)</f>
        <v>55200</v>
      </c>
      <c r="F7" s="1">
        <f>IFERROR(__xludf.DUMMYFUNCTION("""COMPUTED_VALUE"""),2123.0)</f>
        <v>2123</v>
      </c>
    </row>
    <row r="8">
      <c r="A8" s="2">
        <f>IFERROR(__xludf.DUMMYFUNCTION("""COMPUTED_VALUE"""),40918.645833333336)</f>
        <v>40918.64583</v>
      </c>
      <c r="B8" s="1">
        <f>IFERROR(__xludf.DUMMYFUNCTION("""COMPUTED_VALUE"""),55500.0)</f>
        <v>55500</v>
      </c>
      <c r="C8" s="1">
        <f>IFERROR(__xludf.DUMMYFUNCTION("""COMPUTED_VALUE"""),56200.0)</f>
        <v>56200</v>
      </c>
      <c r="D8" s="1">
        <f>IFERROR(__xludf.DUMMYFUNCTION("""COMPUTED_VALUE"""),55200.0)</f>
        <v>55200</v>
      </c>
      <c r="E8" s="1">
        <f>IFERROR(__xludf.DUMMYFUNCTION("""COMPUTED_VALUE"""),56100.0)</f>
        <v>56100</v>
      </c>
      <c r="F8" s="1">
        <f>IFERROR(__xludf.DUMMYFUNCTION("""COMPUTED_VALUE"""),2845.0)</f>
        <v>2845</v>
      </c>
    </row>
    <row r="9">
      <c r="A9" s="2">
        <f>IFERROR(__xludf.DUMMYFUNCTION("""COMPUTED_VALUE"""),40919.645833333336)</f>
        <v>40919.64583</v>
      </c>
      <c r="B9" s="1">
        <f>IFERROR(__xludf.DUMMYFUNCTION("""COMPUTED_VALUE"""),56300.0)</f>
        <v>56300</v>
      </c>
      <c r="C9" s="1">
        <f>IFERROR(__xludf.DUMMYFUNCTION("""COMPUTED_VALUE"""),56400.0)</f>
        <v>56400</v>
      </c>
      <c r="D9" s="1">
        <f>IFERROR(__xludf.DUMMYFUNCTION("""COMPUTED_VALUE"""),55400.0)</f>
        <v>55400</v>
      </c>
      <c r="E9" s="1">
        <f>IFERROR(__xludf.DUMMYFUNCTION("""COMPUTED_VALUE"""),56000.0)</f>
        <v>56000</v>
      </c>
      <c r="F9" s="1">
        <f>IFERROR(__xludf.DUMMYFUNCTION("""COMPUTED_VALUE"""),3048.0)</f>
        <v>3048</v>
      </c>
    </row>
    <row r="10">
      <c r="A10" s="2">
        <f>IFERROR(__xludf.DUMMYFUNCTION("""COMPUTED_VALUE"""),40920.645833333336)</f>
        <v>40920.64583</v>
      </c>
      <c r="B10" s="1">
        <f>IFERROR(__xludf.DUMMYFUNCTION("""COMPUTED_VALUE"""),56400.0)</f>
        <v>56400</v>
      </c>
      <c r="C10" s="1">
        <f>IFERROR(__xludf.DUMMYFUNCTION("""COMPUTED_VALUE"""),56400.0)</f>
        <v>56400</v>
      </c>
      <c r="D10" s="1">
        <f>IFERROR(__xludf.DUMMYFUNCTION("""COMPUTED_VALUE"""),55300.0)</f>
        <v>55300</v>
      </c>
      <c r="E10" s="1">
        <f>IFERROR(__xludf.DUMMYFUNCTION("""COMPUTED_VALUE"""),56100.0)</f>
        <v>56100</v>
      </c>
      <c r="F10" s="1">
        <f>IFERROR(__xludf.DUMMYFUNCTION("""COMPUTED_VALUE"""),1876.0)</f>
        <v>1876</v>
      </c>
    </row>
    <row r="11">
      <c r="A11" s="2">
        <f>IFERROR(__xludf.DUMMYFUNCTION("""COMPUTED_VALUE"""),40921.645833333336)</f>
        <v>40921.64583</v>
      </c>
      <c r="B11" s="1">
        <f>IFERROR(__xludf.DUMMYFUNCTION("""COMPUTED_VALUE"""),56400.0)</f>
        <v>56400</v>
      </c>
      <c r="C11" s="1">
        <f>IFERROR(__xludf.DUMMYFUNCTION("""COMPUTED_VALUE"""),56400.0)</f>
        <v>56400</v>
      </c>
      <c r="D11" s="1">
        <f>IFERROR(__xludf.DUMMYFUNCTION("""COMPUTED_VALUE"""),55500.0)</f>
        <v>55500</v>
      </c>
      <c r="E11" s="1">
        <f>IFERROR(__xludf.DUMMYFUNCTION("""COMPUTED_VALUE"""),56000.0)</f>
        <v>56000</v>
      </c>
      <c r="F11" s="1">
        <f>IFERROR(__xludf.DUMMYFUNCTION("""COMPUTED_VALUE"""),1524.0)</f>
        <v>1524</v>
      </c>
    </row>
    <row r="12">
      <c r="A12" s="2">
        <f>IFERROR(__xludf.DUMMYFUNCTION("""COMPUTED_VALUE"""),40924.645833333336)</f>
        <v>40924.64583</v>
      </c>
      <c r="B12" s="1">
        <f>IFERROR(__xludf.DUMMYFUNCTION("""COMPUTED_VALUE"""),55500.0)</f>
        <v>55500</v>
      </c>
      <c r="C12" s="1">
        <f>IFERROR(__xludf.DUMMYFUNCTION("""COMPUTED_VALUE"""),56000.0)</f>
        <v>56000</v>
      </c>
      <c r="D12" s="1">
        <f>IFERROR(__xludf.DUMMYFUNCTION("""COMPUTED_VALUE"""),55200.0)</f>
        <v>55200</v>
      </c>
      <c r="E12" s="1">
        <f>IFERROR(__xludf.DUMMYFUNCTION("""COMPUTED_VALUE"""),56000.0)</f>
        <v>56000</v>
      </c>
      <c r="F12" s="1">
        <f>IFERROR(__xludf.DUMMYFUNCTION("""COMPUTED_VALUE"""),3307.0)</f>
        <v>3307</v>
      </c>
    </row>
    <row r="13">
      <c r="A13" s="2">
        <f>IFERROR(__xludf.DUMMYFUNCTION("""COMPUTED_VALUE"""),40925.645833333336)</f>
        <v>40925.64583</v>
      </c>
      <c r="B13" s="1">
        <f>IFERROR(__xludf.DUMMYFUNCTION("""COMPUTED_VALUE"""),56000.0)</f>
        <v>56000</v>
      </c>
      <c r="C13" s="1">
        <f>IFERROR(__xludf.DUMMYFUNCTION("""COMPUTED_VALUE"""),56100.0)</f>
        <v>56100</v>
      </c>
      <c r="D13" s="1">
        <f>IFERROR(__xludf.DUMMYFUNCTION("""COMPUTED_VALUE"""),55600.0)</f>
        <v>55600</v>
      </c>
      <c r="E13" s="1">
        <f>IFERROR(__xludf.DUMMYFUNCTION("""COMPUTED_VALUE"""),56000.0)</f>
        <v>56000</v>
      </c>
      <c r="F13" s="1">
        <f>IFERROR(__xludf.DUMMYFUNCTION("""COMPUTED_VALUE"""),2944.0)</f>
        <v>2944</v>
      </c>
    </row>
    <row r="14">
      <c r="A14" s="2">
        <f>IFERROR(__xludf.DUMMYFUNCTION("""COMPUTED_VALUE"""),40926.645833333336)</f>
        <v>40926.64583</v>
      </c>
      <c r="B14" s="1">
        <f>IFERROR(__xludf.DUMMYFUNCTION("""COMPUTED_VALUE"""),56100.0)</f>
        <v>56100</v>
      </c>
      <c r="C14" s="1">
        <f>IFERROR(__xludf.DUMMYFUNCTION("""COMPUTED_VALUE"""),56500.0)</f>
        <v>56500</v>
      </c>
      <c r="D14" s="1">
        <f>IFERROR(__xludf.DUMMYFUNCTION("""COMPUTED_VALUE"""),55600.0)</f>
        <v>55600</v>
      </c>
      <c r="E14" s="1">
        <f>IFERROR(__xludf.DUMMYFUNCTION("""COMPUTED_VALUE"""),56500.0)</f>
        <v>56500</v>
      </c>
      <c r="F14" s="1">
        <f>IFERROR(__xludf.DUMMYFUNCTION("""COMPUTED_VALUE"""),4179.0)</f>
        <v>4179</v>
      </c>
    </row>
    <row r="15">
      <c r="A15" s="2">
        <f>IFERROR(__xludf.DUMMYFUNCTION("""COMPUTED_VALUE"""),40927.645833333336)</f>
        <v>40927.64583</v>
      </c>
      <c r="B15" s="1">
        <f>IFERROR(__xludf.DUMMYFUNCTION("""COMPUTED_VALUE"""),57000.0)</f>
        <v>57000</v>
      </c>
      <c r="C15" s="1">
        <f>IFERROR(__xludf.DUMMYFUNCTION("""COMPUTED_VALUE"""),57700.0)</f>
        <v>57700</v>
      </c>
      <c r="D15" s="1">
        <f>IFERROR(__xludf.DUMMYFUNCTION("""COMPUTED_VALUE"""),56500.0)</f>
        <v>56500</v>
      </c>
      <c r="E15" s="1">
        <f>IFERROR(__xludf.DUMMYFUNCTION("""COMPUTED_VALUE"""),57500.0)</f>
        <v>57500</v>
      </c>
      <c r="F15" s="1">
        <f>IFERROR(__xludf.DUMMYFUNCTION("""COMPUTED_VALUE"""),6833.0)</f>
        <v>6833</v>
      </c>
    </row>
    <row r="16">
      <c r="A16" s="2">
        <f>IFERROR(__xludf.DUMMYFUNCTION("""COMPUTED_VALUE"""),40928.645833333336)</f>
        <v>40928.64583</v>
      </c>
      <c r="B16" s="1">
        <f>IFERROR(__xludf.DUMMYFUNCTION("""COMPUTED_VALUE"""),57700.0)</f>
        <v>57700</v>
      </c>
      <c r="C16" s="1">
        <f>IFERROR(__xludf.DUMMYFUNCTION("""COMPUTED_VALUE"""),58000.0)</f>
        <v>58000</v>
      </c>
      <c r="D16" s="1">
        <f>IFERROR(__xludf.DUMMYFUNCTION("""COMPUTED_VALUE"""),57000.0)</f>
        <v>57000</v>
      </c>
      <c r="E16" s="1">
        <f>IFERROR(__xludf.DUMMYFUNCTION("""COMPUTED_VALUE"""),58000.0)</f>
        <v>58000</v>
      </c>
      <c r="F16" s="1">
        <f>IFERROR(__xludf.DUMMYFUNCTION("""COMPUTED_VALUE"""),5432.0)</f>
        <v>5432</v>
      </c>
    </row>
    <row r="17">
      <c r="A17" s="2">
        <f>IFERROR(__xludf.DUMMYFUNCTION("""COMPUTED_VALUE"""),40933.645833333336)</f>
        <v>40933.64583</v>
      </c>
      <c r="B17" s="1">
        <f>IFERROR(__xludf.DUMMYFUNCTION("""COMPUTED_VALUE"""),58400.0)</f>
        <v>58400</v>
      </c>
      <c r="C17" s="1">
        <f>IFERROR(__xludf.DUMMYFUNCTION("""COMPUTED_VALUE"""),58600.0)</f>
        <v>58600</v>
      </c>
      <c r="D17" s="1">
        <f>IFERROR(__xludf.DUMMYFUNCTION("""COMPUTED_VALUE"""),57300.0)</f>
        <v>57300</v>
      </c>
      <c r="E17" s="1">
        <f>IFERROR(__xludf.DUMMYFUNCTION("""COMPUTED_VALUE"""),58000.0)</f>
        <v>58000</v>
      </c>
      <c r="F17" s="1">
        <f>IFERROR(__xludf.DUMMYFUNCTION("""COMPUTED_VALUE"""),6470.0)</f>
        <v>6470</v>
      </c>
    </row>
    <row r="18">
      <c r="A18" s="2">
        <f>IFERROR(__xludf.DUMMYFUNCTION("""COMPUTED_VALUE"""),40934.645833333336)</f>
        <v>40934.64583</v>
      </c>
      <c r="B18" s="1">
        <f>IFERROR(__xludf.DUMMYFUNCTION("""COMPUTED_VALUE"""),58300.0)</f>
        <v>58300</v>
      </c>
      <c r="C18" s="1">
        <f>IFERROR(__xludf.DUMMYFUNCTION("""COMPUTED_VALUE"""),59000.0)</f>
        <v>59000</v>
      </c>
      <c r="D18" s="1">
        <f>IFERROR(__xludf.DUMMYFUNCTION("""COMPUTED_VALUE"""),57600.0)</f>
        <v>57600</v>
      </c>
      <c r="E18" s="1">
        <f>IFERROR(__xludf.DUMMYFUNCTION("""COMPUTED_VALUE"""),59000.0)</f>
        <v>59000</v>
      </c>
      <c r="F18" s="1">
        <f>IFERROR(__xludf.DUMMYFUNCTION("""COMPUTED_VALUE"""),4622.0)</f>
        <v>4622</v>
      </c>
    </row>
    <row r="19">
      <c r="A19" s="2">
        <f>IFERROR(__xludf.DUMMYFUNCTION("""COMPUTED_VALUE"""),40935.645833333336)</f>
        <v>40935.64583</v>
      </c>
      <c r="B19" s="1">
        <f>IFERROR(__xludf.DUMMYFUNCTION("""COMPUTED_VALUE"""),59400.0)</f>
        <v>59400</v>
      </c>
      <c r="C19" s="1">
        <f>IFERROR(__xludf.DUMMYFUNCTION("""COMPUTED_VALUE"""),59400.0)</f>
        <v>59400</v>
      </c>
      <c r="D19" s="1">
        <f>IFERROR(__xludf.DUMMYFUNCTION("""COMPUTED_VALUE"""),58200.0)</f>
        <v>58200</v>
      </c>
      <c r="E19" s="1">
        <f>IFERROR(__xludf.DUMMYFUNCTION("""COMPUTED_VALUE"""),59200.0)</f>
        <v>59200</v>
      </c>
      <c r="F19" s="1">
        <f>IFERROR(__xludf.DUMMYFUNCTION("""COMPUTED_VALUE"""),4575.0)</f>
        <v>4575</v>
      </c>
    </row>
    <row r="20">
      <c r="A20" s="2">
        <f>IFERROR(__xludf.DUMMYFUNCTION("""COMPUTED_VALUE"""),40938.645833333336)</f>
        <v>40938.64583</v>
      </c>
      <c r="B20" s="1">
        <f>IFERROR(__xludf.DUMMYFUNCTION("""COMPUTED_VALUE"""),59200.0)</f>
        <v>59200</v>
      </c>
      <c r="C20" s="1">
        <f>IFERROR(__xludf.DUMMYFUNCTION("""COMPUTED_VALUE"""),59500.0)</f>
        <v>59500</v>
      </c>
      <c r="D20" s="1">
        <f>IFERROR(__xludf.DUMMYFUNCTION("""COMPUTED_VALUE"""),58600.0)</f>
        <v>58600</v>
      </c>
      <c r="E20" s="1">
        <f>IFERROR(__xludf.DUMMYFUNCTION("""COMPUTED_VALUE"""),59300.0)</f>
        <v>59300</v>
      </c>
      <c r="F20" s="1">
        <f>IFERROR(__xludf.DUMMYFUNCTION("""COMPUTED_VALUE"""),3765.0)</f>
        <v>3765</v>
      </c>
    </row>
    <row r="21">
      <c r="A21" s="2">
        <f>IFERROR(__xludf.DUMMYFUNCTION("""COMPUTED_VALUE"""),40939.645833333336)</f>
        <v>40939.64583</v>
      </c>
      <c r="B21" s="1">
        <f>IFERROR(__xludf.DUMMYFUNCTION("""COMPUTED_VALUE"""),58500.0)</f>
        <v>58500</v>
      </c>
      <c r="C21" s="1">
        <f>IFERROR(__xludf.DUMMYFUNCTION("""COMPUTED_VALUE"""),59400.0)</f>
        <v>59400</v>
      </c>
      <c r="D21" s="1">
        <f>IFERROR(__xludf.DUMMYFUNCTION("""COMPUTED_VALUE"""),58500.0)</f>
        <v>58500</v>
      </c>
      <c r="E21" s="1">
        <f>IFERROR(__xludf.DUMMYFUNCTION("""COMPUTED_VALUE"""),59300.0)</f>
        <v>59300</v>
      </c>
      <c r="F21" s="1">
        <f>IFERROR(__xludf.DUMMYFUNCTION("""COMPUTED_VALUE"""),1222.0)</f>
        <v>1222</v>
      </c>
    </row>
    <row r="22">
      <c r="A22" s="2">
        <f>IFERROR(__xludf.DUMMYFUNCTION("""COMPUTED_VALUE"""),40940.645833333336)</f>
        <v>40940.64583</v>
      </c>
      <c r="B22" s="1">
        <f>IFERROR(__xludf.DUMMYFUNCTION("""COMPUTED_VALUE"""),59300.0)</f>
        <v>59300</v>
      </c>
      <c r="C22" s="1">
        <f>IFERROR(__xludf.DUMMYFUNCTION("""COMPUTED_VALUE"""),59400.0)</f>
        <v>59400</v>
      </c>
      <c r="D22" s="1">
        <f>IFERROR(__xludf.DUMMYFUNCTION("""COMPUTED_VALUE"""),58500.0)</f>
        <v>58500</v>
      </c>
      <c r="E22" s="1">
        <f>IFERROR(__xludf.DUMMYFUNCTION("""COMPUTED_VALUE"""),59100.0)</f>
        <v>59100</v>
      </c>
      <c r="F22" s="1">
        <f>IFERROR(__xludf.DUMMYFUNCTION("""COMPUTED_VALUE"""),3235.0)</f>
        <v>3235</v>
      </c>
    </row>
    <row r="23">
      <c r="A23" s="2">
        <f>IFERROR(__xludf.DUMMYFUNCTION("""COMPUTED_VALUE"""),40941.645833333336)</f>
        <v>40941.64583</v>
      </c>
      <c r="B23" s="1">
        <f>IFERROR(__xludf.DUMMYFUNCTION("""COMPUTED_VALUE"""),59300.0)</f>
        <v>59300</v>
      </c>
      <c r="C23" s="1">
        <f>IFERROR(__xludf.DUMMYFUNCTION("""COMPUTED_VALUE"""),59500.0)</f>
        <v>59500</v>
      </c>
      <c r="D23" s="1">
        <f>IFERROR(__xludf.DUMMYFUNCTION("""COMPUTED_VALUE"""),58700.0)</f>
        <v>58700</v>
      </c>
      <c r="E23" s="1">
        <f>IFERROR(__xludf.DUMMYFUNCTION("""COMPUTED_VALUE"""),59200.0)</f>
        <v>59200</v>
      </c>
      <c r="F23" s="1">
        <f>IFERROR(__xludf.DUMMYFUNCTION("""COMPUTED_VALUE"""),8921.0)</f>
        <v>8921</v>
      </c>
    </row>
    <row r="24">
      <c r="A24" s="2">
        <f>IFERROR(__xludf.DUMMYFUNCTION("""COMPUTED_VALUE"""),40942.645833333336)</f>
        <v>40942.64583</v>
      </c>
      <c r="B24" s="1">
        <f>IFERROR(__xludf.DUMMYFUNCTION("""COMPUTED_VALUE"""),59200.0)</f>
        <v>59200</v>
      </c>
      <c r="C24" s="1">
        <f>IFERROR(__xludf.DUMMYFUNCTION("""COMPUTED_VALUE"""),59700.0)</f>
        <v>59700</v>
      </c>
      <c r="D24" s="1">
        <f>IFERROR(__xludf.DUMMYFUNCTION("""COMPUTED_VALUE"""),58500.0)</f>
        <v>58500</v>
      </c>
      <c r="E24" s="1">
        <f>IFERROR(__xludf.DUMMYFUNCTION("""COMPUTED_VALUE"""),59700.0)</f>
        <v>59700</v>
      </c>
      <c r="F24" s="1">
        <f>IFERROR(__xludf.DUMMYFUNCTION("""COMPUTED_VALUE"""),14348.0)</f>
        <v>14348</v>
      </c>
    </row>
    <row r="25">
      <c r="A25" s="2">
        <f>IFERROR(__xludf.DUMMYFUNCTION("""COMPUTED_VALUE"""),40945.645833333336)</f>
        <v>40945.64583</v>
      </c>
      <c r="B25" s="1">
        <f>IFERROR(__xludf.DUMMYFUNCTION("""COMPUTED_VALUE"""),59900.0)</f>
        <v>59900</v>
      </c>
      <c r="C25" s="1">
        <f>IFERROR(__xludf.DUMMYFUNCTION("""COMPUTED_VALUE"""),60000.0)</f>
        <v>60000</v>
      </c>
      <c r="D25" s="1">
        <f>IFERROR(__xludf.DUMMYFUNCTION("""COMPUTED_VALUE"""),59400.0)</f>
        <v>59400</v>
      </c>
      <c r="E25" s="1">
        <f>IFERROR(__xludf.DUMMYFUNCTION("""COMPUTED_VALUE"""),59900.0)</f>
        <v>59900</v>
      </c>
      <c r="F25" s="1">
        <f>IFERROR(__xludf.DUMMYFUNCTION("""COMPUTED_VALUE"""),18402.0)</f>
        <v>18402</v>
      </c>
    </row>
    <row r="26">
      <c r="A26" s="2">
        <f>IFERROR(__xludf.DUMMYFUNCTION("""COMPUTED_VALUE"""),40946.645833333336)</f>
        <v>40946.64583</v>
      </c>
      <c r="B26" s="1">
        <f>IFERROR(__xludf.DUMMYFUNCTION("""COMPUTED_VALUE"""),60200.0)</f>
        <v>60200</v>
      </c>
      <c r="C26" s="1">
        <f>IFERROR(__xludf.DUMMYFUNCTION("""COMPUTED_VALUE"""),60200.0)</f>
        <v>60200</v>
      </c>
      <c r="D26" s="1">
        <f>IFERROR(__xludf.DUMMYFUNCTION("""COMPUTED_VALUE"""),59700.0)</f>
        <v>59700</v>
      </c>
      <c r="E26" s="1">
        <f>IFERROR(__xludf.DUMMYFUNCTION("""COMPUTED_VALUE"""),60000.0)</f>
        <v>60000</v>
      </c>
      <c r="F26" s="1">
        <f>IFERROR(__xludf.DUMMYFUNCTION("""COMPUTED_VALUE"""),11779.0)</f>
        <v>11779</v>
      </c>
    </row>
    <row r="27">
      <c r="A27" s="2">
        <f>IFERROR(__xludf.DUMMYFUNCTION("""COMPUTED_VALUE"""),40947.645833333336)</f>
        <v>40947.64583</v>
      </c>
      <c r="B27" s="1">
        <f>IFERROR(__xludf.DUMMYFUNCTION("""COMPUTED_VALUE"""),60000.0)</f>
        <v>60000</v>
      </c>
      <c r="C27" s="1">
        <f>IFERROR(__xludf.DUMMYFUNCTION("""COMPUTED_VALUE"""),61900.0)</f>
        <v>61900</v>
      </c>
      <c r="D27" s="1">
        <f>IFERROR(__xludf.DUMMYFUNCTION("""COMPUTED_VALUE"""),60000.0)</f>
        <v>60000</v>
      </c>
      <c r="E27" s="1">
        <f>IFERROR(__xludf.DUMMYFUNCTION("""COMPUTED_VALUE"""),61700.0)</f>
        <v>61700</v>
      </c>
      <c r="F27" s="1">
        <f>IFERROR(__xludf.DUMMYFUNCTION("""COMPUTED_VALUE"""),28147.0)</f>
        <v>28147</v>
      </c>
    </row>
    <row r="28">
      <c r="A28" s="2">
        <f>IFERROR(__xludf.DUMMYFUNCTION("""COMPUTED_VALUE"""),40948.645833333336)</f>
        <v>40948.64583</v>
      </c>
      <c r="B28" s="1">
        <f>IFERROR(__xludf.DUMMYFUNCTION("""COMPUTED_VALUE"""),61600.0)</f>
        <v>61600</v>
      </c>
      <c r="C28" s="1">
        <f>IFERROR(__xludf.DUMMYFUNCTION("""COMPUTED_VALUE"""),63600.0)</f>
        <v>63600</v>
      </c>
      <c r="D28" s="1">
        <f>IFERROR(__xludf.DUMMYFUNCTION("""COMPUTED_VALUE"""),61200.0)</f>
        <v>61200</v>
      </c>
      <c r="E28" s="1">
        <f>IFERROR(__xludf.DUMMYFUNCTION("""COMPUTED_VALUE"""),63500.0)</f>
        <v>63500</v>
      </c>
      <c r="F28" s="1">
        <f>IFERROR(__xludf.DUMMYFUNCTION("""COMPUTED_VALUE"""),27173.0)</f>
        <v>27173</v>
      </c>
    </row>
    <row r="29">
      <c r="A29" s="2">
        <f>IFERROR(__xludf.DUMMYFUNCTION("""COMPUTED_VALUE"""),40949.645833333336)</f>
        <v>40949.64583</v>
      </c>
      <c r="B29" s="1">
        <f>IFERROR(__xludf.DUMMYFUNCTION("""COMPUTED_VALUE"""),63500.0)</f>
        <v>63500</v>
      </c>
      <c r="C29" s="1">
        <f>IFERROR(__xludf.DUMMYFUNCTION("""COMPUTED_VALUE"""),63500.0)</f>
        <v>63500</v>
      </c>
      <c r="D29" s="1">
        <f>IFERROR(__xludf.DUMMYFUNCTION("""COMPUTED_VALUE"""),62500.0)</f>
        <v>62500</v>
      </c>
      <c r="E29" s="1">
        <f>IFERROR(__xludf.DUMMYFUNCTION("""COMPUTED_VALUE"""),63100.0)</f>
        <v>63100</v>
      </c>
      <c r="F29" s="1">
        <f>IFERROR(__xludf.DUMMYFUNCTION("""COMPUTED_VALUE"""),10659.0)</f>
        <v>10659</v>
      </c>
    </row>
    <row r="30">
      <c r="A30" s="2">
        <f>IFERROR(__xludf.DUMMYFUNCTION("""COMPUTED_VALUE"""),40952.645833333336)</f>
        <v>40952.64583</v>
      </c>
      <c r="B30" s="1">
        <f>IFERROR(__xludf.DUMMYFUNCTION("""COMPUTED_VALUE"""),63100.0)</f>
        <v>63100</v>
      </c>
      <c r="C30" s="1">
        <f>IFERROR(__xludf.DUMMYFUNCTION("""COMPUTED_VALUE"""),63100.0)</f>
        <v>63100</v>
      </c>
      <c r="D30" s="1">
        <f>IFERROR(__xludf.DUMMYFUNCTION("""COMPUTED_VALUE"""),61700.0)</f>
        <v>61700</v>
      </c>
      <c r="E30" s="1">
        <f>IFERROR(__xludf.DUMMYFUNCTION("""COMPUTED_VALUE"""),63000.0)</f>
        <v>63000</v>
      </c>
      <c r="F30" s="1">
        <f>IFERROR(__xludf.DUMMYFUNCTION("""COMPUTED_VALUE"""),8588.0)</f>
        <v>8588</v>
      </c>
    </row>
    <row r="31">
      <c r="A31" s="2">
        <f>IFERROR(__xludf.DUMMYFUNCTION("""COMPUTED_VALUE"""),40953.645833333336)</f>
        <v>40953.64583</v>
      </c>
      <c r="B31" s="1">
        <f>IFERROR(__xludf.DUMMYFUNCTION("""COMPUTED_VALUE"""),63000.0)</f>
        <v>63000</v>
      </c>
      <c r="C31" s="1">
        <f>IFERROR(__xludf.DUMMYFUNCTION("""COMPUTED_VALUE"""),63000.0)</f>
        <v>63000</v>
      </c>
      <c r="D31" s="1">
        <f>IFERROR(__xludf.DUMMYFUNCTION("""COMPUTED_VALUE"""),62000.0)</f>
        <v>62000</v>
      </c>
      <c r="E31" s="1">
        <f>IFERROR(__xludf.DUMMYFUNCTION("""COMPUTED_VALUE"""),62900.0)</f>
        <v>62900</v>
      </c>
      <c r="F31" s="1">
        <f>IFERROR(__xludf.DUMMYFUNCTION("""COMPUTED_VALUE"""),4001.0)</f>
        <v>4001</v>
      </c>
    </row>
    <row r="32">
      <c r="A32" s="2">
        <f>IFERROR(__xludf.DUMMYFUNCTION("""COMPUTED_VALUE"""),40954.645833333336)</f>
        <v>40954.64583</v>
      </c>
      <c r="B32" s="1">
        <f>IFERROR(__xludf.DUMMYFUNCTION("""COMPUTED_VALUE"""),62900.0)</f>
        <v>62900</v>
      </c>
      <c r="C32" s="1">
        <f>IFERROR(__xludf.DUMMYFUNCTION("""COMPUTED_VALUE"""),63500.0)</f>
        <v>63500</v>
      </c>
      <c r="D32" s="1">
        <f>IFERROR(__xludf.DUMMYFUNCTION("""COMPUTED_VALUE"""),62600.0)</f>
        <v>62600</v>
      </c>
      <c r="E32" s="1">
        <f>IFERROR(__xludf.DUMMYFUNCTION("""COMPUTED_VALUE"""),62900.0)</f>
        <v>62900</v>
      </c>
      <c r="F32" s="1">
        <f>IFERROR(__xludf.DUMMYFUNCTION("""COMPUTED_VALUE"""),4187.0)</f>
        <v>4187</v>
      </c>
    </row>
    <row r="33">
      <c r="A33" s="2">
        <f>IFERROR(__xludf.DUMMYFUNCTION("""COMPUTED_VALUE"""),40955.645833333336)</f>
        <v>40955.64583</v>
      </c>
      <c r="B33" s="1">
        <f>IFERROR(__xludf.DUMMYFUNCTION("""COMPUTED_VALUE"""),63200.0)</f>
        <v>63200</v>
      </c>
      <c r="C33" s="1">
        <f>IFERROR(__xludf.DUMMYFUNCTION("""COMPUTED_VALUE"""),63200.0)</f>
        <v>63200</v>
      </c>
      <c r="D33" s="1">
        <f>IFERROR(__xludf.DUMMYFUNCTION("""COMPUTED_VALUE"""),61900.0)</f>
        <v>61900</v>
      </c>
      <c r="E33" s="1">
        <f>IFERROR(__xludf.DUMMYFUNCTION("""COMPUTED_VALUE"""),62600.0)</f>
        <v>62600</v>
      </c>
      <c r="F33" s="1">
        <f>IFERROR(__xludf.DUMMYFUNCTION("""COMPUTED_VALUE"""),4535.0)</f>
        <v>4535</v>
      </c>
    </row>
    <row r="34">
      <c r="A34" s="2">
        <f>IFERROR(__xludf.DUMMYFUNCTION("""COMPUTED_VALUE"""),40956.645833333336)</f>
        <v>40956.64583</v>
      </c>
      <c r="B34" s="1">
        <f>IFERROR(__xludf.DUMMYFUNCTION("""COMPUTED_VALUE"""),63000.0)</f>
        <v>63000</v>
      </c>
      <c r="C34" s="1">
        <f>IFERROR(__xludf.DUMMYFUNCTION("""COMPUTED_VALUE"""),63600.0)</f>
        <v>63600</v>
      </c>
      <c r="D34" s="1">
        <f>IFERROR(__xludf.DUMMYFUNCTION("""COMPUTED_VALUE"""),62800.0)</f>
        <v>62800</v>
      </c>
      <c r="E34" s="1">
        <f>IFERROR(__xludf.DUMMYFUNCTION("""COMPUTED_VALUE"""),63500.0)</f>
        <v>63500</v>
      </c>
      <c r="F34" s="1">
        <f>IFERROR(__xludf.DUMMYFUNCTION("""COMPUTED_VALUE"""),4822.0)</f>
        <v>4822</v>
      </c>
    </row>
    <row r="35">
      <c r="A35" s="2">
        <f>IFERROR(__xludf.DUMMYFUNCTION("""COMPUTED_VALUE"""),40959.645833333336)</f>
        <v>40959.64583</v>
      </c>
      <c r="B35" s="1">
        <f>IFERROR(__xludf.DUMMYFUNCTION("""COMPUTED_VALUE"""),63200.0)</f>
        <v>63200</v>
      </c>
      <c r="C35" s="1">
        <f>IFERROR(__xludf.DUMMYFUNCTION("""COMPUTED_VALUE"""),64000.0)</f>
        <v>64000</v>
      </c>
      <c r="D35" s="1">
        <f>IFERROR(__xludf.DUMMYFUNCTION("""COMPUTED_VALUE"""),63000.0)</f>
        <v>63000</v>
      </c>
      <c r="E35" s="1">
        <f>IFERROR(__xludf.DUMMYFUNCTION("""COMPUTED_VALUE"""),63600.0)</f>
        <v>63600</v>
      </c>
      <c r="F35" s="1">
        <f>IFERROR(__xludf.DUMMYFUNCTION("""COMPUTED_VALUE"""),3042.0)</f>
        <v>3042</v>
      </c>
    </row>
    <row r="36">
      <c r="A36" s="2">
        <f>IFERROR(__xludf.DUMMYFUNCTION("""COMPUTED_VALUE"""),40960.645833333336)</f>
        <v>40960.64583</v>
      </c>
      <c r="B36" s="1">
        <f>IFERROR(__xludf.DUMMYFUNCTION("""COMPUTED_VALUE"""),63300.0)</f>
        <v>63300</v>
      </c>
      <c r="C36" s="1">
        <f>IFERROR(__xludf.DUMMYFUNCTION("""COMPUTED_VALUE"""),63700.0)</f>
        <v>63700</v>
      </c>
      <c r="D36" s="1">
        <f>IFERROR(__xludf.DUMMYFUNCTION("""COMPUTED_VALUE"""),62600.0)</f>
        <v>62600</v>
      </c>
      <c r="E36" s="1">
        <f>IFERROR(__xludf.DUMMYFUNCTION("""COMPUTED_VALUE"""),63000.0)</f>
        <v>63000</v>
      </c>
      <c r="F36" s="1">
        <f>IFERROR(__xludf.DUMMYFUNCTION("""COMPUTED_VALUE"""),4754.0)</f>
        <v>4754</v>
      </c>
    </row>
    <row r="37">
      <c r="A37" s="2">
        <f>IFERROR(__xludf.DUMMYFUNCTION("""COMPUTED_VALUE"""),40961.645833333336)</f>
        <v>40961.64583</v>
      </c>
      <c r="B37" s="1">
        <f>IFERROR(__xludf.DUMMYFUNCTION("""COMPUTED_VALUE"""),63000.0)</f>
        <v>63000</v>
      </c>
      <c r="C37" s="1">
        <f>IFERROR(__xludf.DUMMYFUNCTION("""COMPUTED_VALUE"""),63000.0)</f>
        <v>63000</v>
      </c>
      <c r="D37" s="1">
        <f>IFERROR(__xludf.DUMMYFUNCTION("""COMPUTED_VALUE"""),62400.0)</f>
        <v>62400</v>
      </c>
      <c r="E37" s="1">
        <f>IFERROR(__xludf.DUMMYFUNCTION("""COMPUTED_VALUE"""),63000.0)</f>
        <v>63000</v>
      </c>
      <c r="F37" s="1">
        <f>IFERROR(__xludf.DUMMYFUNCTION("""COMPUTED_VALUE"""),7251.0)</f>
        <v>7251</v>
      </c>
    </row>
    <row r="38">
      <c r="A38" s="2">
        <f>IFERROR(__xludf.DUMMYFUNCTION("""COMPUTED_VALUE"""),40962.645833333336)</f>
        <v>40962.64583</v>
      </c>
      <c r="B38" s="1">
        <f>IFERROR(__xludf.DUMMYFUNCTION("""COMPUTED_VALUE"""),63300.0)</f>
        <v>63300</v>
      </c>
      <c r="C38" s="1">
        <f>IFERROR(__xludf.DUMMYFUNCTION("""COMPUTED_VALUE"""),63300.0)</f>
        <v>63300</v>
      </c>
      <c r="D38" s="1">
        <f>IFERROR(__xludf.DUMMYFUNCTION("""COMPUTED_VALUE"""),62500.0)</f>
        <v>62500</v>
      </c>
      <c r="E38" s="1">
        <f>IFERROR(__xludf.DUMMYFUNCTION("""COMPUTED_VALUE"""),63000.0)</f>
        <v>63000</v>
      </c>
      <c r="F38" s="1">
        <f>IFERROR(__xludf.DUMMYFUNCTION("""COMPUTED_VALUE"""),2195.0)</f>
        <v>2195</v>
      </c>
    </row>
    <row r="39">
      <c r="A39" s="2">
        <f>IFERROR(__xludf.DUMMYFUNCTION("""COMPUTED_VALUE"""),40963.645833333336)</f>
        <v>40963.64583</v>
      </c>
      <c r="B39" s="1">
        <f>IFERROR(__xludf.DUMMYFUNCTION("""COMPUTED_VALUE"""),63000.0)</f>
        <v>63000</v>
      </c>
      <c r="C39" s="1">
        <f>IFERROR(__xludf.DUMMYFUNCTION("""COMPUTED_VALUE"""),63000.0)</f>
        <v>63000</v>
      </c>
      <c r="D39" s="1">
        <f>IFERROR(__xludf.DUMMYFUNCTION("""COMPUTED_VALUE"""),62500.0)</f>
        <v>62500</v>
      </c>
      <c r="E39" s="1">
        <f>IFERROR(__xludf.DUMMYFUNCTION("""COMPUTED_VALUE"""),62800.0)</f>
        <v>62800</v>
      </c>
      <c r="F39" s="1">
        <f>IFERROR(__xludf.DUMMYFUNCTION("""COMPUTED_VALUE"""),1661.0)</f>
        <v>1661</v>
      </c>
    </row>
    <row r="40">
      <c r="A40" s="2">
        <f>IFERROR(__xludf.DUMMYFUNCTION("""COMPUTED_VALUE"""),40966.645833333336)</f>
        <v>40966.64583</v>
      </c>
      <c r="B40" s="1">
        <f>IFERROR(__xludf.DUMMYFUNCTION("""COMPUTED_VALUE"""),62900.0)</f>
        <v>62900</v>
      </c>
      <c r="C40" s="1">
        <f>IFERROR(__xludf.DUMMYFUNCTION("""COMPUTED_VALUE"""),63000.0)</f>
        <v>63000</v>
      </c>
      <c r="D40" s="1">
        <f>IFERROR(__xludf.DUMMYFUNCTION("""COMPUTED_VALUE"""),60700.0)</f>
        <v>60700</v>
      </c>
      <c r="E40" s="1">
        <f>IFERROR(__xludf.DUMMYFUNCTION("""COMPUTED_VALUE"""),61500.0)</f>
        <v>61500</v>
      </c>
      <c r="F40" s="1">
        <f>IFERROR(__xludf.DUMMYFUNCTION("""COMPUTED_VALUE"""),16852.0)</f>
        <v>16852</v>
      </c>
    </row>
    <row r="41">
      <c r="A41" s="2">
        <f>IFERROR(__xludf.DUMMYFUNCTION("""COMPUTED_VALUE"""),40967.645833333336)</f>
        <v>40967.64583</v>
      </c>
      <c r="B41" s="1">
        <f>IFERROR(__xludf.DUMMYFUNCTION("""COMPUTED_VALUE"""),62000.0)</f>
        <v>62000</v>
      </c>
      <c r="C41" s="1">
        <f>IFERROR(__xludf.DUMMYFUNCTION("""COMPUTED_VALUE"""),62400.0)</f>
        <v>62400</v>
      </c>
      <c r="D41" s="1">
        <f>IFERROR(__xludf.DUMMYFUNCTION("""COMPUTED_VALUE"""),60600.0)</f>
        <v>60600</v>
      </c>
      <c r="E41" s="1">
        <f>IFERROR(__xludf.DUMMYFUNCTION("""COMPUTED_VALUE"""),61900.0)</f>
        <v>61900</v>
      </c>
      <c r="F41" s="1">
        <f>IFERROR(__xludf.DUMMYFUNCTION("""COMPUTED_VALUE"""),5182.0)</f>
        <v>5182</v>
      </c>
    </row>
    <row r="42">
      <c r="A42" s="2">
        <f>IFERROR(__xludf.DUMMYFUNCTION("""COMPUTED_VALUE"""),40968.645833333336)</f>
        <v>40968.64583</v>
      </c>
      <c r="B42" s="1">
        <f>IFERROR(__xludf.DUMMYFUNCTION("""COMPUTED_VALUE"""),62200.0)</f>
        <v>62200</v>
      </c>
      <c r="C42" s="1">
        <f>IFERROR(__xludf.DUMMYFUNCTION("""COMPUTED_VALUE"""),62200.0)</f>
        <v>62200</v>
      </c>
      <c r="D42" s="1">
        <f>IFERROR(__xludf.DUMMYFUNCTION("""COMPUTED_VALUE"""),61200.0)</f>
        <v>61200</v>
      </c>
      <c r="E42" s="1">
        <f>IFERROR(__xludf.DUMMYFUNCTION("""COMPUTED_VALUE"""),62000.0)</f>
        <v>62000</v>
      </c>
      <c r="F42" s="1">
        <f>IFERROR(__xludf.DUMMYFUNCTION("""COMPUTED_VALUE"""),2175.0)</f>
        <v>2175</v>
      </c>
    </row>
    <row r="43">
      <c r="A43" s="2">
        <f>IFERROR(__xludf.DUMMYFUNCTION("""COMPUTED_VALUE"""),40970.645833333336)</f>
        <v>40970.64583</v>
      </c>
      <c r="B43" s="1">
        <f>IFERROR(__xludf.DUMMYFUNCTION("""COMPUTED_VALUE"""),62200.0)</f>
        <v>62200</v>
      </c>
      <c r="C43" s="1">
        <f>IFERROR(__xludf.DUMMYFUNCTION("""COMPUTED_VALUE"""),64000.0)</f>
        <v>64000</v>
      </c>
      <c r="D43" s="1">
        <f>IFERROR(__xludf.DUMMYFUNCTION("""COMPUTED_VALUE"""),62200.0)</f>
        <v>62200</v>
      </c>
      <c r="E43" s="1">
        <f>IFERROR(__xludf.DUMMYFUNCTION("""COMPUTED_VALUE"""),63200.0)</f>
        <v>63200</v>
      </c>
      <c r="F43" s="1">
        <f>IFERROR(__xludf.DUMMYFUNCTION("""COMPUTED_VALUE"""),10624.0)</f>
        <v>10624</v>
      </c>
    </row>
    <row r="44">
      <c r="A44" s="2">
        <f>IFERROR(__xludf.DUMMYFUNCTION("""COMPUTED_VALUE"""),40973.645833333336)</f>
        <v>40973.64583</v>
      </c>
      <c r="B44" s="1">
        <f>IFERROR(__xludf.DUMMYFUNCTION("""COMPUTED_VALUE"""),63400.0)</f>
        <v>63400</v>
      </c>
      <c r="C44" s="1">
        <f>IFERROR(__xludf.DUMMYFUNCTION("""COMPUTED_VALUE"""),63400.0)</f>
        <v>63400</v>
      </c>
      <c r="D44" s="1">
        <f>IFERROR(__xludf.DUMMYFUNCTION("""COMPUTED_VALUE"""),62000.0)</f>
        <v>62000</v>
      </c>
      <c r="E44" s="1">
        <f>IFERROR(__xludf.DUMMYFUNCTION("""COMPUTED_VALUE"""),62800.0)</f>
        <v>62800</v>
      </c>
      <c r="F44" s="1">
        <f>IFERROR(__xludf.DUMMYFUNCTION("""COMPUTED_VALUE"""),3858.0)</f>
        <v>3858</v>
      </c>
    </row>
    <row r="45">
      <c r="A45" s="2">
        <f>IFERROR(__xludf.DUMMYFUNCTION("""COMPUTED_VALUE"""),40974.645833333336)</f>
        <v>40974.64583</v>
      </c>
      <c r="B45" s="1">
        <f>IFERROR(__xludf.DUMMYFUNCTION("""COMPUTED_VALUE"""),62900.0)</f>
        <v>62900</v>
      </c>
      <c r="C45" s="1">
        <f>IFERROR(__xludf.DUMMYFUNCTION("""COMPUTED_VALUE"""),62900.0)</f>
        <v>62900</v>
      </c>
      <c r="D45" s="1">
        <f>IFERROR(__xludf.DUMMYFUNCTION("""COMPUTED_VALUE"""),61400.0)</f>
        <v>61400</v>
      </c>
      <c r="E45" s="1">
        <f>IFERROR(__xludf.DUMMYFUNCTION("""COMPUTED_VALUE"""),62700.0)</f>
        <v>62700</v>
      </c>
      <c r="F45" s="1">
        <f>IFERROR(__xludf.DUMMYFUNCTION("""COMPUTED_VALUE"""),4463.0)</f>
        <v>4463</v>
      </c>
    </row>
    <row r="46">
      <c r="A46" s="2">
        <f>IFERROR(__xludf.DUMMYFUNCTION("""COMPUTED_VALUE"""),40975.645833333336)</f>
        <v>40975.64583</v>
      </c>
      <c r="B46" s="1">
        <f>IFERROR(__xludf.DUMMYFUNCTION("""COMPUTED_VALUE"""),61500.0)</f>
        <v>61500</v>
      </c>
      <c r="C46" s="1">
        <f>IFERROR(__xludf.DUMMYFUNCTION("""COMPUTED_VALUE"""),62700.0)</f>
        <v>62700</v>
      </c>
      <c r="D46" s="1">
        <f>IFERROR(__xludf.DUMMYFUNCTION("""COMPUTED_VALUE"""),61400.0)</f>
        <v>61400</v>
      </c>
      <c r="E46" s="1">
        <f>IFERROR(__xludf.DUMMYFUNCTION("""COMPUTED_VALUE"""),62700.0)</f>
        <v>62700</v>
      </c>
      <c r="F46" s="1">
        <f>IFERROR(__xludf.DUMMYFUNCTION("""COMPUTED_VALUE"""),2644.0)</f>
        <v>2644</v>
      </c>
    </row>
    <row r="47">
      <c r="A47" s="2">
        <f>IFERROR(__xludf.DUMMYFUNCTION("""COMPUTED_VALUE"""),40976.645833333336)</f>
        <v>40976.64583</v>
      </c>
      <c r="B47" s="1">
        <f>IFERROR(__xludf.DUMMYFUNCTION("""COMPUTED_VALUE"""),62700.0)</f>
        <v>62700</v>
      </c>
      <c r="C47" s="1">
        <f>IFERROR(__xludf.DUMMYFUNCTION("""COMPUTED_VALUE"""),62700.0)</f>
        <v>62700</v>
      </c>
      <c r="D47" s="1">
        <f>IFERROR(__xludf.DUMMYFUNCTION("""COMPUTED_VALUE"""),61900.0)</f>
        <v>61900</v>
      </c>
      <c r="E47" s="1">
        <f>IFERROR(__xludf.DUMMYFUNCTION("""COMPUTED_VALUE"""),62500.0)</f>
        <v>62500</v>
      </c>
      <c r="F47" s="1">
        <f>IFERROR(__xludf.DUMMYFUNCTION("""COMPUTED_VALUE"""),4787.0)</f>
        <v>4787</v>
      </c>
    </row>
    <row r="48">
      <c r="A48" s="2">
        <f>IFERROR(__xludf.DUMMYFUNCTION("""COMPUTED_VALUE"""),40977.645833333336)</f>
        <v>40977.64583</v>
      </c>
      <c r="B48" s="1">
        <f>IFERROR(__xludf.DUMMYFUNCTION("""COMPUTED_VALUE"""),62900.0)</f>
        <v>62900</v>
      </c>
      <c r="C48" s="1">
        <f>IFERROR(__xludf.DUMMYFUNCTION("""COMPUTED_VALUE"""),62900.0)</f>
        <v>62900</v>
      </c>
      <c r="D48" s="1">
        <f>IFERROR(__xludf.DUMMYFUNCTION("""COMPUTED_VALUE"""),62000.0)</f>
        <v>62000</v>
      </c>
      <c r="E48" s="1">
        <f>IFERROR(__xludf.DUMMYFUNCTION("""COMPUTED_VALUE"""),62700.0)</f>
        <v>62700</v>
      </c>
      <c r="F48" s="1">
        <f>IFERROR(__xludf.DUMMYFUNCTION("""COMPUTED_VALUE"""),3590.0)</f>
        <v>3590</v>
      </c>
    </row>
    <row r="49">
      <c r="A49" s="2">
        <f>IFERROR(__xludf.DUMMYFUNCTION("""COMPUTED_VALUE"""),40980.645833333336)</f>
        <v>40980.64583</v>
      </c>
      <c r="B49" s="1">
        <f>IFERROR(__xludf.DUMMYFUNCTION("""COMPUTED_VALUE"""),62700.0)</f>
        <v>62700</v>
      </c>
      <c r="C49" s="1">
        <f>IFERROR(__xludf.DUMMYFUNCTION("""COMPUTED_VALUE"""),62700.0)</f>
        <v>62700</v>
      </c>
      <c r="D49" s="1">
        <f>IFERROR(__xludf.DUMMYFUNCTION("""COMPUTED_VALUE"""),61600.0)</f>
        <v>61600</v>
      </c>
      <c r="E49" s="1">
        <f>IFERROR(__xludf.DUMMYFUNCTION("""COMPUTED_VALUE"""),62200.0)</f>
        <v>62200</v>
      </c>
      <c r="F49" s="1">
        <f>IFERROR(__xludf.DUMMYFUNCTION("""COMPUTED_VALUE"""),3553.0)</f>
        <v>3553</v>
      </c>
    </row>
    <row r="50">
      <c r="A50" s="2">
        <f>IFERROR(__xludf.DUMMYFUNCTION("""COMPUTED_VALUE"""),40981.645833333336)</f>
        <v>40981.64583</v>
      </c>
      <c r="B50" s="1">
        <f>IFERROR(__xludf.DUMMYFUNCTION("""COMPUTED_VALUE"""),61800.0)</f>
        <v>61800</v>
      </c>
      <c r="C50" s="1">
        <f>IFERROR(__xludf.DUMMYFUNCTION("""COMPUTED_VALUE"""),62500.0)</f>
        <v>62500</v>
      </c>
      <c r="D50" s="1">
        <f>IFERROR(__xludf.DUMMYFUNCTION("""COMPUTED_VALUE"""),61800.0)</f>
        <v>61800</v>
      </c>
      <c r="E50" s="1">
        <f>IFERROR(__xludf.DUMMYFUNCTION("""COMPUTED_VALUE"""),62500.0)</f>
        <v>62500</v>
      </c>
      <c r="F50" s="1">
        <f>IFERROR(__xludf.DUMMYFUNCTION("""COMPUTED_VALUE"""),2790.0)</f>
        <v>2790</v>
      </c>
    </row>
    <row r="51">
      <c r="A51" s="2">
        <f>IFERROR(__xludf.DUMMYFUNCTION("""COMPUTED_VALUE"""),40982.645833333336)</f>
        <v>40982.64583</v>
      </c>
      <c r="B51" s="1">
        <f>IFERROR(__xludf.DUMMYFUNCTION("""COMPUTED_VALUE"""),62700.0)</f>
        <v>62700</v>
      </c>
      <c r="C51" s="1">
        <f>IFERROR(__xludf.DUMMYFUNCTION("""COMPUTED_VALUE"""),63000.0)</f>
        <v>63000</v>
      </c>
      <c r="D51" s="1">
        <f>IFERROR(__xludf.DUMMYFUNCTION("""COMPUTED_VALUE"""),61700.0)</f>
        <v>61700</v>
      </c>
      <c r="E51" s="1">
        <f>IFERROR(__xludf.DUMMYFUNCTION("""COMPUTED_VALUE"""),62300.0)</f>
        <v>62300</v>
      </c>
      <c r="F51" s="1">
        <f>IFERROR(__xludf.DUMMYFUNCTION("""COMPUTED_VALUE"""),5326.0)</f>
        <v>5326</v>
      </c>
    </row>
    <row r="52">
      <c r="A52" s="2">
        <f>IFERROR(__xludf.DUMMYFUNCTION("""COMPUTED_VALUE"""),40983.645833333336)</f>
        <v>40983.64583</v>
      </c>
      <c r="B52" s="1">
        <f>IFERROR(__xludf.DUMMYFUNCTION("""COMPUTED_VALUE"""),61900.0)</f>
        <v>61900</v>
      </c>
      <c r="C52" s="1">
        <f>IFERROR(__xludf.DUMMYFUNCTION("""COMPUTED_VALUE"""),62300.0)</f>
        <v>62300</v>
      </c>
      <c r="D52" s="1">
        <f>IFERROR(__xludf.DUMMYFUNCTION("""COMPUTED_VALUE"""),60800.0)</f>
        <v>60800</v>
      </c>
      <c r="E52" s="1">
        <f>IFERROR(__xludf.DUMMYFUNCTION("""COMPUTED_VALUE"""),61300.0)</f>
        <v>61300</v>
      </c>
      <c r="F52" s="1">
        <f>IFERROR(__xludf.DUMMYFUNCTION("""COMPUTED_VALUE"""),5525.0)</f>
        <v>5525</v>
      </c>
    </row>
    <row r="53">
      <c r="A53" s="2">
        <f>IFERROR(__xludf.DUMMYFUNCTION("""COMPUTED_VALUE"""),40984.645833333336)</f>
        <v>40984.64583</v>
      </c>
      <c r="B53" s="1">
        <f>IFERROR(__xludf.DUMMYFUNCTION("""COMPUTED_VALUE"""),60900.0)</f>
        <v>60900</v>
      </c>
      <c r="C53" s="1">
        <f>IFERROR(__xludf.DUMMYFUNCTION("""COMPUTED_VALUE"""),61600.0)</f>
        <v>61600</v>
      </c>
      <c r="D53" s="1">
        <f>IFERROR(__xludf.DUMMYFUNCTION("""COMPUTED_VALUE"""),60900.0)</f>
        <v>60900</v>
      </c>
      <c r="E53" s="1">
        <f>IFERROR(__xludf.DUMMYFUNCTION("""COMPUTED_VALUE"""),61500.0)</f>
        <v>61500</v>
      </c>
      <c r="F53" s="1">
        <f>IFERROR(__xludf.DUMMYFUNCTION("""COMPUTED_VALUE"""),1949.0)</f>
        <v>1949</v>
      </c>
    </row>
    <row r="54">
      <c r="A54" s="2">
        <f>IFERROR(__xludf.DUMMYFUNCTION("""COMPUTED_VALUE"""),40987.645833333336)</f>
        <v>40987.64583</v>
      </c>
      <c r="B54" s="1">
        <f>IFERROR(__xludf.DUMMYFUNCTION("""COMPUTED_VALUE"""),62000.0)</f>
        <v>62000</v>
      </c>
      <c r="C54" s="1">
        <f>IFERROR(__xludf.DUMMYFUNCTION("""COMPUTED_VALUE"""),62000.0)</f>
        <v>62000</v>
      </c>
      <c r="D54" s="1">
        <f>IFERROR(__xludf.DUMMYFUNCTION("""COMPUTED_VALUE"""),61300.0)</f>
        <v>61300</v>
      </c>
      <c r="E54" s="1">
        <f>IFERROR(__xludf.DUMMYFUNCTION("""COMPUTED_VALUE"""),61500.0)</f>
        <v>61500</v>
      </c>
      <c r="F54" s="1">
        <f>IFERROR(__xludf.DUMMYFUNCTION("""COMPUTED_VALUE"""),910.0)</f>
        <v>910</v>
      </c>
    </row>
    <row r="55">
      <c r="A55" s="2">
        <f>IFERROR(__xludf.DUMMYFUNCTION("""COMPUTED_VALUE"""),40988.645833333336)</f>
        <v>40988.64583</v>
      </c>
      <c r="B55" s="1">
        <f>IFERROR(__xludf.DUMMYFUNCTION("""COMPUTED_VALUE"""),61800.0)</f>
        <v>61800</v>
      </c>
      <c r="C55" s="1">
        <f>IFERROR(__xludf.DUMMYFUNCTION("""COMPUTED_VALUE"""),61800.0)</f>
        <v>61800</v>
      </c>
      <c r="D55" s="1">
        <f>IFERROR(__xludf.DUMMYFUNCTION("""COMPUTED_VALUE"""),61500.0)</f>
        <v>61500</v>
      </c>
      <c r="E55" s="1">
        <f>IFERROR(__xludf.DUMMYFUNCTION("""COMPUTED_VALUE"""),61700.0)</f>
        <v>61700</v>
      </c>
      <c r="F55" s="1">
        <f>IFERROR(__xludf.DUMMYFUNCTION("""COMPUTED_VALUE"""),2365.0)</f>
        <v>2365</v>
      </c>
    </row>
    <row r="56">
      <c r="A56" s="2">
        <f>IFERROR(__xludf.DUMMYFUNCTION("""COMPUTED_VALUE"""),40989.645833333336)</f>
        <v>40989.64583</v>
      </c>
      <c r="B56" s="1">
        <f>IFERROR(__xludf.DUMMYFUNCTION("""COMPUTED_VALUE"""),61300.0)</f>
        <v>61300</v>
      </c>
      <c r="C56" s="1">
        <f>IFERROR(__xludf.DUMMYFUNCTION("""COMPUTED_VALUE"""),61900.0)</f>
        <v>61900</v>
      </c>
      <c r="D56" s="1">
        <f>IFERROR(__xludf.DUMMYFUNCTION("""COMPUTED_VALUE"""),60900.0)</f>
        <v>60900</v>
      </c>
      <c r="E56" s="1">
        <f>IFERROR(__xludf.DUMMYFUNCTION("""COMPUTED_VALUE"""),61500.0)</f>
        <v>61500</v>
      </c>
      <c r="F56" s="1">
        <f>IFERROR(__xludf.DUMMYFUNCTION("""COMPUTED_VALUE"""),2506.0)</f>
        <v>2506</v>
      </c>
    </row>
    <row r="57">
      <c r="A57" s="2">
        <f>IFERROR(__xludf.DUMMYFUNCTION("""COMPUTED_VALUE"""),40990.645833333336)</f>
        <v>40990.64583</v>
      </c>
      <c r="B57" s="1">
        <f>IFERROR(__xludf.DUMMYFUNCTION("""COMPUTED_VALUE"""),61500.0)</f>
        <v>61500</v>
      </c>
      <c r="C57" s="1">
        <f>IFERROR(__xludf.DUMMYFUNCTION("""COMPUTED_VALUE"""),61500.0)</f>
        <v>61500</v>
      </c>
      <c r="D57" s="1">
        <f>IFERROR(__xludf.DUMMYFUNCTION("""COMPUTED_VALUE"""),60700.0)</f>
        <v>60700</v>
      </c>
      <c r="E57" s="1">
        <f>IFERROR(__xludf.DUMMYFUNCTION("""COMPUTED_VALUE"""),61100.0)</f>
        <v>61100</v>
      </c>
      <c r="F57" s="1">
        <f>IFERROR(__xludf.DUMMYFUNCTION("""COMPUTED_VALUE"""),1548.0)</f>
        <v>1548</v>
      </c>
    </row>
    <row r="58">
      <c r="A58" s="2">
        <f>IFERROR(__xludf.DUMMYFUNCTION("""COMPUTED_VALUE"""),40991.645833333336)</f>
        <v>40991.64583</v>
      </c>
      <c r="B58" s="1">
        <f>IFERROR(__xludf.DUMMYFUNCTION("""COMPUTED_VALUE"""),61300.0)</f>
        <v>61300</v>
      </c>
      <c r="C58" s="1">
        <f>IFERROR(__xludf.DUMMYFUNCTION("""COMPUTED_VALUE"""),61300.0)</f>
        <v>61300</v>
      </c>
      <c r="D58" s="1">
        <f>IFERROR(__xludf.DUMMYFUNCTION("""COMPUTED_VALUE"""),60800.0)</f>
        <v>60800</v>
      </c>
      <c r="E58" s="1">
        <f>IFERROR(__xludf.DUMMYFUNCTION("""COMPUTED_VALUE"""),61200.0)</f>
        <v>61200</v>
      </c>
      <c r="F58" s="1">
        <f>IFERROR(__xludf.DUMMYFUNCTION("""COMPUTED_VALUE"""),1793.0)</f>
        <v>1793</v>
      </c>
    </row>
    <row r="59">
      <c r="A59" s="2">
        <f>IFERROR(__xludf.DUMMYFUNCTION("""COMPUTED_VALUE"""),40994.645833333336)</f>
        <v>40994.64583</v>
      </c>
      <c r="B59" s="1">
        <f>IFERROR(__xludf.DUMMYFUNCTION("""COMPUTED_VALUE"""),60900.0)</f>
        <v>60900</v>
      </c>
      <c r="C59" s="1">
        <f>IFERROR(__xludf.DUMMYFUNCTION("""COMPUTED_VALUE"""),61400.0)</f>
        <v>61400</v>
      </c>
      <c r="D59" s="1">
        <f>IFERROR(__xludf.DUMMYFUNCTION("""COMPUTED_VALUE"""),60600.0)</f>
        <v>60600</v>
      </c>
      <c r="E59" s="1">
        <f>IFERROR(__xludf.DUMMYFUNCTION("""COMPUTED_VALUE"""),61000.0)</f>
        <v>61000</v>
      </c>
      <c r="F59" s="1">
        <f>IFERROR(__xludf.DUMMYFUNCTION("""COMPUTED_VALUE"""),1678.0)</f>
        <v>1678</v>
      </c>
    </row>
    <row r="60">
      <c r="A60" s="2">
        <f>IFERROR(__xludf.DUMMYFUNCTION("""COMPUTED_VALUE"""),40995.645833333336)</f>
        <v>40995.64583</v>
      </c>
      <c r="B60" s="1">
        <f>IFERROR(__xludf.DUMMYFUNCTION("""COMPUTED_VALUE"""),60900.0)</f>
        <v>60900</v>
      </c>
      <c r="C60" s="1">
        <f>IFERROR(__xludf.DUMMYFUNCTION("""COMPUTED_VALUE"""),61300.0)</f>
        <v>61300</v>
      </c>
      <c r="D60" s="1">
        <f>IFERROR(__xludf.DUMMYFUNCTION("""COMPUTED_VALUE"""),60500.0)</f>
        <v>60500</v>
      </c>
      <c r="E60" s="1">
        <f>IFERROR(__xludf.DUMMYFUNCTION("""COMPUTED_VALUE"""),61000.0)</f>
        <v>61000</v>
      </c>
      <c r="F60" s="1">
        <f>IFERROR(__xludf.DUMMYFUNCTION("""COMPUTED_VALUE"""),4200.0)</f>
        <v>4200</v>
      </c>
    </row>
    <row r="61">
      <c r="A61" s="2">
        <f>IFERROR(__xludf.DUMMYFUNCTION("""COMPUTED_VALUE"""),40996.645833333336)</f>
        <v>40996.64583</v>
      </c>
      <c r="B61" s="1">
        <f>IFERROR(__xludf.DUMMYFUNCTION("""COMPUTED_VALUE"""),61000.0)</f>
        <v>61000</v>
      </c>
      <c r="C61" s="1">
        <f>IFERROR(__xludf.DUMMYFUNCTION("""COMPUTED_VALUE"""),61100.0)</f>
        <v>61100</v>
      </c>
      <c r="D61" s="1">
        <f>IFERROR(__xludf.DUMMYFUNCTION("""COMPUTED_VALUE"""),60300.0)</f>
        <v>60300</v>
      </c>
      <c r="E61" s="1">
        <f>IFERROR(__xludf.DUMMYFUNCTION("""COMPUTED_VALUE"""),60900.0)</f>
        <v>60900</v>
      </c>
      <c r="F61" s="1">
        <f>IFERROR(__xludf.DUMMYFUNCTION("""COMPUTED_VALUE"""),1852.0)</f>
        <v>1852</v>
      </c>
    </row>
    <row r="62">
      <c r="A62" s="2">
        <f>IFERROR(__xludf.DUMMYFUNCTION("""COMPUTED_VALUE"""),40997.645833333336)</f>
        <v>40997.64583</v>
      </c>
      <c r="B62" s="1">
        <f>IFERROR(__xludf.DUMMYFUNCTION("""COMPUTED_VALUE"""),60900.0)</f>
        <v>60900</v>
      </c>
      <c r="C62" s="1">
        <f>IFERROR(__xludf.DUMMYFUNCTION("""COMPUTED_VALUE"""),61000.0)</f>
        <v>61000</v>
      </c>
      <c r="D62" s="1">
        <f>IFERROR(__xludf.DUMMYFUNCTION("""COMPUTED_VALUE"""),59500.0)</f>
        <v>59500</v>
      </c>
      <c r="E62" s="1">
        <f>IFERROR(__xludf.DUMMYFUNCTION("""COMPUTED_VALUE"""),60200.0)</f>
        <v>60200</v>
      </c>
      <c r="F62" s="1">
        <f>IFERROR(__xludf.DUMMYFUNCTION("""COMPUTED_VALUE"""),6901.0)</f>
        <v>6901</v>
      </c>
    </row>
    <row r="63">
      <c r="A63" s="2">
        <f>IFERROR(__xludf.DUMMYFUNCTION("""COMPUTED_VALUE"""),40998.645833333336)</f>
        <v>40998.64583</v>
      </c>
      <c r="B63" s="1">
        <f>IFERROR(__xludf.DUMMYFUNCTION("""COMPUTED_VALUE"""),60400.0)</f>
        <v>60400</v>
      </c>
      <c r="C63" s="1">
        <f>IFERROR(__xludf.DUMMYFUNCTION("""COMPUTED_VALUE"""),60500.0)</f>
        <v>60500</v>
      </c>
      <c r="D63" s="1">
        <f>IFERROR(__xludf.DUMMYFUNCTION("""COMPUTED_VALUE"""),59600.0)</f>
        <v>59600</v>
      </c>
      <c r="E63" s="1">
        <f>IFERROR(__xludf.DUMMYFUNCTION("""COMPUTED_VALUE"""),60500.0)</f>
        <v>60500</v>
      </c>
      <c r="F63" s="1">
        <f>IFERROR(__xludf.DUMMYFUNCTION("""COMPUTED_VALUE"""),2442.0)</f>
        <v>2442</v>
      </c>
    </row>
    <row r="64">
      <c r="A64" s="2">
        <f>IFERROR(__xludf.DUMMYFUNCTION("""COMPUTED_VALUE"""),41001.645833333336)</f>
        <v>41001.64583</v>
      </c>
      <c r="B64" s="1">
        <f>IFERROR(__xludf.DUMMYFUNCTION("""COMPUTED_VALUE"""),60800.0)</f>
        <v>60800</v>
      </c>
      <c r="C64" s="1">
        <f>IFERROR(__xludf.DUMMYFUNCTION("""COMPUTED_VALUE"""),61000.0)</f>
        <v>61000</v>
      </c>
      <c r="D64" s="1">
        <f>IFERROR(__xludf.DUMMYFUNCTION("""COMPUTED_VALUE"""),60200.0)</f>
        <v>60200</v>
      </c>
      <c r="E64" s="1">
        <f>IFERROR(__xludf.DUMMYFUNCTION("""COMPUTED_VALUE"""),60500.0)</f>
        <v>60500</v>
      </c>
      <c r="F64" s="1">
        <f>IFERROR(__xludf.DUMMYFUNCTION("""COMPUTED_VALUE"""),2479.0)</f>
        <v>2479</v>
      </c>
    </row>
    <row r="65">
      <c r="A65" s="2">
        <f>IFERROR(__xludf.DUMMYFUNCTION("""COMPUTED_VALUE"""),41002.645833333336)</f>
        <v>41002.64583</v>
      </c>
      <c r="B65" s="1">
        <f>IFERROR(__xludf.DUMMYFUNCTION("""COMPUTED_VALUE"""),60800.0)</f>
        <v>60800</v>
      </c>
      <c r="C65" s="1">
        <f>IFERROR(__xludf.DUMMYFUNCTION("""COMPUTED_VALUE"""),61100.0)</f>
        <v>61100</v>
      </c>
      <c r="D65" s="1">
        <f>IFERROR(__xludf.DUMMYFUNCTION("""COMPUTED_VALUE"""),60500.0)</f>
        <v>60500</v>
      </c>
      <c r="E65" s="1">
        <f>IFERROR(__xludf.DUMMYFUNCTION("""COMPUTED_VALUE"""),61000.0)</f>
        <v>61000</v>
      </c>
      <c r="F65" s="1">
        <f>IFERROR(__xludf.DUMMYFUNCTION("""COMPUTED_VALUE"""),2390.0)</f>
        <v>2390</v>
      </c>
    </row>
    <row r="66">
      <c r="A66" s="2">
        <f>IFERROR(__xludf.DUMMYFUNCTION("""COMPUTED_VALUE"""),41003.645833333336)</f>
        <v>41003.64583</v>
      </c>
      <c r="B66" s="1">
        <f>IFERROR(__xludf.DUMMYFUNCTION("""COMPUTED_VALUE"""),61100.0)</f>
        <v>61100</v>
      </c>
      <c r="C66" s="1">
        <f>IFERROR(__xludf.DUMMYFUNCTION("""COMPUTED_VALUE"""),61200.0)</f>
        <v>61200</v>
      </c>
      <c r="D66" s="1">
        <f>IFERROR(__xludf.DUMMYFUNCTION("""COMPUTED_VALUE"""),60300.0)</f>
        <v>60300</v>
      </c>
      <c r="E66" s="1">
        <f>IFERROR(__xludf.DUMMYFUNCTION("""COMPUTED_VALUE"""),60500.0)</f>
        <v>60500</v>
      </c>
      <c r="F66" s="1">
        <f>IFERROR(__xludf.DUMMYFUNCTION("""COMPUTED_VALUE"""),2644.0)</f>
        <v>2644</v>
      </c>
    </row>
    <row r="67">
      <c r="A67" s="2">
        <f>IFERROR(__xludf.DUMMYFUNCTION("""COMPUTED_VALUE"""),41004.645833333336)</f>
        <v>41004.64583</v>
      </c>
      <c r="B67" s="1">
        <f>IFERROR(__xludf.DUMMYFUNCTION("""COMPUTED_VALUE"""),60600.0)</f>
        <v>60600</v>
      </c>
      <c r="C67" s="1">
        <f>IFERROR(__xludf.DUMMYFUNCTION("""COMPUTED_VALUE"""),60700.0)</f>
        <v>60700</v>
      </c>
      <c r="D67" s="1">
        <f>IFERROR(__xludf.DUMMYFUNCTION("""COMPUTED_VALUE"""),59900.0)</f>
        <v>59900</v>
      </c>
      <c r="E67" s="1">
        <f>IFERROR(__xludf.DUMMYFUNCTION("""COMPUTED_VALUE"""),60600.0)</f>
        <v>60600</v>
      </c>
      <c r="F67" s="1">
        <f>IFERROR(__xludf.DUMMYFUNCTION("""COMPUTED_VALUE"""),1814.0)</f>
        <v>1814</v>
      </c>
    </row>
    <row r="68">
      <c r="A68" s="2">
        <f>IFERROR(__xludf.DUMMYFUNCTION("""COMPUTED_VALUE"""),41005.645833333336)</f>
        <v>41005.64583</v>
      </c>
      <c r="B68" s="1">
        <f>IFERROR(__xludf.DUMMYFUNCTION("""COMPUTED_VALUE"""),60700.0)</f>
        <v>60700</v>
      </c>
      <c r="C68" s="1">
        <f>IFERROR(__xludf.DUMMYFUNCTION("""COMPUTED_VALUE"""),60800.0)</f>
        <v>60800</v>
      </c>
      <c r="D68" s="1">
        <f>IFERROR(__xludf.DUMMYFUNCTION("""COMPUTED_VALUE"""),59900.0)</f>
        <v>59900</v>
      </c>
      <c r="E68" s="1">
        <f>IFERROR(__xludf.DUMMYFUNCTION("""COMPUTED_VALUE"""),60500.0)</f>
        <v>60500</v>
      </c>
      <c r="F68" s="1">
        <f>IFERROR(__xludf.DUMMYFUNCTION("""COMPUTED_VALUE"""),1142.0)</f>
        <v>1142</v>
      </c>
    </row>
    <row r="69">
      <c r="A69" s="2">
        <f>IFERROR(__xludf.DUMMYFUNCTION("""COMPUTED_VALUE"""),41008.645833333336)</f>
        <v>41008.64583</v>
      </c>
      <c r="B69" s="1">
        <f>IFERROR(__xludf.DUMMYFUNCTION("""COMPUTED_VALUE"""),60600.0)</f>
        <v>60600</v>
      </c>
      <c r="C69" s="1">
        <f>IFERROR(__xludf.DUMMYFUNCTION("""COMPUTED_VALUE"""),60900.0)</f>
        <v>60900</v>
      </c>
      <c r="D69" s="1">
        <f>IFERROR(__xludf.DUMMYFUNCTION("""COMPUTED_VALUE"""),59800.0)</f>
        <v>59800</v>
      </c>
      <c r="E69" s="1">
        <f>IFERROR(__xludf.DUMMYFUNCTION("""COMPUTED_VALUE"""),60400.0)</f>
        <v>60400</v>
      </c>
      <c r="F69" s="1">
        <f>IFERROR(__xludf.DUMMYFUNCTION("""COMPUTED_VALUE"""),2078.0)</f>
        <v>2078</v>
      </c>
    </row>
    <row r="70">
      <c r="A70" s="2">
        <f>IFERROR(__xludf.DUMMYFUNCTION("""COMPUTED_VALUE"""),41009.645833333336)</f>
        <v>41009.64583</v>
      </c>
      <c r="B70" s="1">
        <f>IFERROR(__xludf.DUMMYFUNCTION("""COMPUTED_VALUE"""),60400.0)</f>
        <v>60400</v>
      </c>
      <c r="C70" s="1">
        <f>IFERROR(__xludf.DUMMYFUNCTION("""COMPUTED_VALUE"""),60400.0)</f>
        <v>60400</v>
      </c>
      <c r="D70" s="1">
        <f>IFERROR(__xludf.DUMMYFUNCTION("""COMPUTED_VALUE"""),59800.0)</f>
        <v>59800</v>
      </c>
      <c r="E70" s="1">
        <f>IFERROR(__xludf.DUMMYFUNCTION("""COMPUTED_VALUE"""),60200.0)</f>
        <v>60200</v>
      </c>
      <c r="F70" s="1">
        <f>IFERROR(__xludf.DUMMYFUNCTION("""COMPUTED_VALUE"""),3269.0)</f>
        <v>3269</v>
      </c>
    </row>
    <row r="71">
      <c r="A71" s="2">
        <f>IFERROR(__xludf.DUMMYFUNCTION("""COMPUTED_VALUE"""),41011.645833333336)</f>
        <v>41011.64583</v>
      </c>
      <c r="B71" s="1">
        <f>IFERROR(__xludf.DUMMYFUNCTION("""COMPUTED_VALUE"""),60600.0)</f>
        <v>60600</v>
      </c>
      <c r="C71" s="1">
        <f>IFERROR(__xludf.DUMMYFUNCTION("""COMPUTED_VALUE"""),60600.0)</f>
        <v>60600</v>
      </c>
      <c r="D71" s="1">
        <f>IFERROR(__xludf.DUMMYFUNCTION("""COMPUTED_VALUE"""),59700.0)</f>
        <v>59700</v>
      </c>
      <c r="E71" s="1">
        <f>IFERROR(__xludf.DUMMYFUNCTION("""COMPUTED_VALUE"""),60200.0)</f>
        <v>60200</v>
      </c>
      <c r="F71" s="1">
        <f>IFERROR(__xludf.DUMMYFUNCTION("""COMPUTED_VALUE"""),2512.0)</f>
        <v>2512</v>
      </c>
    </row>
    <row r="72">
      <c r="A72" s="2">
        <f>IFERROR(__xludf.DUMMYFUNCTION("""COMPUTED_VALUE"""),41012.645833333336)</f>
        <v>41012.64583</v>
      </c>
      <c r="B72" s="1">
        <f>IFERROR(__xludf.DUMMYFUNCTION("""COMPUTED_VALUE"""),60400.0)</f>
        <v>60400</v>
      </c>
      <c r="C72" s="1">
        <f>IFERROR(__xludf.DUMMYFUNCTION("""COMPUTED_VALUE"""),60900.0)</f>
        <v>60900</v>
      </c>
      <c r="D72" s="1">
        <f>IFERROR(__xludf.DUMMYFUNCTION("""COMPUTED_VALUE"""),60000.0)</f>
        <v>60000</v>
      </c>
      <c r="E72" s="1">
        <f>IFERROR(__xludf.DUMMYFUNCTION("""COMPUTED_VALUE"""),60900.0)</f>
        <v>60900</v>
      </c>
      <c r="F72" s="1">
        <f>IFERROR(__xludf.DUMMYFUNCTION("""COMPUTED_VALUE"""),2638.0)</f>
        <v>2638</v>
      </c>
    </row>
    <row r="73">
      <c r="A73" s="2">
        <f>IFERROR(__xludf.DUMMYFUNCTION("""COMPUTED_VALUE"""),41015.645833333336)</f>
        <v>41015.64583</v>
      </c>
      <c r="B73" s="1">
        <f>IFERROR(__xludf.DUMMYFUNCTION("""COMPUTED_VALUE"""),60700.0)</f>
        <v>60700</v>
      </c>
      <c r="C73" s="1">
        <f>IFERROR(__xludf.DUMMYFUNCTION("""COMPUTED_VALUE"""),60700.0)</f>
        <v>60700</v>
      </c>
      <c r="D73" s="1">
        <f>IFERROR(__xludf.DUMMYFUNCTION("""COMPUTED_VALUE"""),60000.0)</f>
        <v>60000</v>
      </c>
      <c r="E73" s="1">
        <f>IFERROR(__xludf.DUMMYFUNCTION("""COMPUTED_VALUE"""),60100.0)</f>
        <v>60100</v>
      </c>
      <c r="F73" s="1">
        <f>IFERROR(__xludf.DUMMYFUNCTION("""COMPUTED_VALUE"""),2731.0)</f>
        <v>2731</v>
      </c>
    </row>
    <row r="74">
      <c r="A74" s="2">
        <f>IFERROR(__xludf.DUMMYFUNCTION("""COMPUTED_VALUE"""),41016.645833333336)</f>
        <v>41016.64583</v>
      </c>
      <c r="B74" s="1">
        <f>IFERROR(__xludf.DUMMYFUNCTION("""COMPUTED_VALUE"""),60100.0)</f>
        <v>60100</v>
      </c>
      <c r="C74" s="1">
        <f>IFERROR(__xludf.DUMMYFUNCTION("""COMPUTED_VALUE"""),60700.0)</f>
        <v>60700</v>
      </c>
      <c r="D74" s="1">
        <f>IFERROR(__xludf.DUMMYFUNCTION("""COMPUTED_VALUE"""),59700.0)</f>
        <v>59700</v>
      </c>
      <c r="E74" s="1">
        <f>IFERROR(__xludf.DUMMYFUNCTION("""COMPUTED_VALUE"""),59700.0)</f>
        <v>59700</v>
      </c>
      <c r="F74" s="1">
        <f>IFERROR(__xludf.DUMMYFUNCTION("""COMPUTED_VALUE"""),1485.0)</f>
        <v>1485</v>
      </c>
    </row>
    <row r="75">
      <c r="A75" s="2">
        <f>IFERROR(__xludf.DUMMYFUNCTION("""COMPUTED_VALUE"""),41017.645833333336)</f>
        <v>41017.64583</v>
      </c>
      <c r="B75" s="1">
        <f>IFERROR(__xludf.DUMMYFUNCTION("""COMPUTED_VALUE"""),60200.0)</f>
        <v>60200</v>
      </c>
      <c r="C75" s="1">
        <f>IFERROR(__xludf.DUMMYFUNCTION("""COMPUTED_VALUE"""),60400.0)</f>
        <v>60400</v>
      </c>
      <c r="D75" s="1">
        <f>IFERROR(__xludf.DUMMYFUNCTION("""COMPUTED_VALUE"""),59600.0)</f>
        <v>59600</v>
      </c>
      <c r="E75" s="1">
        <f>IFERROR(__xludf.DUMMYFUNCTION("""COMPUTED_VALUE"""),59900.0)</f>
        <v>59900</v>
      </c>
      <c r="F75" s="1">
        <f>IFERROR(__xludf.DUMMYFUNCTION("""COMPUTED_VALUE"""),2928.0)</f>
        <v>2928</v>
      </c>
    </row>
    <row r="76">
      <c r="A76" s="2">
        <f>IFERROR(__xludf.DUMMYFUNCTION("""COMPUTED_VALUE"""),41018.645833333336)</f>
        <v>41018.64583</v>
      </c>
      <c r="B76" s="1">
        <f>IFERROR(__xludf.DUMMYFUNCTION("""COMPUTED_VALUE"""),60000.0)</f>
        <v>60000</v>
      </c>
      <c r="C76" s="1">
        <f>IFERROR(__xludf.DUMMYFUNCTION("""COMPUTED_VALUE"""),60200.0)</f>
        <v>60200</v>
      </c>
      <c r="D76" s="1">
        <f>IFERROR(__xludf.DUMMYFUNCTION("""COMPUTED_VALUE"""),59700.0)</f>
        <v>59700</v>
      </c>
      <c r="E76" s="1">
        <f>IFERROR(__xludf.DUMMYFUNCTION("""COMPUTED_VALUE"""),59700.0)</f>
        <v>59700</v>
      </c>
      <c r="F76" s="1">
        <f>IFERROR(__xludf.DUMMYFUNCTION("""COMPUTED_VALUE"""),1627.0)</f>
        <v>1627</v>
      </c>
    </row>
    <row r="77">
      <c r="A77" s="2">
        <f>IFERROR(__xludf.DUMMYFUNCTION("""COMPUTED_VALUE"""),41019.645833333336)</f>
        <v>41019.64583</v>
      </c>
      <c r="B77" s="1">
        <f>IFERROR(__xludf.DUMMYFUNCTION("""COMPUTED_VALUE"""),59700.0)</f>
        <v>59700</v>
      </c>
      <c r="C77" s="1">
        <f>IFERROR(__xludf.DUMMYFUNCTION("""COMPUTED_VALUE"""),60000.0)</f>
        <v>60000</v>
      </c>
      <c r="D77" s="1">
        <f>IFERROR(__xludf.DUMMYFUNCTION("""COMPUTED_VALUE"""),59600.0)</f>
        <v>59600</v>
      </c>
      <c r="E77" s="1">
        <f>IFERROR(__xludf.DUMMYFUNCTION("""COMPUTED_VALUE"""),60000.0)</f>
        <v>60000</v>
      </c>
      <c r="F77" s="1">
        <f>IFERROR(__xludf.DUMMYFUNCTION("""COMPUTED_VALUE"""),1186.0)</f>
        <v>1186</v>
      </c>
    </row>
    <row r="78">
      <c r="A78" s="2">
        <f>IFERROR(__xludf.DUMMYFUNCTION("""COMPUTED_VALUE"""),41022.645833333336)</f>
        <v>41022.64583</v>
      </c>
      <c r="B78" s="1">
        <f>IFERROR(__xludf.DUMMYFUNCTION("""COMPUTED_VALUE"""),60000.0)</f>
        <v>60000</v>
      </c>
      <c r="C78" s="1">
        <f>IFERROR(__xludf.DUMMYFUNCTION("""COMPUTED_VALUE"""),60200.0)</f>
        <v>60200</v>
      </c>
      <c r="D78" s="1">
        <f>IFERROR(__xludf.DUMMYFUNCTION("""COMPUTED_VALUE"""),59600.0)</f>
        <v>59600</v>
      </c>
      <c r="E78" s="1">
        <f>IFERROR(__xludf.DUMMYFUNCTION("""COMPUTED_VALUE"""),60100.0)</f>
        <v>60100</v>
      </c>
      <c r="F78" s="1">
        <f>IFERROR(__xludf.DUMMYFUNCTION("""COMPUTED_VALUE"""),2769.0)</f>
        <v>2769</v>
      </c>
    </row>
    <row r="79">
      <c r="A79" s="2">
        <f>IFERROR(__xludf.DUMMYFUNCTION("""COMPUTED_VALUE"""),41023.645833333336)</f>
        <v>41023.64583</v>
      </c>
      <c r="B79" s="1">
        <f>IFERROR(__xludf.DUMMYFUNCTION("""COMPUTED_VALUE"""),60100.0)</f>
        <v>60100</v>
      </c>
      <c r="C79" s="1">
        <f>IFERROR(__xludf.DUMMYFUNCTION("""COMPUTED_VALUE"""),60700.0)</f>
        <v>60700</v>
      </c>
      <c r="D79" s="1">
        <f>IFERROR(__xludf.DUMMYFUNCTION("""COMPUTED_VALUE"""),59800.0)</f>
        <v>59800</v>
      </c>
      <c r="E79" s="1">
        <f>IFERROR(__xludf.DUMMYFUNCTION("""COMPUTED_VALUE"""),59900.0)</f>
        <v>59900</v>
      </c>
      <c r="F79" s="1">
        <f>IFERROR(__xludf.DUMMYFUNCTION("""COMPUTED_VALUE"""),6318.0)</f>
        <v>6318</v>
      </c>
    </row>
    <row r="80">
      <c r="A80" s="2">
        <f>IFERROR(__xludf.DUMMYFUNCTION("""COMPUTED_VALUE"""),41024.645833333336)</f>
        <v>41024.64583</v>
      </c>
      <c r="B80" s="1">
        <f>IFERROR(__xludf.DUMMYFUNCTION("""COMPUTED_VALUE"""),60000.0)</f>
        <v>60000</v>
      </c>
      <c r="C80" s="1">
        <f>IFERROR(__xludf.DUMMYFUNCTION("""COMPUTED_VALUE"""),60500.0)</f>
        <v>60500</v>
      </c>
      <c r="D80" s="1">
        <f>IFERROR(__xludf.DUMMYFUNCTION("""COMPUTED_VALUE"""),59200.0)</f>
        <v>59200</v>
      </c>
      <c r="E80" s="1">
        <f>IFERROR(__xludf.DUMMYFUNCTION("""COMPUTED_VALUE"""),59900.0)</f>
        <v>59900</v>
      </c>
      <c r="F80" s="1">
        <f>IFERROR(__xludf.DUMMYFUNCTION("""COMPUTED_VALUE"""),5357.0)</f>
        <v>5357</v>
      </c>
    </row>
    <row r="81">
      <c r="A81" s="2">
        <f>IFERROR(__xludf.DUMMYFUNCTION("""COMPUTED_VALUE"""),41025.645833333336)</f>
        <v>41025.64583</v>
      </c>
      <c r="B81" s="1">
        <f>IFERROR(__xludf.DUMMYFUNCTION("""COMPUTED_VALUE"""),60000.0)</f>
        <v>60000</v>
      </c>
      <c r="C81" s="1">
        <f>IFERROR(__xludf.DUMMYFUNCTION("""COMPUTED_VALUE"""),60400.0)</f>
        <v>60400</v>
      </c>
      <c r="D81" s="1">
        <f>IFERROR(__xludf.DUMMYFUNCTION("""COMPUTED_VALUE"""),59000.0)</f>
        <v>59000</v>
      </c>
      <c r="E81" s="1">
        <f>IFERROR(__xludf.DUMMYFUNCTION("""COMPUTED_VALUE"""),59400.0)</f>
        <v>59400</v>
      </c>
      <c r="F81" s="1">
        <f>IFERROR(__xludf.DUMMYFUNCTION("""COMPUTED_VALUE"""),6085.0)</f>
        <v>6085</v>
      </c>
    </row>
    <row r="82">
      <c r="A82" s="2">
        <f>IFERROR(__xludf.DUMMYFUNCTION("""COMPUTED_VALUE"""),41026.645833333336)</f>
        <v>41026.64583</v>
      </c>
      <c r="B82" s="1">
        <f>IFERROR(__xludf.DUMMYFUNCTION("""COMPUTED_VALUE"""),59500.0)</f>
        <v>59500</v>
      </c>
      <c r="C82" s="1">
        <f>IFERROR(__xludf.DUMMYFUNCTION("""COMPUTED_VALUE"""),59700.0)</f>
        <v>59700</v>
      </c>
      <c r="D82" s="1">
        <f>IFERROR(__xludf.DUMMYFUNCTION("""COMPUTED_VALUE"""),58700.0)</f>
        <v>58700</v>
      </c>
      <c r="E82" s="1">
        <f>IFERROR(__xludf.DUMMYFUNCTION("""COMPUTED_VALUE"""),59000.0)</f>
        <v>59000</v>
      </c>
      <c r="F82" s="1">
        <f>IFERROR(__xludf.DUMMYFUNCTION("""COMPUTED_VALUE"""),4657.0)</f>
        <v>4657</v>
      </c>
    </row>
    <row r="83">
      <c r="A83" s="2">
        <f>IFERROR(__xludf.DUMMYFUNCTION("""COMPUTED_VALUE"""),41029.645833333336)</f>
        <v>41029.64583</v>
      </c>
      <c r="B83" s="1">
        <f>IFERROR(__xludf.DUMMYFUNCTION("""COMPUTED_VALUE"""),59200.0)</f>
        <v>59200</v>
      </c>
      <c r="C83" s="1">
        <f>IFERROR(__xludf.DUMMYFUNCTION("""COMPUTED_VALUE"""),59200.0)</f>
        <v>59200</v>
      </c>
      <c r="D83" s="1">
        <f>IFERROR(__xludf.DUMMYFUNCTION("""COMPUTED_VALUE"""),57400.0)</f>
        <v>57400</v>
      </c>
      <c r="E83" s="1">
        <f>IFERROR(__xludf.DUMMYFUNCTION("""COMPUTED_VALUE"""),58500.0)</f>
        <v>58500</v>
      </c>
      <c r="F83" s="1">
        <f>IFERROR(__xludf.DUMMYFUNCTION("""COMPUTED_VALUE"""),6006.0)</f>
        <v>6006</v>
      </c>
    </row>
    <row r="84">
      <c r="A84" s="2">
        <f>IFERROR(__xludf.DUMMYFUNCTION("""COMPUTED_VALUE"""),41031.645833333336)</f>
        <v>41031.64583</v>
      </c>
      <c r="B84" s="1">
        <f>IFERROR(__xludf.DUMMYFUNCTION("""COMPUTED_VALUE"""),58600.0)</f>
        <v>58600</v>
      </c>
      <c r="C84" s="1">
        <f>IFERROR(__xludf.DUMMYFUNCTION("""COMPUTED_VALUE"""),59400.0)</f>
        <v>59400</v>
      </c>
      <c r="D84" s="1">
        <f>IFERROR(__xludf.DUMMYFUNCTION("""COMPUTED_VALUE"""),58500.0)</f>
        <v>58500</v>
      </c>
      <c r="E84" s="1">
        <f>IFERROR(__xludf.DUMMYFUNCTION("""COMPUTED_VALUE"""),59400.0)</f>
        <v>59400</v>
      </c>
      <c r="F84" s="1">
        <f>IFERROR(__xludf.DUMMYFUNCTION("""COMPUTED_VALUE"""),3081.0)</f>
        <v>3081</v>
      </c>
    </row>
    <row r="85">
      <c r="A85" s="2">
        <f>IFERROR(__xludf.DUMMYFUNCTION("""COMPUTED_VALUE"""),41032.645833333336)</f>
        <v>41032.64583</v>
      </c>
      <c r="B85" s="1">
        <f>IFERROR(__xludf.DUMMYFUNCTION("""COMPUTED_VALUE"""),59400.0)</f>
        <v>59400</v>
      </c>
      <c r="C85" s="1">
        <f>IFERROR(__xludf.DUMMYFUNCTION("""COMPUTED_VALUE"""),59600.0)</f>
        <v>59600</v>
      </c>
      <c r="D85" s="1">
        <f>IFERROR(__xludf.DUMMYFUNCTION("""COMPUTED_VALUE"""),59000.0)</f>
        <v>59000</v>
      </c>
      <c r="E85" s="1">
        <f>IFERROR(__xludf.DUMMYFUNCTION("""COMPUTED_VALUE"""),59200.0)</f>
        <v>59200</v>
      </c>
      <c r="F85" s="1">
        <f>IFERROR(__xludf.DUMMYFUNCTION("""COMPUTED_VALUE"""),703.0)</f>
        <v>703</v>
      </c>
    </row>
    <row r="86">
      <c r="A86" s="2">
        <f>IFERROR(__xludf.DUMMYFUNCTION("""COMPUTED_VALUE"""),41033.645833333336)</f>
        <v>41033.64583</v>
      </c>
      <c r="B86" s="1">
        <f>IFERROR(__xludf.DUMMYFUNCTION("""COMPUTED_VALUE"""),59400.0)</f>
        <v>59400</v>
      </c>
      <c r="C86" s="1">
        <f>IFERROR(__xludf.DUMMYFUNCTION("""COMPUTED_VALUE"""),59600.0)</f>
        <v>59600</v>
      </c>
      <c r="D86" s="1">
        <f>IFERROR(__xludf.DUMMYFUNCTION("""COMPUTED_VALUE"""),58900.0)</f>
        <v>58900</v>
      </c>
      <c r="E86" s="1">
        <f>IFERROR(__xludf.DUMMYFUNCTION("""COMPUTED_VALUE"""),59600.0)</f>
        <v>59600</v>
      </c>
      <c r="F86" s="1">
        <f>IFERROR(__xludf.DUMMYFUNCTION("""COMPUTED_VALUE"""),1426.0)</f>
        <v>1426</v>
      </c>
    </row>
    <row r="87">
      <c r="A87" s="2">
        <f>IFERROR(__xludf.DUMMYFUNCTION("""COMPUTED_VALUE"""),41036.645833333336)</f>
        <v>41036.64583</v>
      </c>
      <c r="B87" s="1">
        <f>IFERROR(__xludf.DUMMYFUNCTION("""COMPUTED_VALUE"""),59300.0)</f>
        <v>59300</v>
      </c>
      <c r="C87" s="1">
        <f>IFERROR(__xludf.DUMMYFUNCTION("""COMPUTED_VALUE"""),59300.0)</f>
        <v>59300</v>
      </c>
      <c r="D87" s="1">
        <f>IFERROR(__xludf.DUMMYFUNCTION("""COMPUTED_VALUE"""),58700.0)</f>
        <v>58700</v>
      </c>
      <c r="E87" s="1">
        <f>IFERROR(__xludf.DUMMYFUNCTION("""COMPUTED_VALUE"""),59200.0)</f>
        <v>59200</v>
      </c>
      <c r="F87" s="1">
        <f>IFERROR(__xludf.DUMMYFUNCTION("""COMPUTED_VALUE"""),2637.0)</f>
        <v>2637</v>
      </c>
    </row>
    <row r="88">
      <c r="A88" s="2">
        <f>IFERROR(__xludf.DUMMYFUNCTION("""COMPUTED_VALUE"""),41037.645833333336)</f>
        <v>41037.64583</v>
      </c>
      <c r="B88" s="1">
        <f>IFERROR(__xludf.DUMMYFUNCTION("""COMPUTED_VALUE"""),59300.0)</f>
        <v>59300</v>
      </c>
      <c r="C88" s="1">
        <f>IFERROR(__xludf.DUMMYFUNCTION("""COMPUTED_VALUE"""),59500.0)</f>
        <v>59500</v>
      </c>
      <c r="D88" s="1">
        <f>IFERROR(__xludf.DUMMYFUNCTION("""COMPUTED_VALUE"""),59000.0)</f>
        <v>59000</v>
      </c>
      <c r="E88" s="1">
        <f>IFERROR(__xludf.DUMMYFUNCTION("""COMPUTED_VALUE"""),59500.0)</f>
        <v>59500</v>
      </c>
      <c r="F88" s="1">
        <f>IFERROR(__xludf.DUMMYFUNCTION("""COMPUTED_VALUE"""),1197.0)</f>
        <v>1197</v>
      </c>
    </row>
    <row r="89">
      <c r="A89" s="2">
        <f>IFERROR(__xludf.DUMMYFUNCTION("""COMPUTED_VALUE"""),41038.645833333336)</f>
        <v>41038.64583</v>
      </c>
      <c r="B89" s="1">
        <f>IFERROR(__xludf.DUMMYFUNCTION("""COMPUTED_VALUE"""),59500.0)</f>
        <v>59500</v>
      </c>
      <c r="C89" s="1">
        <f>IFERROR(__xludf.DUMMYFUNCTION("""COMPUTED_VALUE"""),59500.0)</f>
        <v>59500</v>
      </c>
      <c r="D89" s="1">
        <f>IFERROR(__xludf.DUMMYFUNCTION("""COMPUTED_VALUE"""),58700.0)</f>
        <v>58700</v>
      </c>
      <c r="E89" s="1">
        <f>IFERROR(__xludf.DUMMYFUNCTION("""COMPUTED_VALUE"""),59400.0)</f>
        <v>59400</v>
      </c>
      <c r="F89" s="1">
        <f>IFERROR(__xludf.DUMMYFUNCTION("""COMPUTED_VALUE"""),2509.0)</f>
        <v>2509</v>
      </c>
    </row>
    <row r="90">
      <c r="A90" s="2">
        <f>IFERROR(__xludf.DUMMYFUNCTION("""COMPUTED_VALUE"""),41039.645833333336)</f>
        <v>41039.64583</v>
      </c>
      <c r="B90" s="1">
        <f>IFERROR(__xludf.DUMMYFUNCTION("""COMPUTED_VALUE"""),58900.0)</f>
        <v>58900</v>
      </c>
      <c r="C90" s="1">
        <f>IFERROR(__xludf.DUMMYFUNCTION("""COMPUTED_VALUE"""),59000.0)</f>
        <v>59000</v>
      </c>
      <c r="D90" s="1">
        <f>IFERROR(__xludf.DUMMYFUNCTION("""COMPUTED_VALUE"""),58700.0)</f>
        <v>58700</v>
      </c>
      <c r="E90" s="1">
        <f>IFERROR(__xludf.DUMMYFUNCTION("""COMPUTED_VALUE"""),59000.0)</f>
        <v>59000</v>
      </c>
      <c r="F90" s="1">
        <f>IFERROR(__xludf.DUMMYFUNCTION("""COMPUTED_VALUE"""),1366.0)</f>
        <v>1366</v>
      </c>
    </row>
    <row r="91">
      <c r="A91" s="2">
        <f>IFERROR(__xludf.DUMMYFUNCTION("""COMPUTED_VALUE"""),41040.645833333336)</f>
        <v>41040.64583</v>
      </c>
      <c r="B91" s="1">
        <f>IFERROR(__xludf.DUMMYFUNCTION("""COMPUTED_VALUE"""),58500.0)</f>
        <v>58500</v>
      </c>
      <c r="C91" s="1">
        <f>IFERROR(__xludf.DUMMYFUNCTION("""COMPUTED_VALUE"""),59000.0)</f>
        <v>59000</v>
      </c>
      <c r="D91" s="1">
        <f>IFERROR(__xludf.DUMMYFUNCTION("""COMPUTED_VALUE"""),58500.0)</f>
        <v>58500</v>
      </c>
      <c r="E91" s="1">
        <f>IFERROR(__xludf.DUMMYFUNCTION("""COMPUTED_VALUE"""),59000.0)</f>
        <v>59000</v>
      </c>
      <c r="F91" s="1">
        <f>IFERROR(__xludf.DUMMYFUNCTION("""COMPUTED_VALUE"""),997.0)</f>
        <v>997</v>
      </c>
    </row>
    <row r="92">
      <c r="A92" s="2">
        <f>IFERROR(__xludf.DUMMYFUNCTION("""COMPUTED_VALUE"""),41043.645833333336)</f>
        <v>41043.64583</v>
      </c>
      <c r="B92" s="1">
        <f>IFERROR(__xludf.DUMMYFUNCTION("""COMPUTED_VALUE"""),59000.0)</f>
        <v>59000</v>
      </c>
      <c r="C92" s="1">
        <f>IFERROR(__xludf.DUMMYFUNCTION("""COMPUTED_VALUE"""),59000.0)</f>
        <v>59000</v>
      </c>
      <c r="D92" s="1">
        <f>IFERROR(__xludf.DUMMYFUNCTION("""COMPUTED_VALUE"""),58400.0)</f>
        <v>58400</v>
      </c>
      <c r="E92" s="1">
        <f>IFERROR(__xludf.DUMMYFUNCTION("""COMPUTED_VALUE"""),58800.0)</f>
        <v>58800</v>
      </c>
      <c r="F92" s="1">
        <f>IFERROR(__xludf.DUMMYFUNCTION("""COMPUTED_VALUE"""),1849.0)</f>
        <v>1849</v>
      </c>
    </row>
    <row r="93">
      <c r="A93" s="2">
        <f>IFERROR(__xludf.DUMMYFUNCTION("""COMPUTED_VALUE"""),41044.645833333336)</f>
        <v>41044.64583</v>
      </c>
      <c r="B93" s="1">
        <f>IFERROR(__xludf.DUMMYFUNCTION("""COMPUTED_VALUE"""),58500.0)</f>
        <v>58500</v>
      </c>
      <c r="C93" s="1">
        <f>IFERROR(__xludf.DUMMYFUNCTION("""COMPUTED_VALUE"""),58700.0)</f>
        <v>58700</v>
      </c>
      <c r="D93" s="1">
        <f>IFERROR(__xludf.DUMMYFUNCTION("""COMPUTED_VALUE"""),58000.0)</f>
        <v>58000</v>
      </c>
      <c r="E93" s="1">
        <f>IFERROR(__xludf.DUMMYFUNCTION("""COMPUTED_VALUE"""),58400.0)</f>
        <v>58400</v>
      </c>
      <c r="F93" s="1">
        <f>IFERROR(__xludf.DUMMYFUNCTION("""COMPUTED_VALUE"""),2318.0)</f>
        <v>2318</v>
      </c>
    </row>
    <row r="94">
      <c r="A94" s="2">
        <f>IFERROR(__xludf.DUMMYFUNCTION("""COMPUTED_VALUE"""),41045.645833333336)</f>
        <v>41045.64583</v>
      </c>
      <c r="B94" s="1">
        <f>IFERROR(__xludf.DUMMYFUNCTION("""COMPUTED_VALUE"""),58200.0)</f>
        <v>58200</v>
      </c>
      <c r="C94" s="1">
        <f>IFERROR(__xludf.DUMMYFUNCTION("""COMPUTED_VALUE"""),58500.0)</f>
        <v>58500</v>
      </c>
      <c r="D94" s="1">
        <f>IFERROR(__xludf.DUMMYFUNCTION("""COMPUTED_VALUE"""),57800.0)</f>
        <v>57800</v>
      </c>
      <c r="E94" s="1">
        <f>IFERROR(__xludf.DUMMYFUNCTION("""COMPUTED_VALUE"""),58400.0)</f>
        <v>58400</v>
      </c>
      <c r="F94" s="1">
        <f>IFERROR(__xludf.DUMMYFUNCTION("""COMPUTED_VALUE"""),2268.0)</f>
        <v>2268</v>
      </c>
    </row>
    <row r="95">
      <c r="A95" s="2">
        <f>IFERROR(__xludf.DUMMYFUNCTION("""COMPUTED_VALUE"""),41046.645833333336)</f>
        <v>41046.64583</v>
      </c>
      <c r="B95" s="1">
        <f>IFERROR(__xludf.DUMMYFUNCTION("""COMPUTED_VALUE"""),58500.0)</f>
        <v>58500</v>
      </c>
      <c r="C95" s="1">
        <f>IFERROR(__xludf.DUMMYFUNCTION("""COMPUTED_VALUE"""),59500.0)</f>
        <v>59500</v>
      </c>
      <c r="D95" s="1">
        <f>IFERROR(__xludf.DUMMYFUNCTION("""COMPUTED_VALUE"""),58500.0)</f>
        <v>58500</v>
      </c>
      <c r="E95" s="1">
        <f>IFERROR(__xludf.DUMMYFUNCTION("""COMPUTED_VALUE"""),59300.0)</f>
        <v>59300</v>
      </c>
      <c r="F95" s="1">
        <f>IFERROR(__xludf.DUMMYFUNCTION("""COMPUTED_VALUE"""),3425.0)</f>
        <v>3425</v>
      </c>
    </row>
    <row r="96">
      <c r="A96" s="2">
        <f>IFERROR(__xludf.DUMMYFUNCTION("""COMPUTED_VALUE"""),41047.645833333336)</f>
        <v>41047.64583</v>
      </c>
      <c r="B96" s="1">
        <f>IFERROR(__xludf.DUMMYFUNCTION("""COMPUTED_VALUE"""),58500.0)</f>
        <v>58500</v>
      </c>
      <c r="C96" s="1">
        <f>IFERROR(__xludf.DUMMYFUNCTION("""COMPUTED_VALUE"""),59400.0)</f>
        <v>59400</v>
      </c>
      <c r="D96" s="1">
        <f>IFERROR(__xludf.DUMMYFUNCTION("""COMPUTED_VALUE"""),58100.0)</f>
        <v>58100</v>
      </c>
      <c r="E96" s="1">
        <f>IFERROR(__xludf.DUMMYFUNCTION("""COMPUTED_VALUE"""),59200.0)</f>
        <v>59200</v>
      </c>
      <c r="F96" s="1">
        <f>IFERROR(__xludf.DUMMYFUNCTION("""COMPUTED_VALUE"""),13075.0)</f>
        <v>13075</v>
      </c>
    </row>
    <row r="97">
      <c r="A97" s="2">
        <f>IFERROR(__xludf.DUMMYFUNCTION("""COMPUTED_VALUE"""),41050.645833333336)</f>
        <v>41050.64583</v>
      </c>
      <c r="B97" s="1">
        <f>IFERROR(__xludf.DUMMYFUNCTION("""COMPUTED_VALUE"""),59100.0)</f>
        <v>59100</v>
      </c>
      <c r="C97" s="1">
        <f>IFERROR(__xludf.DUMMYFUNCTION("""COMPUTED_VALUE"""),59100.0)</f>
        <v>59100</v>
      </c>
      <c r="D97" s="1">
        <f>IFERROR(__xludf.DUMMYFUNCTION("""COMPUTED_VALUE"""),58000.0)</f>
        <v>58000</v>
      </c>
      <c r="E97" s="1">
        <f>IFERROR(__xludf.DUMMYFUNCTION("""COMPUTED_VALUE"""),58200.0)</f>
        <v>58200</v>
      </c>
      <c r="F97" s="1">
        <f>IFERROR(__xludf.DUMMYFUNCTION("""COMPUTED_VALUE"""),2687.0)</f>
        <v>2687</v>
      </c>
    </row>
    <row r="98">
      <c r="A98" s="2">
        <f>IFERROR(__xludf.DUMMYFUNCTION("""COMPUTED_VALUE"""),41051.645833333336)</f>
        <v>41051.64583</v>
      </c>
      <c r="B98" s="1">
        <f>IFERROR(__xludf.DUMMYFUNCTION("""COMPUTED_VALUE"""),58900.0)</f>
        <v>58900</v>
      </c>
      <c r="C98" s="1">
        <f>IFERROR(__xludf.DUMMYFUNCTION("""COMPUTED_VALUE"""),58900.0)</f>
        <v>58900</v>
      </c>
      <c r="D98" s="1">
        <f>IFERROR(__xludf.DUMMYFUNCTION("""COMPUTED_VALUE"""),58100.0)</f>
        <v>58100</v>
      </c>
      <c r="E98" s="1">
        <f>IFERROR(__xludf.DUMMYFUNCTION("""COMPUTED_VALUE"""),58700.0)</f>
        <v>58700</v>
      </c>
      <c r="F98" s="1">
        <f>IFERROR(__xludf.DUMMYFUNCTION("""COMPUTED_VALUE"""),7646.0)</f>
        <v>7646</v>
      </c>
    </row>
    <row r="99">
      <c r="A99" s="2">
        <f>IFERROR(__xludf.DUMMYFUNCTION("""COMPUTED_VALUE"""),41052.645833333336)</f>
        <v>41052.64583</v>
      </c>
      <c r="B99" s="1">
        <f>IFERROR(__xludf.DUMMYFUNCTION("""COMPUTED_VALUE"""),58300.0)</f>
        <v>58300</v>
      </c>
      <c r="C99" s="1">
        <f>IFERROR(__xludf.DUMMYFUNCTION("""COMPUTED_VALUE"""),58800.0)</f>
        <v>58800</v>
      </c>
      <c r="D99" s="1">
        <f>IFERROR(__xludf.DUMMYFUNCTION("""COMPUTED_VALUE"""),57800.0)</f>
        <v>57800</v>
      </c>
      <c r="E99" s="1">
        <f>IFERROR(__xludf.DUMMYFUNCTION("""COMPUTED_VALUE"""),58500.0)</f>
        <v>58500</v>
      </c>
      <c r="F99" s="1">
        <f>IFERROR(__xludf.DUMMYFUNCTION("""COMPUTED_VALUE"""),3712.0)</f>
        <v>3712</v>
      </c>
    </row>
    <row r="100">
      <c r="A100" s="2">
        <f>IFERROR(__xludf.DUMMYFUNCTION("""COMPUTED_VALUE"""),41053.645833333336)</f>
        <v>41053.64583</v>
      </c>
      <c r="B100" s="1">
        <f>IFERROR(__xludf.DUMMYFUNCTION("""COMPUTED_VALUE"""),58700.0)</f>
        <v>58700</v>
      </c>
      <c r="C100" s="1">
        <f>IFERROR(__xludf.DUMMYFUNCTION("""COMPUTED_VALUE"""),58700.0)</f>
        <v>58700</v>
      </c>
      <c r="D100" s="1">
        <f>IFERROR(__xludf.DUMMYFUNCTION("""COMPUTED_VALUE"""),57800.0)</f>
        <v>57800</v>
      </c>
      <c r="E100" s="1">
        <f>IFERROR(__xludf.DUMMYFUNCTION("""COMPUTED_VALUE"""),58500.0)</f>
        <v>58500</v>
      </c>
      <c r="F100" s="1">
        <f>IFERROR(__xludf.DUMMYFUNCTION("""COMPUTED_VALUE"""),3739.0)</f>
        <v>3739</v>
      </c>
    </row>
    <row r="101">
      <c r="A101" s="2">
        <f>IFERROR(__xludf.DUMMYFUNCTION("""COMPUTED_VALUE"""),41054.645833333336)</f>
        <v>41054.64583</v>
      </c>
      <c r="B101" s="1">
        <f>IFERROR(__xludf.DUMMYFUNCTION("""COMPUTED_VALUE"""),58900.0)</f>
        <v>58900</v>
      </c>
      <c r="C101" s="1">
        <f>IFERROR(__xludf.DUMMYFUNCTION("""COMPUTED_VALUE"""),59000.0)</f>
        <v>59000</v>
      </c>
      <c r="D101" s="1">
        <f>IFERROR(__xludf.DUMMYFUNCTION("""COMPUTED_VALUE"""),58100.0)</f>
        <v>58100</v>
      </c>
      <c r="E101" s="1">
        <f>IFERROR(__xludf.DUMMYFUNCTION("""COMPUTED_VALUE"""),58600.0)</f>
        <v>58600</v>
      </c>
      <c r="F101" s="1">
        <f>IFERROR(__xludf.DUMMYFUNCTION("""COMPUTED_VALUE"""),1660.0)</f>
        <v>1660</v>
      </c>
    </row>
    <row r="102">
      <c r="A102" s="2">
        <f>IFERROR(__xludf.DUMMYFUNCTION("""COMPUTED_VALUE"""),41058.645833333336)</f>
        <v>41058.64583</v>
      </c>
      <c r="B102" s="1">
        <f>IFERROR(__xludf.DUMMYFUNCTION("""COMPUTED_VALUE"""),58800.0)</f>
        <v>58800</v>
      </c>
      <c r="C102" s="1">
        <f>IFERROR(__xludf.DUMMYFUNCTION("""COMPUTED_VALUE"""),59200.0)</f>
        <v>59200</v>
      </c>
      <c r="D102" s="1">
        <f>IFERROR(__xludf.DUMMYFUNCTION("""COMPUTED_VALUE"""),58600.0)</f>
        <v>58600</v>
      </c>
      <c r="E102" s="1">
        <f>IFERROR(__xludf.DUMMYFUNCTION("""COMPUTED_VALUE"""),59100.0)</f>
        <v>59100</v>
      </c>
      <c r="F102" s="1">
        <f>IFERROR(__xludf.DUMMYFUNCTION("""COMPUTED_VALUE"""),3270.0)</f>
        <v>3270</v>
      </c>
    </row>
    <row r="103">
      <c r="A103" s="2">
        <f>IFERROR(__xludf.DUMMYFUNCTION("""COMPUTED_VALUE"""),41059.645833333336)</f>
        <v>41059.64583</v>
      </c>
      <c r="B103" s="1">
        <f>IFERROR(__xludf.DUMMYFUNCTION("""COMPUTED_VALUE"""),58900.0)</f>
        <v>58900</v>
      </c>
      <c r="C103" s="1">
        <f>IFERROR(__xludf.DUMMYFUNCTION("""COMPUTED_VALUE"""),59600.0)</f>
        <v>59600</v>
      </c>
      <c r="D103" s="1">
        <f>IFERROR(__xludf.DUMMYFUNCTION("""COMPUTED_VALUE"""),58900.0)</f>
        <v>58900</v>
      </c>
      <c r="E103" s="1">
        <f>IFERROR(__xludf.DUMMYFUNCTION("""COMPUTED_VALUE"""),59300.0)</f>
        <v>59300</v>
      </c>
      <c r="F103" s="1">
        <f>IFERROR(__xludf.DUMMYFUNCTION("""COMPUTED_VALUE"""),2048.0)</f>
        <v>2048</v>
      </c>
    </row>
    <row r="104">
      <c r="A104" s="2">
        <f>IFERROR(__xludf.DUMMYFUNCTION("""COMPUTED_VALUE"""),41060.645833333336)</f>
        <v>41060.64583</v>
      </c>
      <c r="B104" s="1">
        <f>IFERROR(__xludf.DUMMYFUNCTION("""COMPUTED_VALUE"""),59000.0)</f>
        <v>59000</v>
      </c>
      <c r="C104" s="1">
        <f>IFERROR(__xludf.DUMMYFUNCTION("""COMPUTED_VALUE"""),59100.0)</f>
        <v>59100</v>
      </c>
      <c r="D104" s="1">
        <f>IFERROR(__xludf.DUMMYFUNCTION("""COMPUTED_VALUE"""),58500.0)</f>
        <v>58500</v>
      </c>
      <c r="E104" s="1">
        <f>IFERROR(__xludf.DUMMYFUNCTION("""COMPUTED_VALUE"""),59100.0)</f>
        <v>59100</v>
      </c>
      <c r="F104" s="1">
        <f>IFERROR(__xludf.DUMMYFUNCTION("""COMPUTED_VALUE"""),1664.0)</f>
        <v>1664</v>
      </c>
    </row>
    <row r="105">
      <c r="A105" s="2">
        <f>IFERROR(__xludf.DUMMYFUNCTION("""COMPUTED_VALUE"""),41061.645833333336)</f>
        <v>41061.64583</v>
      </c>
      <c r="B105" s="1">
        <f>IFERROR(__xludf.DUMMYFUNCTION("""COMPUTED_VALUE"""),59400.0)</f>
        <v>59400</v>
      </c>
      <c r="C105" s="1">
        <f>IFERROR(__xludf.DUMMYFUNCTION("""COMPUTED_VALUE"""),59400.0)</f>
        <v>59400</v>
      </c>
      <c r="D105" s="1">
        <f>IFERROR(__xludf.DUMMYFUNCTION("""COMPUTED_VALUE"""),58700.0)</f>
        <v>58700</v>
      </c>
      <c r="E105" s="1">
        <f>IFERROR(__xludf.DUMMYFUNCTION("""COMPUTED_VALUE"""),59200.0)</f>
        <v>59200</v>
      </c>
      <c r="F105" s="1">
        <f>IFERROR(__xludf.DUMMYFUNCTION("""COMPUTED_VALUE"""),857.0)</f>
        <v>857</v>
      </c>
    </row>
    <row r="106">
      <c r="A106" s="2">
        <f>IFERROR(__xludf.DUMMYFUNCTION("""COMPUTED_VALUE"""),41064.645833333336)</f>
        <v>41064.64583</v>
      </c>
      <c r="B106" s="1">
        <f>IFERROR(__xludf.DUMMYFUNCTION("""COMPUTED_VALUE"""),58300.0)</f>
        <v>58300</v>
      </c>
      <c r="C106" s="1">
        <f>IFERROR(__xludf.DUMMYFUNCTION("""COMPUTED_VALUE"""),58500.0)</f>
        <v>58500</v>
      </c>
      <c r="D106" s="1">
        <f>IFERROR(__xludf.DUMMYFUNCTION("""COMPUTED_VALUE"""),57200.0)</f>
        <v>57200</v>
      </c>
      <c r="E106" s="1">
        <f>IFERROR(__xludf.DUMMYFUNCTION("""COMPUTED_VALUE"""),57600.0)</f>
        <v>57600</v>
      </c>
      <c r="F106" s="1">
        <f>IFERROR(__xludf.DUMMYFUNCTION("""COMPUTED_VALUE"""),7275.0)</f>
        <v>7275</v>
      </c>
    </row>
    <row r="107">
      <c r="A107" s="2">
        <f>IFERROR(__xludf.DUMMYFUNCTION("""COMPUTED_VALUE"""),41065.645833333336)</f>
        <v>41065.64583</v>
      </c>
      <c r="B107" s="1">
        <f>IFERROR(__xludf.DUMMYFUNCTION("""COMPUTED_VALUE"""),57800.0)</f>
        <v>57800</v>
      </c>
      <c r="C107" s="1">
        <f>IFERROR(__xludf.DUMMYFUNCTION("""COMPUTED_VALUE"""),58300.0)</f>
        <v>58300</v>
      </c>
      <c r="D107" s="1">
        <f>IFERROR(__xludf.DUMMYFUNCTION("""COMPUTED_VALUE"""),57500.0)</f>
        <v>57500</v>
      </c>
      <c r="E107" s="1">
        <f>IFERROR(__xludf.DUMMYFUNCTION("""COMPUTED_VALUE"""),58100.0)</f>
        <v>58100</v>
      </c>
      <c r="F107" s="1">
        <f>IFERROR(__xludf.DUMMYFUNCTION("""COMPUTED_VALUE"""),3504.0)</f>
        <v>3504</v>
      </c>
    </row>
    <row r="108">
      <c r="A108" s="2">
        <f>IFERROR(__xludf.DUMMYFUNCTION("""COMPUTED_VALUE"""),41067.645833333336)</f>
        <v>41067.64583</v>
      </c>
      <c r="B108" s="1">
        <f>IFERROR(__xludf.DUMMYFUNCTION("""COMPUTED_VALUE"""),58500.0)</f>
        <v>58500</v>
      </c>
      <c r="C108" s="1">
        <f>IFERROR(__xludf.DUMMYFUNCTION("""COMPUTED_VALUE"""),59000.0)</f>
        <v>59000</v>
      </c>
      <c r="D108" s="1">
        <f>IFERROR(__xludf.DUMMYFUNCTION("""COMPUTED_VALUE"""),58500.0)</f>
        <v>58500</v>
      </c>
      <c r="E108" s="1">
        <f>IFERROR(__xludf.DUMMYFUNCTION("""COMPUTED_VALUE"""),58800.0)</f>
        <v>58800</v>
      </c>
      <c r="F108" s="1">
        <f>IFERROR(__xludf.DUMMYFUNCTION("""COMPUTED_VALUE"""),3488.0)</f>
        <v>3488</v>
      </c>
    </row>
    <row r="109">
      <c r="A109" s="2">
        <f>IFERROR(__xludf.DUMMYFUNCTION("""COMPUTED_VALUE"""),41068.645833333336)</f>
        <v>41068.64583</v>
      </c>
      <c r="B109" s="1">
        <f>IFERROR(__xludf.DUMMYFUNCTION("""COMPUTED_VALUE"""),58800.0)</f>
        <v>58800</v>
      </c>
      <c r="C109" s="1">
        <f>IFERROR(__xludf.DUMMYFUNCTION("""COMPUTED_VALUE"""),59000.0)</f>
        <v>59000</v>
      </c>
      <c r="D109" s="1">
        <f>IFERROR(__xludf.DUMMYFUNCTION("""COMPUTED_VALUE"""),58700.0)</f>
        <v>58700</v>
      </c>
      <c r="E109" s="1">
        <f>IFERROR(__xludf.DUMMYFUNCTION("""COMPUTED_VALUE"""),59000.0)</f>
        <v>59000</v>
      </c>
      <c r="F109" s="1">
        <f>IFERROR(__xludf.DUMMYFUNCTION("""COMPUTED_VALUE"""),1166.0)</f>
        <v>1166</v>
      </c>
    </row>
    <row r="110">
      <c r="A110" s="2">
        <f>IFERROR(__xludf.DUMMYFUNCTION("""COMPUTED_VALUE"""),41071.645833333336)</f>
        <v>41071.64583</v>
      </c>
      <c r="B110" s="1">
        <f>IFERROR(__xludf.DUMMYFUNCTION("""COMPUTED_VALUE"""),59200.0)</f>
        <v>59200</v>
      </c>
      <c r="C110" s="1">
        <f>IFERROR(__xludf.DUMMYFUNCTION("""COMPUTED_VALUE"""),59500.0)</f>
        <v>59500</v>
      </c>
      <c r="D110" s="1">
        <f>IFERROR(__xludf.DUMMYFUNCTION("""COMPUTED_VALUE"""),59000.0)</f>
        <v>59000</v>
      </c>
      <c r="E110" s="1">
        <f>IFERROR(__xludf.DUMMYFUNCTION("""COMPUTED_VALUE"""),59400.0)</f>
        <v>59400</v>
      </c>
      <c r="F110" s="1">
        <f>IFERROR(__xludf.DUMMYFUNCTION("""COMPUTED_VALUE"""),3135.0)</f>
        <v>3135</v>
      </c>
    </row>
    <row r="111">
      <c r="A111" s="2">
        <f>IFERROR(__xludf.DUMMYFUNCTION("""COMPUTED_VALUE"""),41072.645833333336)</f>
        <v>41072.64583</v>
      </c>
      <c r="B111" s="1">
        <f>IFERROR(__xludf.DUMMYFUNCTION("""COMPUTED_VALUE"""),59000.0)</f>
        <v>59000</v>
      </c>
      <c r="C111" s="1">
        <f>IFERROR(__xludf.DUMMYFUNCTION("""COMPUTED_VALUE"""),59300.0)</f>
        <v>59300</v>
      </c>
      <c r="D111" s="1">
        <f>IFERROR(__xludf.DUMMYFUNCTION("""COMPUTED_VALUE"""),59000.0)</f>
        <v>59000</v>
      </c>
      <c r="E111" s="1">
        <f>IFERROR(__xludf.DUMMYFUNCTION("""COMPUTED_VALUE"""),59300.0)</f>
        <v>59300</v>
      </c>
      <c r="F111" s="1">
        <f>IFERROR(__xludf.DUMMYFUNCTION("""COMPUTED_VALUE"""),1129.0)</f>
        <v>1129</v>
      </c>
    </row>
    <row r="112">
      <c r="A112" s="2">
        <f>IFERROR(__xludf.DUMMYFUNCTION("""COMPUTED_VALUE"""),41073.645833333336)</f>
        <v>41073.64583</v>
      </c>
      <c r="B112" s="1">
        <f>IFERROR(__xludf.DUMMYFUNCTION("""COMPUTED_VALUE"""),59500.0)</f>
        <v>59500</v>
      </c>
      <c r="C112" s="1">
        <f>IFERROR(__xludf.DUMMYFUNCTION("""COMPUTED_VALUE"""),59500.0)</f>
        <v>59500</v>
      </c>
      <c r="D112" s="1">
        <f>IFERROR(__xludf.DUMMYFUNCTION("""COMPUTED_VALUE"""),59000.0)</f>
        <v>59000</v>
      </c>
      <c r="E112" s="1">
        <f>IFERROR(__xludf.DUMMYFUNCTION("""COMPUTED_VALUE"""),59200.0)</f>
        <v>59200</v>
      </c>
      <c r="F112" s="1">
        <f>IFERROR(__xludf.DUMMYFUNCTION("""COMPUTED_VALUE"""),1068.0)</f>
        <v>1068</v>
      </c>
    </row>
    <row r="113">
      <c r="A113" s="2">
        <f>IFERROR(__xludf.DUMMYFUNCTION("""COMPUTED_VALUE"""),41074.645833333336)</f>
        <v>41074.64583</v>
      </c>
      <c r="B113" s="1">
        <f>IFERROR(__xludf.DUMMYFUNCTION("""COMPUTED_VALUE"""),59200.0)</f>
        <v>59200</v>
      </c>
      <c r="C113" s="1">
        <f>IFERROR(__xludf.DUMMYFUNCTION("""COMPUTED_VALUE"""),59200.0)</f>
        <v>59200</v>
      </c>
      <c r="D113" s="1">
        <f>IFERROR(__xludf.DUMMYFUNCTION("""COMPUTED_VALUE"""),58600.0)</f>
        <v>58600</v>
      </c>
      <c r="E113" s="1">
        <f>IFERROR(__xludf.DUMMYFUNCTION("""COMPUTED_VALUE"""),59100.0)</f>
        <v>59100</v>
      </c>
      <c r="F113" s="1">
        <f>IFERROR(__xludf.DUMMYFUNCTION("""COMPUTED_VALUE"""),3389.0)</f>
        <v>3389</v>
      </c>
    </row>
    <row r="114">
      <c r="A114" s="2">
        <f>IFERROR(__xludf.DUMMYFUNCTION("""COMPUTED_VALUE"""),41075.645833333336)</f>
        <v>41075.64583</v>
      </c>
      <c r="B114" s="1">
        <f>IFERROR(__xludf.DUMMYFUNCTION("""COMPUTED_VALUE"""),59100.0)</f>
        <v>59100</v>
      </c>
      <c r="C114" s="1">
        <f>IFERROR(__xludf.DUMMYFUNCTION("""COMPUTED_VALUE"""),59300.0)</f>
        <v>59300</v>
      </c>
      <c r="D114" s="1">
        <f>IFERROR(__xludf.DUMMYFUNCTION("""COMPUTED_VALUE"""),58700.0)</f>
        <v>58700</v>
      </c>
      <c r="E114" s="1">
        <f>IFERROR(__xludf.DUMMYFUNCTION("""COMPUTED_VALUE"""),59300.0)</f>
        <v>59300</v>
      </c>
      <c r="F114" s="1">
        <f>IFERROR(__xludf.DUMMYFUNCTION("""COMPUTED_VALUE"""),2241.0)</f>
        <v>2241</v>
      </c>
    </row>
    <row r="115">
      <c r="A115" s="2">
        <f>IFERROR(__xludf.DUMMYFUNCTION("""COMPUTED_VALUE"""),41078.645833333336)</f>
        <v>41078.64583</v>
      </c>
      <c r="B115" s="1">
        <f>IFERROR(__xludf.DUMMYFUNCTION("""COMPUTED_VALUE"""),59500.0)</f>
        <v>59500</v>
      </c>
      <c r="C115" s="1">
        <f>IFERROR(__xludf.DUMMYFUNCTION("""COMPUTED_VALUE"""),59800.0)</f>
        <v>59800</v>
      </c>
      <c r="D115" s="1">
        <f>IFERROR(__xludf.DUMMYFUNCTION("""COMPUTED_VALUE"""),59000.0)</f>
        <v>59000</v>
      </c>
      <c r="E115" s="1">
        <f>IFERROR(__xludf.DUMMYFUNCTION("""COMPUTED_VALUE"""),59500.0)</f>
        <v>59500</v>
      </c>
      <c r="F115" s="1">
        <f>IFERROR(__xludf.DUMMYFUNCTION("""COMPUTED_VALUE"""),6863.0)</f>
        <v>6863</v>
      </c>
    </row>
    <row r="116">
      <c r="A116" s="2">
        <f>IFERROR(__xludf.DUMMYFUNCTION("""COMPUTED_VALUE"""),41079.645833333336)</f>
        <v>41079.64583</v>
      </c>
      <c r="B116" s="1">
        <f>IFERROR(__xludf.DUMMYFUNCTION("""COMPUTED_VALUE"""),59400.0)</f>
        <v>59400</v>
      </c>
      <c r="C116" s="1">
        <f>IFERROR(__xludf.DUMMYFUNCTION("""COMPUTED_VALUE"""),59700.0)</f>
        <v>59700</v>
      </c>
      <c r="D116" s="1">
        <f>IFERROR(__xludf.DUMMYFUNCTION("""COMPUTED_VALUE"""),59300.0)</f>
        <v>59300</v>
      </c>
      <c r="E116" s="1">
        <f>IFERROR(__xludf.DUMMYFUNCTION("""COMPUTED_VALUE"""),59500.0)</f>
        <v>59500</v>
      </c>
      <c r="F116" s="1">
        <f>IFERROR(__xludf.DUMMYFUNCTION("""COMPUTED_VALUE"""),2821.0)</f>
        <v>2821</v>
      </c>
    </row>
    <row r="117">
      <c r="A117" s="2">
        <f>IFERROR(__xludf.DUMMYFUNCTION("""COMPUTED_VALUE"""),41080.645833333336)</f>
        <v>41080.64583</v>
      </c>
      <c r="B117" s="1">
        <f>IFERROR(__xludf.DUMMYFUNCTION("""COMPUTED_VALUE"""),59300.0)</f>
        <v>59300</v>
      </c>
      <c r="C117" s="1">
        <f>IFERROR(__xludf.DUMMYFUNCTION("""COMPUTED_VALUE"""),59900.0)</f>
        <v>59900</v>
      </c>
      <c r="D117" s="1">
        <f>IFERROR(__xludf.DUMMYFUNCTION("""COMPUTED_VALUE"""),59000.0)</f>
        <v>59000</v>
      </c>
      <c r="E117" s="1">
        <f>IFERROR(__xludf.DUMMYFUNCTION("""COMPUTED_VALUE"""),59500.0)</f>
        <v>59500</v>
      </c>
      <c r="F117" s="1">
        <f>IFERROR(__xludf.DUMMYFUNCTION("""COMPUTED_VALUE"""),5389.0)</f>
        <v>5389</v>
      </c>
    </row>
    <row r="118">
      <c r="A118" s="2">
        <f>IFERROR(__xludf.DUMMYFUNCTION("""COMPUTED_VALUE"""),41081.645833333336)</f>
        <v>41081.64583</v>
      </c>
      <c r="B118" s="1">
        <f>IFERROR(__xludf.DUMMYFUNCTION("""COMPUTED_VALUE"""),59700.0)</f>
        <v>59700</v>
      </c>
      <c r="C118" s="1">
        <f>IFERROR(__xludf.DUMMYFUNCTION("""COMPUTED_VALUE"""),59700.0)</f>
        <v>59700</v>
      </c>
      <c r="D118" s="1">
        <f>IFERROR(__xludf.DUMMYFUNCTION("""COMPUTED_VALUE"""),58800.0)</f>
        <v>58800</v>
      </c>
      <c r="E118" s="1">
        <f>IFERROR(__xludf.DUMMYFUNCTION("""COMPUTED_VALUE"""),59300.0)</f>
        <v>59300</v>
      </c>
      <c r="F118" s="1">
        <f>IFERROR(__xludf.DUMMYFUNCTION("""COMPUTED_VALUE"""),3784.0)</f>
        <v>3784</v>
      </c>
    </row>
    <row r="119">
      <c r="A119" s="2">
        <f>IFERROR(__xludf.DUMMYFUNCTION("""COMPUTED_VALUE"""),41082.645833333336)</f>
        <v>41082.64583</v>
      </c>
      <c r="B119" s="1">
        <f>IFERROR(__xludf.DUMMYFUNCTION("""COMPUTED_VALUE"""),58900.0)</f>
        <v>58900</v>
      </c>
      <c r="C119" s="1">
        <f>IFERROR(__xludf.DUMMYFUNCTION("""COMPUTED_VALUE"""),58900.0)</f>
        <v>58900</v>
      </c>
      <c r="D119" s="1">
        <f>IFERROR(__xludf.DUMMYFUNCTION("""COMPUTED_VALUE"""),58300.0)</f>
        <v>58300</v>
      </c>
      <c r="E119" s="1">
        <f>IFERROR(__xludf.DUMMYFUNCTION("""COMPUTED_VALUE"""),58700.0)</f>
        <v>58700</v>
      </c>
      <c r="F119" s="1">
        <f>IFERROR(__xludf.DUMMYFUNCTION("""COMPUTED_VALUE"""),7915.0)</f>
        <v>7915</v>
      </c>
    </row>
    <row r="120">
      <c r="A120" s="2">
        <f>IFERROR(__xludf.DUMMYFUNCTION("""COMPUTED_VALUE"""),41085.645833333336)</f>
        <v>41085.64583</v>
      </c>
      <c r="B120" s="1">
        <f>IFERROR(__xludf.DUMMYFUNCTION("""COMPUTED_VALUE"""),58800.0)</f>
        <v>58800</v>
      </c>
      <c r="C120" s="1">
        <f>IFERROR(__xludf.DUMMYFUNCTION("""COMPUTED_VALUE"""),58800.0)</f>
        <v>58800</v>
      </c>
      <c r="D120" s="1">
        <f>IFERROR(__xludf.DUMMYFUNCTION("""COMPUTED_VALUE"""),57700.0)</f>
        <v>57700</v>
      </c>
      <c r="E120" s="1">
        <f>IFERROR(__xludf.DUMMYFUNCTION("""COMPUTED_VALUE"""),58300.0)</f>
        <v>58300</v>
      </c>
      <c r="F120" s="1">
        <f>IFERROR(__xludf.DUMMYFUNCTION("""COMPUTED_VALUE"""),5194.0)</f>
        <v>5194</v>
      </c>
    </row>
    <row r="121">
      <c r="A121" s="2">
        <f>IFERROR(__xludf.DUMMYFUNCTION("""COMPUTED_VALUE"""),41086.645833333336)</f>
        <v>41086.64583</v>
      </c>
      <c r="B121" s="1">
        <f>IFERROR(__xludf.DUMMYFUNCTION("""COMPUTED_VALUE"""),58300.0)</f>
        <v>58300</v>
      </c>
      <c r="C121" s="1">
        <f>IFERROR(__xludf.DUMMYFUNCTION("""COMPUTED_VALUE"""),58400.0)</f>
        <v>58400</v>
      </c>
      <c r="D121" s="1">
        <f>IFERROR(__xludf.DUMMYFUNCTION("""COMPUTED_VALUE"""),57400.0)</f>
        <v>57400</v>
      </c>
      <c r="E121" s="1">
        <f>IFERROR(__xludf.DUMMYFUNCTION("""COMPUTED_VALUE"""),57800.0)</f>
        <v>57800</v>
      </c>
      <c r="F121" s="1">
        <f>IFERROR(__xludf.DUMMYFUNCTION("""COMPUTED_VALUE"""),13071.0)</f>
        <v>13071</v>
      </c>
    </row>
    <row r="122">
      <c r="A122" s="2">
        <f>IFERROR(__xludf.DUMMYFUNCTION("""COMPUTED_VALUE"""),41087.645833333336)</f>
        <v>41087.64583</v>
      </c>
      <c r="B122" s="1">
        <f>IFERROR(__xludf.DUMMYFUNCTION("""COMPUTED_VALUE"""),57900.0)</f>
        <v>57900</v>
      </c>
      <c r="C122" s="1">
        <f>IFERROR(__xludf.DUMMYFUNCTION("""COMPUTED_VALUE"""),58300.0)</f>
        <v>58300</v>
      </c>
      <c r="D122" s="1">
        <f>IFERROR(__xludf.DUMMYFUNCTION("""COMPUTED_VALUE"""),57400.0)</f>
        <v>57400</v>
      </c>
      <c r="E122" s="1">
        <f>IFERROR(__xludf.DUMMYFUNCTION("""COMPUTED_VALUE"""),58300.0)</f>
        <v>58300</v>
      </c>
      <c r="F122" s="1">
        <f>IFERROR(__xludf.DUMMYFUNCTION("""COMPUTED_VALUE"""),8089.0)</f>
        <v>8089</v>
      </c>
    </row>
    <row r="123">
      <c r="A123" s="2">
        <f>IFERROR(__xludf.DUMMYFUNCTION("""COMPUTED_VALUE"""),41088.645833333336)</f>
        <v>41088.64583</v>
      </c>
      <c r="B123" s="1">
        <f>IFERROR(__xludf.DUMMYFUNCTION("""COMPUTED_VALUE"""),57300.0)</f>
        <v>57300</v>
      </c>
      <c r="C123" s="1">
        <f>IFERROR(__xludf.DUMMYFUNCTION("""COMPUTED_VALUE"""),58200.0)</f>
        <v>58200</v>
      </c>
      <c r="D123" s="1">
        <f>IFERROR(__xludf.DUMMYFUNCTION("""COMPUTED_VALUE"""),56600.0)</f>
        <v>56600</v>
      </c>
      <c r="E123" s="1">
        <f>IFERROR(__xludf.DUMMYFUNCTION("""COMPUTED_VALUE"""),56900.0)</f>
        <v>56900</v>
      </c>
      <c r="F123" s="1">
        <f>IFERROR(__xludf.DUMMYFUNCTION("""COMPUTED_VALUE"""),11947.0)</f>
        <v>11947</v>
      </c>
    </row>
    <row r="124">
      <c r="A124" s="2">
        <f>IFERROR(__xludf.DUMMYFUNCTION("""COMPUTED_VALUE"""),41089.645833333336)</f>
        <v>41089.64583</v>
      </c>
      <c r="B124" s="1">
        <f>IFERROR(__xludf.DUMMYFUNCTION("""COMPUTED_VALUE"""),56900.0)</f>
        <v>56900</v>
      </c>
      <c r="C124" s="1">
        <f>IFERROR(__xludf.DUMMYFUNCTION("""COMPUTED_VALUE"""),56900.0)</f>
        <v>56900</v>
      </c>
      <c r="D124" s="1">
        <f>IFERROR(__xludf.DUMMYFUNCTION("""COMPUTED_VALUE"""),56000.0)</f>
        <v>56000</v>
      </c>
      <c r="E124" s="1">
        <f>IFERROR(__xludf.DUMMYFUNCTION("""COMPUTED_VALUE"""),56000.0)</f>
        <v>56000</v>
      </c>
      <c r="F124" s="1">
        <f>IFERROR(__xludf.DUMMYFUNCTION("""COMPUTED_VALUE"""),9789.0)</f>
        <v>9789</v>
      </c>
    </row>
    <row r="125">
      <c r="A125" s="2">
        <f>IFERROR(__xludf.DUMMYFUNCTION("""COMPUTED_VALUE"""),41092.645833333336)</f>
        <v>41092.64583</v>
      </c>
      <c r="B125" s="1">
        <f>IFERROR(__xludf.DUMMYFUNCTION("""COMPUTED_VALUE"""),56700.0)</f>
        <v>56700</v>
      </c>
      <c r="C125" s="1">
        <f>IFERROR(__xludf.DUMMYFUNCTION("""COMPUTED_VALUE"""),57000.0)</f>
        <v>57000</v>
      </c>
      <c r="D125" s="1">
        <f>IFERROR(__xludf.DUMMYFUNCTION("""COMPUTED_VALUE"""),56000.0)</f>
        <v>56000</v>
      </c>
      <c r="E125" s="1">
        <f>IFERROR(__xludf.DUMMYFUNCTION("""COMPUTED_VALUE"""),57000.0)</f>
        <v>57000</v>
      </c>
      <c r="F125" s="1">
        <f>IFERROR(__xludf.DUMMYFUNCTION("""COMPUTED_VALUE"""),9859.0)</f>
        <v>9859</v>
      </c>
    </row>
    <row r="126">
      <c r="A126" s="2">
        <f>IFERROR(__xludf.DUMMYFUNCTION("""COMPUTED_VALUE"""),41093.645833333336)</f>
        <v>41093.64583</v>
      </c>
      <c r="B126" s="1">
        <f>IFERROR(__xludf.DUMMYFUNCTION("""COMPUTED_VALUE"""),57000.0)</f>
        <v>57000</v>
      </c>
      <c r="C126" s="1">
        <f>IFERROR(__xludf.DUMMYFUNCTION("""COMPUTED_VALUE"""),57400.0)</f>
        <v>57400</v>
      </c>
      <c r="D126" s="1">
        <f>IFERROR(__xludf.DUMMYFUNCTION("""COMPUTED_VALUE"""),56800.0)</f>
        <v>56800</v>
      </c>
      <c r="E126" s="1">
        <f>IFERROR(__xludf.DUMMYFUNCTION("""COMPUTED_VALUE"""),57400.0)</f>
        <v>57400</v>
      </c>
      <c r="F126" s="1">
        <f>IFERROR(__xludf.DUMMYFUNCTION("""COMPUTED_VALUE"""),3263.0)</f>
        <v>3263</v>
      </c>
    </row>
    <row r="127">
      <c r="A127" s="2">
        <f>IFERROR(__xludf.DUMMYFUNCTION("""COMPUTED_VALUE"""),41094.645833333336)</f>
        <v>41094.64583</v>
      </c>
      <c r="B127" s="1">
        <f>IFERROR(__xludf.DUMMYFUNCTION("""COMPUTED_VALUE"""),57600.0)</f>
        <v>57600</v>
      </c>
      <c r="C127" s="1">
        <f>IFERROR(__xludf.DUMMYFUNCTION("""COMPUTED_VALUE"""),57700.0)</f>
        <v>57700</v>
      </c>
      <c r="D127" s="1">
        <f>IFERROR(__xludf.DUMMYFUNCTION("""COMPUTED_VALUE"""),57100.0)</f>
        <v>57100</v>
      </c>
      <c r="E127" s="1">
        <f>IFERROR(__xludf.DUMMYFUNCTION("""COMPUTED_VALUE"""),57400.0)</f>
        <v>57400</v>
      </c>
      <c r="F127" s="1">
        <f>IFERROR(__xludf.DUMMYFUNCTION("""COMPUTED_VALUE"""),1271.0)</f>
        <v>1271</v>
      </c>
    </row>
    <row r="128">
      <c r="A128" s="2">
        <f>IFERROR(__xludf.DUMMYFUNCTION("""COMPUTED_VALUE"""),41095.645833333336)</f>
        <v>41095.64583</v>
      </c>
      <c r="B128" s="1">
        <f>IFERROR(__xludf.DUMMYFUNCTION("""COMPUTED_VALUE"""),57400.0)</f>
        <v>57400</v>
      </c>
      <c r="C128" s="1">
        <f>IFERROR(__xludf.DUMMYFUNCTION("""COMPUTED_VALUE"""),57700.0)</f>
        <v>57700</v>
      </c>
      <c r="D128" s="1">
        <f>IFERROR(__xludf.DUMMYFUNCTION("""COMPUTED_VALUE"""),57400.0)</f>
        <v>57400</v>
      </c>
      <c r="E128" s="1">
        <f>IFERROR(__xludf.DUMMYFUNCTION("""COMPUTED_VALUE"""),57600.0)</f>
        <v>57600</v>
      </c>
      <c r="F128" s="1">
        <f>IFERROR(__xludf.DUMMYFUNCTION("""COMPUTED_VALUE"""),1171.0)</f>
        <v>1171</v>
      </c>
    </row>
    <row r="129">
      <c r="A129" s="2">
        <f>IFERROR(__xludf.DUMMYFUNCTION("""COMPUTED_VALUE"""),41096.645833333336)</f>
        <v>41096.64583</v>
      </c>
      <c r="B129" s="1">
        <f>IFERROR(__xludf.DUMMYFUNCTION("""COMPUTED_VALUE"""),57700.0)</f>
        <v>57700</v>
      </c>
      <c r="C129" s="1">
        <f>IFERROR(__xludf.DUMMYFUNCTION("""COMPUTED_VALUE"""),57700.0)</f>
        <v>57700</v>
      </c>
      <c r="D129" s="1">
        <f>IFERROR(__xludf.DUMMYFUNCTION("""COMPUTED_VALUE"""),57000.0)</f>
        <v>57000</v>
      </c>
      <c r="E129" s="1">
        <f>IFERROR(__xludf.DUMMYFUNCTION("""COMPUTED_VALUE"""),57500.0)</f>
        <v>57500</v>
      </c>
      <c r="F129" s="1">
        <f>IFERROR(__xludf.DUMMYFUNCTION("""COMPUTED_VALUE"""),2076.0)</f>
        <v>2076</v>
      </c>
    </row>
    <row r="130">
      <c r="A130" s="2">
        <f>IFERROR(__xludf.DUMMYFUNCTION("""COMPUTED_VALUE"""),41099.645833333336)</f>
        <v>41099.64583</v>
      </c>
      <c r="B130" s="1">
        <f>IFERROR(__xludf.DUMMYFUNCTION("""COMPUTED_VALUE"""),57500.0)</f>
        <v>57500</v>
      </c>
      <c r="C130" s="1">
        <f>IFERROR(__xludf.DUMMYFUNCTION("""COMPUTED_VALUE"""),57500.0)</f>
        <v>57500</v>
      </c>
      <c r="D130" s="1">
        <f>IFERROR(__xludf.DUMMYFUNCTION("""COMPUTED_VALUE"""),56500.0)</f>
        <v>56500</v>
      </c>
      <c r="E130" s="1">
        <f>IFERROR(__xludf.DUMMYFUNCTION("""COMPUTED_VALUE"""),56800.0)</f>
        <v>56800</v>
      </c>
      <c r="F130" s="1">
        <f>IFERROR(__xludf.DUMMYFUNCTION("""COMPUTED_VALUE"""),3448.0)</f>
        <v>3448</v>
      </c>
    </row>
    <row r="131">
      <c r="A131" s="2">
        <f>IFERROR(__xludf.DUMMYFUNCTION("""COMPUTED_VALUE"""),41100.645833333336)</f>
        <v>41100.64583</v>
      </c>
      <c r="B131" s="1">
        <f>IFERROR(__xludf.DUMMYFUNCTION("""COMPUTED_VALUE"""),56800.0)</f>
        <v>56800</v>
      </c>
      <c r="C131" s="1">
        <f>IFERROR(__xludf.DUMMYFUNCTION("""COMPUTED_VALUE"""),56800.0)</f>
        <v>56800</v>
      </c>
      <c r="D131" s="1">
        <f>IFERROR(__xludf.DUMMYFUNCTION("""COMPUTED_VALUE"""),55700.0)</f>
        <v>55700</v>
      </c>
      <c r="E131" s="1">
        <f>IFERROR(__xludf.DUMMYFUNCTION("""COMPUTED_VALUE"""),56200.0)</f>
        <v>56200</v>
      </c>
      <c r="F131" s="1">
        <f>IFERROR(__xludf.DUMMYFUNCTION("""COMPUTED_VALUE"""),8892.0)</f>
        <v>8892</v>
      </c>
    </row>
    <row r="132">
      <c r="A132" s="2">
        <f>IFERROR(__xludf.DUMMYFUNCTION("""COMPUTED_VALUE"""),41101.645833333336)</f>
        <v>41101.64583</v>
      </c>
      <c r="B132" s="1">
        <f>IFERROR(__xludf.DUMMYFUNCTION("""COMPUTED_VALUE"""),56200.0)</f>
        <v>56200</v>
      </c>
      <c r="C132" s="1">
        <f>IFERROR(__xludf.DUMMYFUNCTION("""COMPUTED_VALUE"""),56300.0)</f>
        <v>56300</v>
      </c>
      <c r="D132" s="1">
        <f>IFERROR(__xludf.DUMMYFUNCTION("""COMPUTED_VALUE"""),55600.0)</f>
        <v>55600</v>
      </c>
      <c r="E132" s="1">
        <f>IFERROR(__xludf.DUMMYFUNCTION("""COMPUTED_VALUE"""),56100.0)</f>
        <v>56100</v>
      </c>
      <c r="F132" s="1">
        <f>IFERROR(__xludf.DUMMYFUNCTION("""COMPUTED_VALUE"""),4657.0)</f>
        <v>4657</v>
      </c>
    </row>
    <row r="133">
      <c r="A133" s="2">
        <f>IFERROR(__xludf.DUMMYFUNCTION("""COMPUTED_VALUE"""),41102.645833333336)</f>
        <v>41102.64583</v>
      </c>
      <c r="B133" s="1">
        <f>IFERROR(__xludf.DUMMYFUNCTION("""COMPUTED_VALUE"""),56000.0)</f>
        <v>56000</v>
      </c>
      <c r="C133" s="1">
        <f>IFERROR(__xludf.DUMMYFUNCTION("""COMPUTED_VALUE"""),56300.0)</f>
        <v>56300</v>
      </c>
      <c r="D133" s="1">
        <f>IFERROR(__xludf.DUMMYFUNCTION("""COMPUTED_VALUE"""),55700.0)</f>
        <v>55700</v>
      </c>
      <c r="E133" s="1">
        <f>IFERROR(__xludf.DUMMYFUNCTION("""COMPUTED_VALUE"""),56100.0)</f>
        <v>56100</v>
      </c>
      <c r="F133" s="1">
        <f>IFERROR(__xludf.DUMMYFUNCTION("""COMPUTED_VALUE"""),3229.0)</f>
        <v>3229</v>
      </c>
    </row>
    <row r="134">
      <c r="A134" s="2">
        <f>IFERROR(__xludf.DUMMYFUNCTION("""COMPUTED_VALUE"""),41103.645833333336)</f>
        <v>41103.64583</v>
      </c>
      <c r="B134" s="1">
        <f>IFERROR(__xludf.DUMMYFUNCTION("""COMPUTED_VALUE"""),56300.0)</f>
        <v>56300</v>
      </c>
      <c r="C134" s="1">
        <f>IFERROR(__xludf.DUMMYFUNCTION("""COMPUTED_VALUE"""),56600.0)</f>
        <v>56600</v>
      </c>
      <c r="D134" s="1">
        <f>IFERROR(__xludf.DUMMYFUNCTION("""COMPUTED_VALUE"""),55800.0)</f>
        <v>55800</v>
      </c>
      <c r="E134" s="1">
        <f>IFERROR(__xludf.DUMMYFUNCTION("""COMPUTED_VALUE"""),56500.0)</f>
        <v>56500</v>
      </c>
      <c r="F134" s="1">
        <f>IFERROR(__xludf.DUMMYFUNCTION("""COMPUTED_VALUE"""),1729.0)</f>
        <v>1729</v>
      </c>
    </row>
    <row r="135">
      <c r="A135" s="2">
        <f>IFERROR(__xludf.DUMMYFUNCTION("""COMPUTED_VALUE"""),41106.645833333336)</f>
        <v>41106.64583</v>
      </c>
      <c r="B135" s="1">
        <f>IFERROR(__xludf.DUMMYFUNCTION("""COMPUTED_VALUE"""),56900.0)</f>
        <v>56900</v>
      </c>
      <c r="C135" s="1">
        <f>IFERROR(__xludf.DUMMYFUNCTION("""COMPUTED_VALUE"""),57300.0)</f>
        <v>57300</v>
      </c>
      <c r="D135" s="1">
        <f>IFERROR(__xludf.DUMMYFUNCTION("""COMPUTED_VALUE"""),56500.0)</f>
        <v>56500</v>
      </c>
      <c r="E135" s="1">
        <f>IFERROR(__xludf.DUMMYFUNCTION("""COMPUTED_VALUE"""),57100.0)</f>
        <v>57100</v>
      </c>
      <c r="F135" s="1">
        <f>IFERROR(__xludf.DUMMYFUNCTION("""COMPUTED_VALUE"""),1888.0)</f>
        <v>1888</v>
      </c>
    </row>
    <row r="136">
      <c r="A136" s="2">
        <f>IFERROR(__xludf.DUMMYFUNCTION("""COMPUTED_VALUE"""),41107.645833333336)</f>
        <v>41107.64583</v>
      </c>
      <c r="B136" s="1">
        <f>IFERROR(__xludf.DUMMYFUNCTION("""COMPUTED_VALUE"""),57100.0)</f>
        <v>57100</v>
      </c>
      <c r="C136" s="1">
        <f>IFERROR(__xludf.DUMMYFUNCTION("""COMPUTED_VALUE"""),57400.0)</f>
        <v>57400</v>
      </c>
      <c r="D136" s="1">
        <f>IFERROR(__xludf.DUMMYFUNCTION("""COMPUTED_VALUE"""),56600.0)</f>
        <v>56600</v>
      </c>
      <c r="E136" s="1">
        <f>IFERROR(__xludf.DUMMYFUNCTION("""COMPUTED_VALUE"""),57400.0)</f>
        <v>57400</v>
      </c>
      <c r="F136" s="1">
        <f>IFERROR(__xludf.DUMMYFUNCTION("""COMPUTED_VALUE"""),4679.0)</f>
        <v>4679</v>
      </c>
    </row>
    <row r="137">
      <c r="A137" s="2">
        <f>IFERROR(__xludf.DUMMYFUNCTION("""COMPUTED_VALUE"""),41108.645833333336)</f>
        <v>41108.64583</v>
      </c>
      <c r="B137" s="1">
        <f>IFERROR(__xludf.DUMMYFUNCTION("""COMPUTED_VALUE"""),57500.0)</f>
        <v>57500</v>
      </c>
      <c r="C137" s="1">
        <f>IFERROR(__xludf.DUMMYFUNCTION("""COMPUTED_VALUE"""),57500.0)</f>
        <v>57500</v>
      </c>
      <c r="D137" s="1">
        <f>IFERROR(__xludf.DUMMYFUNCTION("""COMPUTED_VALUE"""),55600.0)</f>
        <v>55600</v>
      </c>
      <c r="E137" s="1">
        <f>IFERROR(__xludf.DUMMYFUNCTION("""COMPUTED_VALUE"""),56700.0)</f>
        <v>56700</v>
      </c>
      <c r="F137" s="1">
        <f>IFERROR(__xludf.DUMMYFUNCTION("""COMPUTED_VALUE"""),9782.0)</f>
        <v>9782</v>
      </c>
    </row>
    <row r="138">
      <c r="A138" s="2">
        <f>IFERROR(__xludf.DUMMYFUNCTION("""COMPUTED_VALUE"""),41109.645833333336)</f>
        <v>41109.64583</v>
      </c>
      <c r="B138" s="1">
        <f>IFERROR(__xludf.DUMMYFUNCTION("""COMPUTED_VALUE"""),56800.0)</f>
        <v>56800</v>
      </c>
      <c r="C138" s="1">
        <f>IFERROR(__xludf.DUMMYFUNCTION("""COMPUTED_VALUE"""),56800.0)</f>
        <v>56800</v>
      </c>
      <c r="D138" s="1">
        <f>IFERROR(__xludf.DUMMYFUNCTION("""COMPUTED_VALUE"""),56000.0)</f>
        <v>56000</v>
      </c>
      <c r="E138" s="1">
        <f>IFERROR(__xludf.DUMMYFUNCTION("""COMPUTED_VALUE"""),56500.0)</f>
        <v>56500</v>
      </c>
      <c r="F138" s="1">
        <f>IFERROR(__xludf.DUMMYFUNCTION("""COMPUTED_VALUE"""),6912.0)</f>
        <v>6912</v>
      </c>
    </row>
    <row r="139">
      <c r="A139" s="2">
        <f>IFERROR(__xludf.DUMMYFUNCTION("""COMPUTED_VALUE"""),41110.645833333336)</f>
        <v>41110.64583</v>
      </c>
      <c r="B139" s="1">
        <f>IFERROR(__xludf.DUMMYFUNCTION("""COMPUTED_VALUE"""),56700.0)</f>
        <v>56700</v>
      </c>
      <c r="C139" s="1">
        <f>IFERROR(__xludf.DUMMYFUNCTION("""COMPUTED_VALUE"""),56900.0)</f>
        <v>56900</v>
      </c>
      <c r="D139" s="1">
        <f>IFERROR(__xludf.DUMMYFUNCTION("""COMPUTED_VALUE"""),56200.0)</f>
        <v>56200</v>
      </c>
      <c r="E139" s="1">
        <f>IFERROR(__xludf.DUMMYFUNCTION("""COMPUTED_VALUE"""),56500.0)</f>
        <v>56500</v>
      </c>
      <c r="F139" s="1">
        <f>IFERROR(__xludf.DUMMYFUNCTION("""COMPUTED_VALUE"""),3408.0)</f>
        <v>3408</v>
      </c>
    </row>
    <row r="140">
      <c r="A140" s="2">
        <f>IFERROR(__xludf.DUMMYFUNCTION("""COMPUTED_VALUE"""),41113.645833333336)</f>
        <v>41113.64583</v>
      </c>
      <c r="B140" s="1">
        <f>IFERROR(__xludf.DUMMYFUNCTION("""COMPUTED_VALUE"""),56700.0)</f>
        <v>56700</v>
      </c>
      <c r="C140" s="1">
        <f>IFERROR(__xludf.DUMMYFUNCTION("""COMPUTED_VALUE"""),56700.0)</f>
        <v>56700</v>
      </c>
      <c r="D140" s="1">
        <f>IFERROR(__xludf.DUMMYFUNCTION("""COMPUTED_VALUE"""),55600.0)</f>
        <v>55600</v>
      </c>
      <c r="E140" s="1">
        <f>IFERROR(__xludf.DUMMYFUNCTION("""COMPUTED_VALUE"""),56100.0)</f>
        <v>56100</v>
      </c>
      <c r="F140" s="1">
        <f>IFERROR(__xludf.DUMMYFUNCTION("""COMPUTED_VALUE"""),4981.0)</f>
        <v>4981</v>
      </c>
    </row>
    <row r="141">
      <c r="A141" s="2">
        <f>IFERROR(__xludf.DUMMYFUNCTION("""COMPUTED_VALUE"""),41114.645833333336)</f>
        <v>41114.64583</v>
      </c>
      <c r="B141" s="1">
        <f>IFERROR(__xludf.DUMMYFUNCTION("""COMPUTED_VALUE"""),56000.0)</f>
        <v>56000</v>
      </c>
      <c r="C141" s="1">
        <f>IFERROR(__xludf.DUMMYFUNCTION("""COMPUTED_VALUE"""),56100.0)</f>
        <v>56100</v>
      </c>
      <c r="D141" s="1">
        <f>IFERROR(__xludf.DUMMYFUNCTION("""COMPUTED_VALUE"""),54900.0)</f>
        <v>54900</v>
      </c>
      <c r="E141" s="1">
        <f>IFERROR(__xludf.DUMMYFUNCTION("""COMPUTED_VALUE"""),55400.0)</f>
        <v>55400</v>
      </c>
      <c r="F141" s="1">
        <f>IFERROR(__xludf.DUMMYFUNCTION("""COMPUTED_VALUE"""),7247.0)</f>
        <v>7247</v>
      </c>
    </row>
    <row r="142">
      <c r="A142" s="2">
        <f>IFERROR(__xludf.DUMMYFUNCTION("""COMPUTED_VALUE"""),41115.645833333336)</f>
        <v>41115.64583</v>
      </c>
      <c r="B142" s="1">
        <f>IFERROR(__xludf.DUMMYFUNCTION("""COMPUTED_VALUE"""),55400.0)</f>
        <v>55400</v>
      </c>
      <c r="C142" s="1">
        <f>IFERROR(__xludf.DUMMYFUNCTION("""COMPUTED_VALUE"""),55400.0)</f>
        <v>55400</v>
      </c>
      <c r="D142" s="1">
        <f>IFERROR(__xludf.DUMMYFUNCTION("""COMPUTED_VALUE"""),54900.0)</f>
        <v>54900</v>
      </c>
      <c r="E142" s="1">
        <f>IFERROR(__xludf.DUMMYFUNCTION("""COMPUTED_VALUE"""),55400.0)</f>
        <v>55400</v>
      </c>
      <c r="F142" s="1">
        <f>IFERROR(__xludf.DUMMYFUNCTION("""COMPUTED_VALUE"""),3240.0)</f>
        <v>3240</v>
      </c>
    </row>
    <row r="143">
      <c r="A143" s="2">
        <f>IFERROR(__xludf.DUMMYFUNCTION("""COMPUTED_VALUE"""),41116.645833333336)</f>
        <v>41116.64583</v>
      </c>
      <c r="B143" s="1">
        <f>IFERROR(__xludf.DUMMYFUNCTION("""COMPUTED_VALUE"""),55800.0)</f>
        <v>55800</v>
      </c>
      <c r="C143" s="1">
        <f>IFERROR(__xludf.DUMMYFUNCTION("""COMPUTED_VALUE"""),55800.0)</f>
        <v>55800</v>
      </c>
      <c r="D143" s="1">
        <f>IFERROR(__xludf.DUMMYFUNCTION("""COMPUTED_VALUE"""),54900.0)</f>
        <v>54900</v>
      </c>
      <c r="E143" s="1">
        <f>IFERROR(__xludf.DUMMYFUNCTION("""COMPUTED_VALUE"""),55300.0)</f>
        <v>55300</v>
      </c>
      <c r="F143" s="1">
        <f>IFERROR(__xludf.DUMMYFUNCTION("""COMPUTED_VALUE"""),43613.0)</f>
        <v>43613</v>
      </c>
    </row>
    <row r="144">
      <c r="A144" s="2">
        <f>IFERROR(__xludf.DUMMYFUNCTION("""COMPUTED_VALUE"""),41117.645833333336)</f>
        <v>41117.64583</v>
      </c>
      <c r="B144" s="1">
        <f>IFERROR(__xludf.DUMMYFUNCTION("""COMPUTED_VALUE"""),55700.0)</f>
        <v>55700</v>
      </c>
      <c r="C144" s="1">
        <f>IFERROR(__xludf.DUMMYFUNCTION("""COMPUTED_VALUE"""),55900.0)</f>
        <v>55900</v>
      </c>
      <c r="D144" s="1">
        <f>IFERROR(__xludf.DUMMYFUNCTION("""COMPUTED_VALUE"""),55100.0)</f>
        <v>55100</v>
      </c>
      <c r="E144" s="1">
        <f>IFERROR(__xludf.DUMMYFUNCTION("""COMPUTED_VALUE"""),55600.0)</f>
        <v>55600</v>
      </c>
      <c r="F144" s="1">
        <f>IFERROR(__xludf.DUMMYFUNCTION("""COMPUTED_VALUE"""),2906.0)</f>
        <v>2906</v>
      </c>
    </row>
    <row r="145">
      <c r="A145" s="2">
        <f>IFERROR(__xludf.DUMMYFUNCTION("""COMPUTED_VALUE"""),41120.645833333336)</f>
        <v>41120.64583</v>
      </c>
      <c r="B145" s="1">
        <f>IFERROR(__xludf.DUMMYFUNCTION("""COMPUTED_VALUE"""),55900.0)</f>
        <v>55900</v>
      </c>
      <c r="C145" s="1">
        <f>IFERROR(__xludf.DUMMYFUNCTION("""COMPUTED_VALUE"""),55900.0)</f>
        <v>55900</v>
      </c>
      <c r="D145" s="1">
        <f>IFERROR(__xludf.DUMMYFUNCTION("""COMPUTED_VALUE"""),55400.0)</f>
        <v>55400</v>
      </c>
      <c r="E145" s="1">
        <f>IFERROR(__xludf.DUMMYFUNCTION("""COMPUTED_VALUE"""),55600.0)</f>
        <v>55600</v>
      </c>
      <c r="F145" s="1">
        <f>IFERROR(__xludf.DUMMYFUNCTION("""COMPUTED_VALUE"""),1930.0)</f>
        <v>1930</v>
      </c>
    </row>
    <row r="146">
      <c r="A146" s="2">
        <f>IFERROR(__xludf.DUMMYFUNCTION("""COMPUTED_VALUE"""),41121.645833333336)</f>
        <v>41121.64583</v>
      </c>
      <c r="B146" s="1">
        <f>IFERROR(__xludf.DUMMYFUNCTION("""COMPUTED_VALUE"""),55600.0)</f>
        <v>55600</v>
      </c>
      <c r="C146" s="1">
        <f>IFERROR(__xludf.DUMMYFUNCTION("""COMPUTED_VALUE"""),55600.0)</f>
        <v>55600</v>
      </c>
      <c r="D146" s="1">
        <f>IFERROR(__xludf.DUMMYFUNCTION("""COMPUTED_VALUE"""),54900.0)</f>
        <v>54900</v>
      </c>
      <c r="E146" s="1">
        <f>IFERROR(__xludf.DUMMYFUNCTION("""COMPUTED_VALUE"""),55000.0)</f>
        <v>55000</v>
      </c>
      <c r="F146" s="1">
        <f>IFERROR(__xludf.DUMMYFUNCTION("""COMPUTED_VALUE"""),46781.0)</f>
        <v>46781</v>
      </c>
    </row>
    <row r="147">
      <c r="A147" s="2">
        <f>IFERROR(__xludf.DUMMYFUNCTION("""COMPUTED_VALUE"""),41122.645833333336)</f>
        <v>41122.64583</v>
      </c>
      <c r="B147" s="1">
        <f>IFERROR(__xludf.DUMMYFUNCTION("""COMPUTED_VALUE"""),55000.0)</f>
        <v>55000</v>
      </c>
      <c r="C147" s="1">
        <f>IFERROR(__xludf.DUMMYFUNCTION("""COMPUTED_VALUE"""),55300.0)</f>
        <v>55300</v>
      </c>
      <c r="D147" s="1">
        <f>IFERROR(__xludf.DUMMYFUNCTION("""COMPUTED_VALUE"""),54600.0)</f>
        <v>54600</v>
      </c>
      <c r="E147" s="1">
        <f>IFERROR(__xludf.DUMMYFUNCTION("""COMPUTED_VALUE"""),55300.0)</f>
        <v>55300</v>
      </c>
      <c r="F147" s="1">
        <f>IFERROR(__xludf.DUMMYFUNCTION("""COMPUTED_VALUE"""),2721.0)</f>
        <v>2721</v>
      </c>
    </row>
    <row r="148">
      <c r="A148" s="2">
        <f>IFERROR(__xludf.DUMMYFUNCTION("""COMPUTED_VALUE"""),41123.645833333336)</f>
        <v>41123.64583</v>
      </c>
      <c r="B148" s="1">
        <f>IFERROR(__xludf.DUMMYFUNCTION("""COMPUTED_VALUE"""),55400.0)</f>
        <v>55400</v>
      </c>
      <c r="C148" s="1">
        <f>IFERROR(__xludf.DUMMYFUNCTION("""COMPUTED_VALUE"""),55800.0)</f>
        <v>55800</v>
      </c>
      <c r="D148" s="1">
        <f>IFERROR(__xludf.DUMMYFUNCTION("""COMPUTED_VALUE"""),55200.0)</f>
        <v>55200</v>
      </c>
      <c r="E148" s="1">
        <f>IFERROR(__xludf.DUMMYFUNCTION("""COMPUTED_VALUE"""),55700.0)</f>
        <v>55700</v>
      </c>
      <c r="F148" s="1">
        <f>IFERROR(__xludf.DUMMYFUNCTION("""COMPUTED_VALUE"""),3336.0)</f>
        <v>3336</v>
      </c>
    </row>
    <row r="149">
      <c r="A149" s="2">
        <f>IFERROR(__xludf.DUMMYFUNCTION("""COMPUTED_VALUE"""),41124.645833333336)</f>
        <v>41124.64583</v>
      </c>
      <c r="B149" s="1">
        <f>IFERROR(__xludf.DUMMYFUNCTION("""COMPUTED_VALUE"""),55400.0)</f>
        <v>55400</v>
      </c>
      <c r="C149" s="1">
        <f>IFERROR(__xludf.DUMMYFUNCTION("""COMPUTED_VALUE"""),55700.0)</f>
        <v>55700</v>
      </c>
      <c r="D149" s="1">
        <f>IFERROR(__xludf.DUMMYFUNCTION("""COMPUTED_VALUE"""),55300.0)</f>
        <v>55300</v>
      </c>
      <c r="E149" s="1">
        <f>IFERROR(__xludf.DUMMYFUNCTION("""COMPUTED_VALUE"""),55700.0)</f>
        <v>55700</v>
      </c>
      <c r="F149" s="1">
        <f>IFERROR(__xludf.DUMMYFUNCTION("""COMPUTED_VALUE"""),3466.0)</f>
        <v>3466</v>
      </c>
    </row>
    <row r="150">
      <c r="A150" s="2">
        <f>IFERROR(__xludf.DUMMYFUNCTION("""COMPUTED_VALUE"""),41127.645833333336)</f>
        <v>41127.64583</v>
      </c>
      <c r="B150" s="1">
        <f>IFERROR(__xludf.DUMMYFUNCTION("""COMPUTED_VALUE"""),55900.0)</f>
        <v>55900</v>
      </c>
      <c r="C150" s="1">
        <f>IFERROR(__xludf.DUMMYFUNCTION("""COMPUTED_VALUE"""),57000.0)</f>
        <v>57000</v>
      </c>
      <c r="D150" s="1">
        <f>IFERROR(__xludf.DUMMYFUNCTION("""COMPUTED_VALUE"""),55800.0)</f>
        <v>55800</v>
      </c>
      <c r="E150" s="1">
        <f>IFERROR(__xludf.DUMMYFUNCTION("""COMPUTED_VALUE"""),56700.0)</f>
        <v>56700</v>
      </c>
      <c r="F150" s="1">
        <f>IFERROR(__xludf.DUMMYFUNCTION("""COMPUTED_VALUE"""),7162.0)</f>
        <v>7162</v>
      </c>
    </row>
    <row r="151">
      <c r="A151" s="2">
        <f>IFERROR(__xludf.DUMMYFUNCTION("""COMPUTED_VALUE"""),41128.645833333336)</f>
        <v>41128.64583</v>
      </c>
      <c r="B151" s="1">
        <f>IFERROR(__xludf.DUMMYFUNCTION("""COMPUTED_VALUE"""),56900.0)</f>
        <v>56900</v>
      </c>
      <c r="C151" s="1">
        <f>IFERROR(__xludf.DUMMYFUNCTION("""COMPUTED_VALUE"""),57400.0)</f>
        <v>57400</v>
      </c>
      <c r="D151" s="1">
        <f>IFERROR(__xludf.DUMMYFUNCTION("""COMPUTED_VALUE"""),56900.0)</f>
        <v>56900</v>
      </c>
      <c r="E151" s="1">
        <f>IFERROR(__xludf.DUMMYFUNCTION("""COMPUTED_VALUE"""),56900.0)</f>
        <v>56900</v>
      </c>
      <c r="F151" s="1">
        <f>IFERROR(__xludf.DUMMYFUNCTION("""COMPUTED_VALUE"""),2385.0)</f>
        <v>2385</v>
      </c>
    </row>
    <row r="152">
      <c r="A152" s="2">
        <f>IFERROR(__xludf.DUMMYFUNCTION("""COMPUTED_VALUE"""),41129.645833333336)</f>
        <v>41129.64583</v>
      </c>
      <c r="B152" s="1">
        <f>IFERROR(__xludf.DUMMYFUNCTION("""COMPUTED_VALUE"""),57300.0)</f>
        <v>57300</v>
      </c>
      <c r="C152" s="1">
        <f>IFERROR(__xludf.DUMMYFUNCTION("""COMPUTED_VALUE"""),57500.0)</f>
        <v>57500</v>
      </c>
      <c r="D152" s="1">
        <f>IFERROR(__xludf.DUMMYFUNCTION("""COMPUTED_VALUE"""),57000.0)</f>
        <v>57000</v>
      </c>
      <c r="E152" s="1">
        <f>IFERROR(__xludf.DUMMYFUNCTION("""COMPUTED_VALUE"""),57400.0)</f>
        <v>57400</v>
      </c>
      <c r="F152" s="1">
        <f>IFERROR(__xludf.DUMMYFUNCTION("""COMPUTED_VALUE"""),2128.0)</f>
        <v>2128</v>
      </c>
    </row>
    <row r="153">
      <c r="A153" s="2">
        <f>IFERROR(__xludf.DUMMYFUNCTION("""COMPUTED_VALUE"""),41130.645833333336)</f>
        <v>41130.64583</v>
      </c>
      <c r="B153" s="1">
        <f>IFERROR(__xludf.DUMMYFUNCTION("""COMPUTED_VALUE"""),57600.0)</f>
        <v>57600</v>
      </c>
      <c r="C153" s="1">
        <f>IFERROR(__xludf.DUMMYFUNCTION("""COMPUTED_VALUE"""),57800.0)</f>
        <v>57800</v>
      </c>
      <c r="D153" s="1">
        <f>IFERROR(__xludf.DUMMYFUNCTION("""COMPUTED_VALUE"""),57000.0)</f>
        <v>57000</v>
      </c>
      <c r="E153" s="1">
        <f>IFERROR(__xludf.DUMMYFUNCTION("""COMPUTED_VALUE"""),57600.0)</f>
        <v>57600</v>
      </c>
      <c r="F153" s="1">
        <f>IFERROR(__xludf.DUMMYFUNCTION("""COMPUTED_VALUE"""),2679.0)</f>
        <v>2679</v>
      </c>
    </row>
    <row r="154">
      <c r="A154" s="2">
        <f>IFERROR(__xludf.DUMMYFUNCTION("""COMPUTED_VALUE"""),41131.645833333336)</f>
        <v>41131.64583</v>
      </c>
      <c r="B154" s="1">
        <f>IFERROR(__xludf.DUMMYFUNCTION("""COMPUTED_VALUE"""),57600.0)</f>
        <v>57600</v>
      </c>
      <c r="C154" s="1">
        <f>IFERROR(__xludf.DUMMYFUNCTION("""COMPUTED_VALUE"""),57800.0)</f>
        <v>57800</v>
      </c>
      <c r="D154" s="1">
        <f>IFERROR(__xludf.DUMMYFUNCTION("""COMPUTED_VALUE"""),57100.0)</f>
        <v>57100</v>
      </c>
      <c r="E154" s="1">
        <f>IFERROR(__xludf.DUMMYFUNCTION("""COMPUTED_VALUE"""),57600.0)</f>
        <v>57600</v>
      </c>
      <c r="F154" s="1">
        <f>IFERROR(__xludf.DUMMYFUNCTION("""COMPUTED_VALUE"""),3091.0)</f>
        <v>3091</v>
      </c>
    </row>
    <row r="155">
      <c r="A155" s="2">
        <f>IFERROR(__xludf.DUMMYFUNCTION("""COMPUTED_VALUE"""),41134.645833333336)</f>
        <v>41134.64583</v>
      </c>
      <c r="B155" s="1">
        <f>IFERROR(__xludf.DUMMYFUNCTION("""COMPUTED_VALUE"""),57800.0)</f>
        <v>57800</v>
      </c>
      <c r="C155" s="1">
        <f>IFERROR(__xludf.DUMMYFUNCTION("""COMPUTED_VALUE"""),57800.0)</f>
        <v>57800</v>
      </c>
      <c r="D155" s="1">
        <f>IFERROR(__xludf.DUMMYFUNCTION("""COMPUTED_VALUE"""),57000.0)</f>
        <v>57000</v>
      </c>
      <c r="E155" s="1">
        <f>IFERROR(__xludf.DUMMYFUNCTION("""COMPUTED_VALUE"""),57700.0)</f>
        <v>57700</v>
      </c>
      <c r="F155" s="1">
        <f>IFERROR(__xludf.DUMMYFUNCTION("""COMPUTED_VALUE"""),2960.0)</f>
        <v>2960</v>
      </c>
    </row>
    <row r="156">
      <c r="A156" s="2">
        <f>IFERROR(__xludf.DUMMYFUNCTION("""COMPUTED_VALUE"""),41135.645833333336)</f>
        <v>41135.64583</v>
      </c>
      <c r="B156" s="1">
        <f>IFERROR(__xludf.DUMMYFUNCTION("""COMPUTED_VALUE"""),57700.0)</f>
        <v>57700</v>
      </c>
      <c r="C156" s="1">
        <f>IFERROR(__xludf.DUMMYFUNCTION("""COMPUTED_VALUE"""),57900.0)</f>
        <v>57900</v>
      </c>
      <c r="D156" s="1">
        <f>IFERROR(__xludf.DUMMYFUNCTION("""COMPUTED_VALUE"""),57600.0)</f>
        <v>57600</v>
      </c>
      <c r="E156" s="1">
        <f>IFERROR(__xludf.DUMMYFUNCTION("""COMPUTED_VALUE"""),57800.0)</f>
        <v>57800</v>
      </c>
      <c r="F156" s="1">
        <f>IFERROR(__xludf.DUMMYFUNCTION("""COMPUTED_VALUE"""),3149.0)</f>
        <v>3149</v>
      </c>
    </row>
    <row r="157">
      <c r="A157" s="2">
        <f>IFERROR(__xludf.DUMMYFUNCTION("""COMPUTED_VALUE"""),41137.645833333336)</f>
        <v>41137.64583</v>
      </c>
      <c r="B157" s="1">
        <f>IFERROR(__xludf.DUMMYFUNCTION("""COMPUTED_VALUE"""),58000.0)</f>
        <v>58000</v>
      </c>
      <c r="C157" s="1">
        <f>IFERROR(__xludf.DUMMYFUNCTION("""COMPUTED_VALUE"""),58000.0)</f>
        <v>58000</v>
      </c>
      <c r="D157" s="1">
        <f>IFERROR(__xludf.DUMMYFUNCTION("""COMPUTED_VALUE"""),57300.0)</f>
        <v>57300</v>
      </c>
      <c r="E157" s="1">
        <f>IFERROR(__xludf.DUMMYFUNCTION("""COMPUTED_VALUE"""),57700.0)</f>
        <v>57700</v>
      </c>
      <c r="F157" s="1">
        <f>IFERROR(__xludf.DUMMYFUNCTION("""COMPUTED_VALUE"""),2669.0)</f>
        <v>2669</v>
      </c>
    </row>
    <row r="158">
      <c r="A158" s="2">
        <f>IFERROR(__xludf.DUMMYFUNCTION("""COMPUTED_VALUE"""),41138.645833333336)</f>
        <v>41138.64583</v>
      </c>
      <c r="B158" s="1">
        <f>IFERROR(__xludf.DUMMYFUNCTION("""COMPUTED_VALUE"""),58000.0)</f>
        <v>58000</v>
      </c>
      <c r="C158" s="1">
        <f>IFERROR(__xludf.DUMMYFUNCTION("""COMPUTED_VALUE"""),58300.0)</f>
        <v>58300</v>
      </c>
      <c r="D158" s="1">
        <f>IFERROR(__xludf.DUMMYFUNCTION("""COMPUTED_VALUE"""),57700.0)</f>
        <v>57700</v>
      </c>
      <c r="E158" s="1">
        <f>IFERROR(__xludf.DUMMYFUNCTION("""COMPUTED_VALUE"""),58200.0)</f>
        <v>58200</v>
      </c>
      <c r="F158" s="1">
        <f>IFERROR(__xludf.DUMMYFUNCTION("""COMPUTED_VALUE"""),6609.0)</f>
        <v>6609</v>
      </c>
    </row>
    <row r="159">
      <c r="A159" s="2">
        <f>IFERROR(__xludf.DUMMYFUNCTION("""COMPUTED_VALUE"""),41141.645833333336)</f>
        <v>41141.64583</v>
      </c>
      <c r="B159" s="1">
        <f>IFERROR(__xludf.DUMMYFUNCTION("""COMPUTED_VALUE"""),58400.0)</f>
        <v>58400</v>
      </c>
      <c r="C159" s="1">
        <f>IFERROR(__xludf.DUMMYFUNCTION("""COMPUTED_VALUE"""),58500.0)</f>
        <v>58500</v>
      </c>
      <c r="D159" s="1">
        <f>IFERROR(__xludf.DUMMYFUNCTION("""COMPUTED_VALUE"""),57900.0)</f>
        <v>57900</v>
      </c>
      <c r="E159" s="1">
        <f>IFERROR(__xludf.DUMMYFUNCTION("""COMPUTED_VALUE"""),58200.0)</f>
        <v>58200</v>
      </c>
      <c r="F159" s="1">
        <f>IFERROR(__xludf.DUMMYFUNCTION("""COMPUTED_VALUE"""),2350.0)</f>
        <v>2350</v>
      </c>
    </row>
    <row r="160">
      <c r="A160" s="2">
        <f>IFERROR(__xludf.DUMMYFUNCTION("""COMPUTED_VALUE"""),41142.645833333336)</f>
        <v>41142.64583</v>
      </c>
      <c r="B160" s="1">
        <f>IFERROR(__xludf.DUMMYFUNCTION("""COMPUTED_VALUE"""),58200.0)</f>
        <v>58200</v>
      </c>
      <c r="C160" s="1">
        <f>IFERROR(__xludf.DUMMYFUNCTION("""COMPUTED_VALUE"""),58300.0)</f>
        <v>58300</v>
      </c>
      <c r="D160" s="1">
        <f>IFERROR(__xludf.DUMMYFUNCTION("""COMPUTED_VALUE"""),57800.0)</f>
        <v>57800</v>
      </c>
      <c r="E160" s="1">
        <f>IFERROR(__xludf.DUMMYFUNCTION("""COMPUTED_VALUE"""),58200.0)</f>
        <v>58200</v>
      </c>
      <c r="F160" s="1">
        <f>IFERROR(__xludf.DUMMYFUNCTION("""COMPUTED_VALUE"""),3222.0)</f>
        <v>3222</v>
      </c>
    </row>
    <row r="161">
      <c r="A161" s="2">
        <f>IFERROR(__xludf.DUMMYFUNCTION("""COMPUTED_VALUE"""),41143.645833333336)</f>
        <v>41143.64583</v>
      </c>
      <c r="B161" s="1">
        <f>IFERROR(__xludf.DUMMYFUNCTION("""COMPUTED_VALUE"""),58100.0)</f>
        <v>58100</v>
      </c>
      <c r="C161" s="1">
        <f>IFERROR(__xludf.DUMMYFUNCTION("""COMPUTED_VALUE"""),58100.0)</f>
        <v>58100</v>
      </c>
      <c r="D161" s="1">
        <f>IFERROR(__xludf.DUMMYFUNCTION("""COMPUTED_VALUE"""),57200.0)</f>
        <v>57200</v>
      </c>
      <c r="E161" s="1">
        <f>IFERROR(__xludf.DUMMYFUNCTION("""COMPUTED_VALUE"""),57800.0)</f>
        <v>57800</v>
      </c>
      <c r="F161" s="1">
        <f>IFERROR(__xludf.DUMMYFUNCTION("""COMPUTED_VALUE"""),7101.0)</f>
        <v>7101</v>
      </c>
    </row>
    <row r="162">
      <c r="A162" s="2">
        <f>IFERROR(__xludf.DUMMYFUNCTION("""COMPUTED_VALUE"""),41144.645833333336)</f>
        <v>41144.64583</v>
      </c>
      <c r="B162" s="1">
        <f>IFERROR(__xludf.DUMMYFUNCTION("""COMPUTED_VALUE"""),57800.0)</f>
        <v>57800</v>
      </c>
      <c r="C162" s="1">
        <f>IFERROR(__xludf.DUMMYFUNCTION("""COMPUTED_VALUE"""),58400.0)</f>
        <v>58400</v>
      </c>
      <c r="D162" s="1">
        <f>IFERROR(__xludf.DUMMYFUNCTION("""COMPUTED_VALUE"""),57500.0)</f>
        <v>57500</v>
      </c>
      <c r="E162" s="1">
        <f>IFERROR(__xludf.DUMMYFUNCTION("""COMPUTED_VALUE"""),58200.0)</f>
        <v>58200</v>
      </c>
      <c r="F162" s="1">
        <f>IFERROR(__xludf.DUMMYFUNCTION("""COMPUTED_VALUE"""),5200.0)</f>
        <v>5200</v>
      </c>
    </row>
    <row r="163">
      <c r="A163" s="2">
        <f>IFERROR(__xludf.DUMMYFUNCTION("""COMPUTED_VALUE"""),41145.645833333336)</f>
        <v>41145.64583</v>
      </c>
      <c r="B163" s="1">
        <f>IFERROR(__xludf.DUMMYFUNCTION("""COMPUTED_VALUE"""),58000.0)</f>
        <v>58000</v>
      </c>
      <c r="C163" s="1">
        <f>IFERROR(__xludf.DUMMYFUNCTION("""COMPUTED_VALUE"""),58300.0)</f>
        <v>58300</v>
      </c>
      <c r="D163" s="1">
        <f>IFERROR(__xludf.DUMMYFUNCTION("""COMPUTED_VALUE"""),57600.0)</f>
        <v>57600</v>
      </c>
      <c r="E163" s="1">
        <f>IFERROR(__xludf.DUMMYFUNCTION("""COMPUTED_VALUE"""),58100.0)</f>
        <v>58100</v>
      </c>
      <c r="F163" s="1">
        <f>IFERROR(__xludf.DUMMYFUNCTION("""COMPUTED_VALUE"""),3158.0)</f>
        <v>3158</v>
      </c>
    </row>
    <row r="164">
      <c r="A164" s="2">
        <f>IFERROR(__xludf.DUMMYFUNCTION("""COMPUTED_VALUE"""),41148.645833333336)</f>
        <v>41148.64583</v>
      </c>
      <c r="B164" s="1">
        <f>IFERROR(__xludf.DUMMYFUNCTION("""COMPUTED_VALUE"""),58200.0)</f>
        <v>58200</v>
      </c>
      <c r="C164" s="1">
        <f>IFERROR(__xludf.DUMMYFUNCTION("""COMPUTED_VALUE"""),59000.0)</f>
        <v>59000</v>
      </c>
      <c r="D164" s="1">
        <f>IFERROR(__xludf.DUMMYFUNCTION("""COMPUTED_VALUE"""),58100.0)</f>
        <v>58100</v>
      </c>
      <c r="E164" s="1">
        <f>IFERROR(__xludf.DUMMYFUNCTION("""COMPUTED_VALUE"""),58900.0)</f>
        <v>58900</v>
      </c>
      <c r="F164" s="1">
        <f>IFERROR(__xludf.DUMMYFUNCTION("""COMPUTED_VALUE"""),6191.0)</f>
        <v>6191</v>
      </c>
    </row>
    <row r="165">
      <c r="A165" s="2">
        <f>IFERROR(__xludf.DUMMYFUNCTION("""COMPUTED_VALUE"""),41149.645833333336)</f>
        <v>41149.64583</v>
      </c>
      <c r="B165" s="1">
        <f>IFERROR(__xludf.DUMMYFUNCTION("""COMPUTED_VALUE"""),59100.0)</f>
        <v>59100</v>
      </c>
      <c r="C165" s="1">
        <f>IFERROR(__xludf.DUMMYFUNCTION("""COMPUTED_VALUE"""),59200.0)</f>
        <v>59200</v>
      </c>
      <c r="D165" s="1">
        <f>IFERROR(__xludf.DUMMYFUNCTION("""COMPUTED_VALUE"""),58300.0)</f>
        <v>58300</v>
      </c>
      <c r="E165" s="1">
        <f>IFERROR(__xludf.DUMMYFUNCTION("""COMPUTED_VALUE"""),58600.0)</f>
        <v>58600</v>
      </c>
      <c r="F165" s="1">
        <f>IFERROR(__xludf.DUMMYFUNCTION("""COMPUTED_VALUE"""),1604.0)</f>
        <v>1604</v>
      </c>
    </row>
    <row r="166">
      <c r="A166" s="2">
        <f>IFERROR(__xludf.DUMMYFUNCTION("""COMPUTED_VALUE"""),41150.645833333336)</f>
        <v>41150.64583</v>
      </c>
      <c r="B166" s="1">
        <f>IFERROR(__xludf.DUMMYFUNCTION("""COMPUTED_VALUE"""),58500.0)</f>
        <v>58500</v>
      </c>
      <c r="C166" s="1">
        <f>IFERROR(__xludf.DUMMYFUNCTION("""COMPUTED_VALUE"""),59000.0)</f>
        <v>59000</v>
      </c>
      <c r="D166" s="1">
        <f>IFERROR(__xludf.DUMMYFUNCTION("""COMPUTED_VALUE"""),58300.0)</f>
        <v>58300</v>
      </c>
      <c r="E166" s="1">
        <f>IFERROR(__xludf.DUMMYFUNCTION("""COMPUTED_VALUE"""),58900.0)</f>
        <v>58900</v>
      </c>
      <c r="F166" s="1">
        <f>IFERROR(__xludf.DUMMYFUNCTION("""COMPUTED_VALUE"""),9450.0)</f>
        <v>9450</v>
      </c>
    </row>
    <row r="167">
      <c r="A167" s="2">
        <f>IFERROR(__xludf.DUMMYFUNCTION("""COMPUTED_VALUE"""),41151.645833333336)</f>
        <v>41151.64583</v>
      </c>
      <c r="B167" s="1">
        <f>IFERROR(__xludf.DUMMYFUNCTION("""COMPUTED_VALUE"""),58900.0)</f>
        <v>58900</v>
      </c>
      <c r="C167" s="1">
        <f>IFERROR(__xludf.DUMMYFUNCTION("""COMPUTED_VALUE"""),59000.0)</f>
        <v>59000</v>
      </c>
      <c r="D167" s="1">
        <f>IFERROR(__xludf.DUMMYFUNCTION("""COMPUTED_VALUE"""),58300.0)</f>
        <v>58300</v>
      </c>
      <c r="E167" s="1">
        <f>IFERROR(__xludf.DUMMYFUNCTION("""COMPUTED_VALUE"""),58700.0)</f>
        <v>58700</v>
      </c>
      <c r="F167" s="1">
        <f>IFERROR(__xludf.DUMMYFUNCTION("""COMPUTED_VALUE"""),5015.0)</f>
        <v>5015</v>
      </c>
    </row>
    <row r="168">
      <c r="A168" s="2">
        <f>IFERROR(__xludf.DUMMYFUNCTION("""COMPUTED_VALUE"""),41152.645833333336)</f>
        <v>41152.64583</v>
      </c>
      <c r="B168" s="1">
        <f>IFERROR(__xludf.DUMMYFUNCTION("""COMPUTED_VALUE"""),58900.0)</f>
        <v>58900</v>
      </c>
      <c r="C168" s="1">
        <f>IFERROR(__xludf.DUMMYFUNCTION("""COMPUTED_VALUE"""),58900.0)</f>
        <v>58900</v>
      </c>
      <c r="D168" s="1">
        <f>IFERROR(__xludf.DUMMYFUNCTION("""COMPUTED_VALUE"""),58400.0)</f>
        <v>58400</v>
      </c>
      <c r="E168" s="1">
        <f>IFERROR(__xludf.DUMMYFUNCTION("""COMPUTED_VALUE"""),58700.0)</f>
        <v>58700</v>
      </c>
      <c r="F168" s="1">
        <f>IFERROR(__xludf.DUMMYFUNCTION("""COMPUTED_VALUE"""),649.0)</f>
        <v>649</v>
      </c>
    </row>
    <row r="169">
      <c r="A169" s="2">
        <f>IFERROR(__xludf.DUMMYFUNCTION("""COMPUTED_VALUE"""),41155.645833333336)</f>
        <v>41155.64583</v>
      </c>
      <c r="B169" s="1">
        <f>IFERROR(__xludf.DUMMYFUNCTION("""COMPUTED_VALUE"""),58900.0)</f>
        <v>58900</v>
      </c>
      <c r="C169" s="1">
        <f>IFERROR(__xludf.DUMMYFUNCTION("""COMPUTED_VALUE"""),58900.0)</f>
        <v>58900</v>
      </c>
      <c r="D169" s="1">
        <f>IFERROR(__xludf.DUMMYFUNCTION("""COMPUTED_VALUE"""),57500.0)</f>
        <v>57500</v>
      </c>
      <c r="E169" s="1">
        <f>IFERROR(__xludf.DUMMYFUNCTION("""COMPUTED_VALUE"""),58900.0)</f>
        <v>58900</v>
      </c>
      <c r="F169" s="1">
        <f>IFERROR(__xludf.DUMMYFUNCTION("""COMPUTED_VALUE"""),9488.0)</f>
        <v>9488</v>
      </c>
    </row>
    <row r="170">
      <c r="A170" s="2">
        <f>IFERROR(__xludf.DUMMYFUNCTION("""COMPUTED_VALUE"""),41156.645833333336)</f>
        <v>41156.64583</v>
      </c>
      <c r="B170" s="1">
        <f>IFERROR(__xludf.DUMMYFUNCTION("""COMPUTED_VALUE"""),58900.0)</f>
        <v>58900</v>
      </c>
      <c r="C170" s="1">
        <f>IFERROR(__xludf.DUMMYFUNCTION("""COMPUTED_VALUE"""),58900.0)</f>
        <v>58900</v>
      </c>
      <c r="D170" s="1">
        <f>IFERROR(__xludf.DUMMYFUNCTION("""COMPUTED_VALUE"""),58300.0)</f>
        <v>58300</v>
      </c>
      <c r="E170" s="1">
        <f>IFERROR(__xludf.DUMMYFUNCTION("""COMPUTED_VALUE"""),58600.0)</f>
        <v>58600</v>
      </c>
      <c r="F170" s="1">
        <f>IFERROR(__xludf.DUMMYFUNCTION("""COMPUTED_VALUE"""),2456.0)</f>
        <v>2456</v>
      </c>
    </row>
    <row r="171">
      <c r="A171" s="2">
        <f>IFERROR(__xludf.DUMMYFUNCTION("""COMPUTED_VALUE"""),41157.645833333336)</f>
        <v>41157.64583</v>
      </c>
      <c r="B171" s="1">
        <f>IFERROR(__xludf.DUMMYFUNCTION("""COMPUTED_VALUE"""),58600.0)</f>
        <v>58600</v>
      </c>
      <c r="C171" s="1">
        <f>IFERROR(__xludf.DUMMYFUNCTION("""COMPUTED_VALUE"""),58600.0)</f>
        <v>58600</v>
      </c>
      <c r="D171" s="1">
        <f>IFERROR(__xludf.DUMMYFUNCTION("""COMPUTED_VALUE"""),58100.0)</f>
        <v>58100</v>
      </c>
      <c r="E171" s="1">
        <f>IFERROR(__xludf.DUMMYFUNCTION("""COMPUTED_VALUE"""),58200.0)</f>
        <v>58200</v>
      </c>
      <c r="F171" s="1">
        <f>IFERROR(__xludf.DUMMYFUNCTION("""COMPUTED_VALUE"""),909.0)</f>
        <v>909</v>
      </c>
    </row>
    <row r="172">
      <c r="A172" s="2">
        <f>IFERROR(__xludf.DUMMYFUNCTION("""COMPUTED_VALUE"""),41158.645833333336)</f>
        <v>41158.64583</v>
      </c>
      <c r="B172" s="1">
        <f>IFERROR(__xludf.DUMMYFUNCTION("""COMPUTED_VALUE"""),58300.0)</f>
        <v>58300</v>
      </c>
      <c r="C172" s="1">
        <f>IFERROR(__xludf.DUMMYFUNCTION("""COMPUTED_VALUE"""),58400.0)</f>
        <v>58400</v>
      </c>
      <c r="D172" s="1">
        <f>IFERROR(__xludf.DUMMYFUNCTION("""COMPUTED_VALUE"""),58000.0)</f>
        <v>58000</v>
      </c>
      <c r="E172" s="1">
        <f>IFERROR(__xludf.DUMMYFUNCTION("""COMPUTED_VALUE"""),58100.0)</f>
        <v>58100</v>
      </c>
      <c r="F172" s="1">
        <f>IFERROR(__xludf.DUMMYFUNCTION("""COMPUTED_VALUE"""),3052.0)</f>
        <v>3052</v>
      </c>
    </row>
    <row r="173">
      <c r="A173" s="2">
        <f>IFERROR(__xludf.DUMMYFUNCTION("""COMPUTED_VALUE"""),41159.645833333336)</f>
        <v>41159.64583</v>
      </c>
      <c r="B173" s="1">
        <f>IFERROR(__xludf.DUMMYFUNCTION("""COMPUTED_VALUE"""),58700.0)</f>
        <v>58700</v>
      </c>
      <c r="C173" s="1">
        <f>IFERROR(__xludf.DUMMYFUNCTION("""COMPUTED_VALUE"""),58900.0)</f>
        <v>58900</v>
      </c>
      <c r="D173" s="1">
        <f>IFERROR(__xludf.DUMMYFUNCTION("""COMPUTED_VALUE"""),58300.0)</f>
        <v>58300</v>
      </c>
      <c r="E173" s="1">
        <f>IFERROR(__xludf.DUMMYFUNCTION("""COMPUTED_VALUE"""),58900.0)</f>
        <v>58900</v>
      </c>
      <c r="F173" s="1">
        <f>IFERROR(__xludf.DUMMYFUNCTION("""COMPUTED_VALUE"""),4313.0)</f>
        <v>4313</v>
      </c>
    </row>
    <row r="174">
      <c r="A174" s="2">
        <f>IFERROR(__xludf.DUMMYFUNCTION("""COMPUTED_VALUE"""),41162.645833333336)</f>
        <v>41162.64583</v>
      </c>
      <c r="B174" s="1">
        <f>IFERROR(__xludf.DUMMYFUNCTION("""COMPUTED_VALUE"""),59000.0)</f>
        <v>59000</v>
      </c>
      <c r="C174" s="1">
        <f>IFERROR(__xludf.DUMMYFUNCTION("""COMPUTED_VALUE"""),59100.0)</f>
        <v>59100</v>
      </c>
      <c r="D174" s="1">
        <f>IFERROR(__xludf.DUMMYFUNCTION("""COMPUTED_VALUE"""),58400.0)</f>
        <v>58400</v>
      </c>
      <c r="E174" s="1">
        <f>IFERROR(__xludf.DUMMYFUNCTION("""COMPUTED_VALUE"""),58700.0)</f>
        <v>58700</v>
      </c>
      <c r="F174" s="1">
        <f>IFERROR(__xludf.DUMMYFUNCTION("""COMPUTED_VALUE"""),2056.0)</f>
        <v>2056</v>
      </c>
    </row>
    <row r="175">
      <c r="A175" s="2">
        <f>IFERROR(__xludf.DUMMYFUNCTION("""COMPUTED_VALUE"""),41163.645833333336)</f>
        <v>41163.64583</v>
      </c>
      <c r="B175" s="1">
        <f>IFERROR(__xludf.DUMMYFUNCTION("""COMPUTED_VALUE"""),58700.0)</f>
        <v>58700</v>
      </c>
      <c r="C175" s="1">
        <f>IFERROR(__xludf.DUMMYFUNCTION("""COMPUTED_VALUE"""),58900.0)</f>
        <v>58900</v>
      </c>
      <c r="D175" s="1">
        <f>IFERROR(__xludf.DUMMYFUNCTION("""COMPUTED_VALUE"""),58600.0)</f>
        <v>58600</v>
      </c>
      <c r="E175" s="1">
        <f>IFERROR(__xludf.DUMMYFUNCTION("""COMPUTED_VALUE"""),58600.0)</f>
        <v>58600</v>
      </c>
      <c r="F175" s="1">
        <f>IFERROR(__xludf.DUMMYFUNCTION("""COMPUTED_VALUE"""),2094.0)</f>
        <v>2094</v>
      </c>
    </row>
    <row r="176">
      <c r="A176" s="2">
        <f>IFERROR(__xludf.DUMMYFUNCTION("""COMPUTED_VALUE"""),41164.645833333336)</f>
        <v>41164.64583</v>
      </c>
      <c r="B176" s="1">
        <f>IFERROR(__xludf.DUMMYFUNCTION("""COMPUTED_VALUE"""),58900.0)</f>
        <v>58900</v>
      </c>
      <c r="C176" s="1">
        <f>IFERROR(__xludf.DUMMYFUNCTION("""COMPUTED_VALUE"""),58900.0)</f>
        <v>58900</v>
      </c>
      <c r="D176" s="1">
        <f>IFERROR(__xludf.DUMMYFUNCTION("""COMPUTED_VALUE"""),58600.0)</f>
        <v>58600</v>
      </c>
      <c r="E176" s="1">
        <f>IFERROR(__xludf.DUMMYFUNCTION("""COMPUTED_VALUE"""),58900.0)</f>
        <v>58900</v>
      </c>
      <c r="F176" s="1">
        <f>IFERROR(__xludf.DUMMYFUNCTION("""COMPUTED_VALUE"""),2182.0)</f>
        <v>2182</v>
      </c>
    </row>
    <row r="177">
      <c r="A177" s="2">
        <f>IFERROR(__xludf.DUMMYFUNCTION("""COMPUTED_VALUE"""),41165.645833333336)</f>
        <v>41165.64583</v>
      </c>
      <c r="B177" s="1">
        <f>IFERROR(__xludf.DUMMYFUNCTION("""COMPUTED_VALUE"""),58900.0)</f>
        <v>58900</v>
      </c>
      <c r="C177" s="1">
        <f>IFERROR(__xludf.DUMMYFUNCTION("""COMPUTED_VALUE"""),59000.0)</f>
        <v>59000</v>
      </c>
      <c r="D177" s="1">
        <f>IFERROR(__xludf.DUMMYFUNCTION("""COMPUTED_VALUE"""),58500.0)</f>
        <v>58500</v>
      </c>
      <c r="E177" s="1">
        <f>IFERROR(__xludf.DUMMYFUNCTION("""COMPUTED_VALUE"""),58900.0)</f>
        <v>58900</v>
      </c>
      <c r="F177" s="1">
        <f>IFERROR(__xludf.DUMMYFUNCTION("""COMPUTED_VALUE"""),2571.0)</f>
        <v>2571</v>
      </c>
    </row>
    <row r="178">
      <c r="A178" s="2">
        <f>IFERROR(__xludf.DUMMYFUNCTION("""COMPUTED_VALUE"""),41166.645833333336)</f>
        <v>41166.64583</v>
      </c>
      <c r="B178" s="1">
        <f>IFERROR(__xludf.DUMMYFUNCTION("""COMPUTED_VALUE"""),59200.0)</f>
        <v>59200</v>
      </c>
      <c r="C178" s="1">
        <f>IFERROR(__xludf.DUMMYFUNCTION("""COMPUTED_VALUE"""),59900.0)</f>
        <v>59900</v>
      </c>
      <c r="D178" s="1">
        <f>IFERROR(__xludf.DUMMYFUNCTION("""COMPUTED_VALUE"""),59200.0)</f>
        <v>59200</v>
      </c>
      <c r="E178" s="1">
        <f>IFERROR(__xludf.DUMMYFUNCTION("""COMPUTED_VALUE"""),59900.0)</f>
        <v>59900</v>
      </c>
      <c r="F178" s="1">
        <f>IFERROR(__xludf.DUMMYFUNCTION("""COMPUTED_VALUE"""),16833.0)</f>
        <v>16833</v>
      </c>
    </row>
    <row r="179">
      <c r="A179" s="2">
        <f>IFERROR(__xludf.DUMMYFUNCTION("""COMPUTED_VALUE"""),41169.645833333336)</f>
        <v>41169.64583</v>
      </c>
      <c r="B179" s="1">
        <f>IFERROR(__xludf.DUMMYFUNCTION("""COMPUTED_VALUE"""),59900.0)</f>
        <v>59900</v>
      </c>
      <c r="C179" s="1">
        <f>IFERROR(__xludf.DUMMYFUNCTION("""COMPUTED_VALUE"""),60300.0)</f>
        <v>60300</v>
      </c>
      <c r="D179" s="1">
        <f>IFERROR(__xludf.DUMMYFUNCTION("""COMPUTED_VALUE"""),59500.0)</f>
        <v>59500</v>
      </c>
      <c r="E179" s="1">
        <f>IFERROR(__xludf.DUMMYFUNCTION("""COMPUTED_VALUE"""),60000.0)</f>
        <v>60000</v>
      </c>
      <c r="F179" s="1">
        <f>IFERROR(__xludf.DUMMYFUNCTION("""COMPUTED_VALUE"""),4697.0)</f>
        <v>4697</v>
      </c>
    </row>
    <row r="180">
      <c r="A180" s="2">
        <f>IFERROR(__xludf.DUMMYFUNCTION("""COMPUTED_VALUE"""),41170.645833333336)</f>
        <v>41170.64583</v>
      </c>
      <c r="B180" s="1">
        <f>IFERROR(__xludf.DUMMYFUNCTION("""COMPUTED_VALUE"""),59800.0)</f>
        <v>59800</v>
      </c>
      <c r="C180" s="1">
        <f>IFERROR(__xludf.DUMMYFUNCTION("""COMPUTED_VALUE"""),60400.0)</f>
        <v>60400</v>
      </c>
      <c r="D180" s="1">
        <f>IFERROR(__xludf.DUMMYFUNCTION("""COMPUTED_VALUE"""),59700.0)</f>
        <v>59700</v>
      </c>
      <c r="E180" s="1">
        <f>IFERROR(__xludf.DUMMYFUNCTION("""COMPUTED_VALUE"""),60400.0)</f>
        <v>60400</v>
      </c>
      <c r="F180" s="1">
        <f>IFERROR(__xludf.DUMMYFUNCTION("""COMPUTED_VALUE"""),7754.0)</f>
        <v>7754</v>
      </c>
    </row>
    <row r="181">
      <c r="A181" s="2">
        <f>IFERROR(__xludf.DUMMYFUNCTION("""COMPUTED_VALUE"""),41171.645833333336)</f>
        <v>41171.64583</v>
      </c>
      <c r="B181" s="1">
        <f>IFERROR(__xludf.DUMMYFUNCTION("""COMPUTED_VALUE"""),60400.0)</f>
        <v>60400</v>
      </c>
      <c r="C181" s="1">
        <f>IFERROR(__xludf.DUMMYFUNCTION("""COMPUTED_VALUE"""),60900.0)</f>
        <v>60900</v>
      </c>
      <c r="D181" s="1">
        <f>IFERROR(__xludf.DUMMYFUNCTION("""COMPUTED_VALUE"""),60100.0)</f>
        <v>60100</v>
      </c>
      <c r="E181" s="1">
        <f>IFERROR(__xludf.DUMMYFUNCTION("""COMPUTED_VALUE"""),60700.0)</f>
        <v>60700</v>
      </c>
      <c r="F181" s="1">
        <f>IFERROR(__xludf.DUMMYFUNCTION("""COMPUTED_VALUE"""),15278.0)</f>
        <v>15278</v>
      </c>
    </row>
    <row r="182">
      <c r="A182" s="2">
        <f>IFERROR(__xludf.DUMMYFUNCTION("""COMPUTED_VALUE"""),41172.645833333336)</f>
        <v>41172.64583</v>
      </c>
      <c r="B182" s="1">
        <f>IFERROR(__xludf.DUMMYFUNCTION("""COMPUTED_VALUE"""),60700.0)</f>
        <v>60700</v>
      </c>
      <c r="C182" s="1">
        <f>IFERROR(__xludf.DUMMYFUNCTION("""COMPUTED_VALUE"""),61800.0)</f>
        <v>61800</v>
      </c>
      <c r="D182" s="1">
        <f>IFERROR(__xludf.DUMMYFUNCTION("""COMPUTED_VALUE"""),60300.0)</f>
        <v>60300</v>
      </c>
      <c r="E182" s="1">
        <f>IFERROR(__xludf.DUMMYFUNCTION("""COMPUTED_VALUE"""),61800.0)</f>
        <v>61800</v>
      </c>
      <c r="F182" s="1">
        <f>IFERROR(__xludf.DUMMYFUNCTION("""COMPUTED_VALUE"""),18202.0)</f>
        <v>18202</v>
      </c>
    </row>
    <row r="183">
      <c r="A183" s="2">
        <f>IFERROR(__xludf.DUMMYFUNCTION("""COMPUTED_VALUE"""),41173.645833333336)</f>
        <v>41173.64583</v>
      </c>
      <c r="B183" s="1">
        <f>IFERROR(__xludf.DUMMYFUNCTION("""COMPUTED_VALUE"""),61800.0)</f>
        <v>61800</v>
      </c>
      <c r="C183" s="1">
        <f>IFERROR(__xludf.DUMMYFUNCTION("""COMPUTED_VALUE"""),62000.0)</f>
        <v>62000</v>
      </c>
      <c r="D183" s="1">
        <f>IFERROR(__xludf.DUMMYFUNCTION("""COMPUTED_VALUE"""),60800.0)</f>
        <v>60800</v>
      </c>
      <c r="E183" s="1">
        <f>IFERROR(__xludf.DUMMYFUNCTION("""COMPUTED_VALUE"""),60900.0)</f>
        <v>60900</v>
      </c>
      <c r="F183" s="1">
        <f>IFERROR(__xludf.DUMMYFUNCTION("""COMPUTED_VALUE"""),7484.0)</f>
        <v>7484</v>
      </c>
    </row>
    <row r="184">
      <c r="A184" s="2">
        <f>IFERROR(__xludf.DUMMYFUNCTION("""COMPUTED_VALUE"""),41176.645833333336)</f>
        <v>41176.64583</v>
      </c>
      <c r="B184" s="1">
        <f>IFERROR(__xludf.DUMMYFUNCTION("""COMPUTED_VALUE"""),60600.0)</f>
        <v>60600</v>
      </c>
      <c r="C184" s="1">
        <f>IFERROR(__xludf.DUMMYFUNCTION("""COMPUTED_VALUE"""),61500.0)</f>
        <v>61500</v>
      </c>
      <c r="D184" s="1">
        <f>IFERROR(__xludf.DUMMYFUNCTION("""COMPUTED_VALUE"""),60100.0)</f>
        <v>60100</v>
      </c>
      <c r="E184" s="1">
        <f>IFERROR(__xludf.DUMMYFUNCTION("""COMPUTED_VALUE"""),61500.0)</f>
        <v>61500</v>
      </c>
      <c r="F184" s="1">
        <f>IFERROR(__xludf.DUMMYFUNCTION("""COMPUTED_VALUE"""),8283.0)</f>
        <v>8283</v>
      </c>
    </row>
    <row r="185">
      <c r="A185" s="2">
        <f>IFERROR(__xludf.DUMMYFUNCTION("""COMPUTED_VALUE"""),41177.645833333336)</f>
        <v>41177.64583</v>
      </c>
      <c r="B185" s="1">
        <f>IFERROR(__xludf.DUMMYFUNCTION("""COMPUTED_VALUE"""),61400.0)</f>
        <v>61400</v>
      </c>
      <c r="C185" s="1">
        <f>IFERROR(__xludf.DUMMYFUNCTION("""COMPUTED_VALUE"""),62400.0)</f>
        <v>62400</v>
      </c>
      <c r="D185" s="1">
        <f>IFERROR(__xludf.DUMMYFUNCTION("""COMPUTED_VALUE"""),61100.0)</f>
        <v>61100</v>
      </c>
      <c r="E185" s="1">
        <f>IFERROR(__xludf.DUMMYFUNCTION("""COMPUTED_VALUE"""),62300.0)</f>
        <v>62300</v>
      </c>
      <c r="F185" s="1">
        <f>IFERROR(__xludf.DUMMYFUNCTION("""COMPUTED_VALUE"""),8991.0)</f>
        <v>8991</v>
      </c>
    </row>
    <row r="186">
      <c r="A186" s="2">
        <f>IFERROR(__xludf.DUMMYFUNCTION("""COMPUTED_VALUE"""),41178.645833333336)</f>
        <v>41178.64583</v>
      </c>
      <c r="B186" s="1">
        <f>IFERROR(__xludf.DUMMYFUNCTION("""COMPUTED_VALUE"""),62400.0)</f>
        <v>62400</v>
      </c>
      <c r="C186" s="1">
        <f>IFERROR(__xludf.DUMMYFUNCTION("""COMPUTED_VALUE"""),62400.0)</f>
        <v>62400</v>
      </c>
      <c r="D186" s="1">
        <f>IFERROR(__xludf.DUMMYFUNCTION("""COMPUTED_VALUE"""),61800.0)</f>
        <v>61800</v>
      </c>
      <c r="E186" s="1">
        <f>IFERROR(__xludf.DUMMYFUNCTION("""COMPUTED_VALUE"""),62200.0)</f>
        <v>62200</v>
      </c>
      <c r="F186" s="1">
        <f>IFERROR(__xludf.DUMMYFUNCTION("""COMPUTED_VALUE"""),1266.0)</f>
        <v>1266</v>
      </c>
    </row>
    <row r="187">
      <c r="A187" s="2">
        <f>IFERROR(__xludf.DUMMYFUNCTION("""COMPUTED_VALUE"""),41179.645833333336)</f>
        <v>41179.64583</v>
      </c>
      <c r="B187" s="1">
        <f>IFERROR(__xludf.DUMMYFUNCTION("""COMPUTED_VALUE"""),62100.0)</f>
        <v>62100</v>
      </c>
      <c r="C187" s="1">
        <f>IFERROR(__xludf.DUMMYFUNCTION("""COMPUTED_VALUE"""),62300.0)</f>
        <v>62300</v>
      </c>
      <c r="D187" s="1">
        <f>IFERROR(__xludf.DUMMYFUNCTION("""COMPUTED_VALUE"""),61800.0)</f>
        <v>61800</v>
      </c>
      <c r="E187" s="1">
        <f>IFERROR(__xludf.DUMMYFUNCTION("""COMPUTED_VALUE"""),62200.0)</f>
        <v>62200</v>
      </c>
      <c r="F187" s="1">
        <f>IFERROR(__xludf.DUMMYFUNCTION("""COMPUTED_VALUE"""),3666.0)</f>
        <v>3666</v>
      </c>
    </row>
    <row r="188">
      <c r="A188" s="2">
        <f>IFERROR(__xludf.DUMMYFUNCTION("""COMPUTED_VALUE"""),41180.645833333336)</f>
        <v>41180.64583</v>
      </c>
      <c r="B188" s="1">
        <f>IFERROR(__xludf.DUMMYFUNCTION("""COMPUTED_VALUE"""),62500.0)</f>
        <v>62500</v>
      </c>
      <c r="C188" s="1">
        <f>IFERROR(__xludf.DUMMYFUNCTION("""COMPUTED_VALUE"""),62600.0)</f>
        <v>62600</v>
      </c>
      <c r="D188" s="1">
        <f>IFERROR(__xludf.DUMMYFUNCTION("""COMPUTED_VALUE"""),61500.0)</f>
        <v>61500</v>
      </c>
      <c r="E188" s="1">
        <f>IFERROR(__xludf.DUMMYFUNCTION("""COMPUTED_VALUE"""),61700.0)</f>
        <v>61700</v>
      </c>
      <c r="F188" s="1">
        <f>IFERROR(__xludf.DUMMYFUNCTION("""COMPUTED_VALUE"""),2813.0)</f>
        <v>2813</v>
      </c>
    </row>
    <row r="189">
      <c r="A189" s="2">
        <f>IFERROR(__xludf.DUMMYFUNCTION("""COMPUTED_VALUE"""),41184.645833333336)</f>
        <v>41184.64583</v>
      </c>
      <c r="B189" s="1">
        <f>IFERROR(__xludf.DUMMYFUNCTION("""COMPUTED_VALUE"""),62300.0)</f>
        <v>62300</v>
      </c>
      <c r="C189" s="1">
        <f>IFERROR(__xludf.DUMMYFUNCTION("""COMPUTED_VALUE"""),62300.0)</f>
        <v>62300</v>
      </c>
      <c r="D189" s="1">
        <f>IFERROR(__xludf.DUMMYFUNCTION("""COMPUTED_VALUE"""),61700.0)</f>
        <v>61700</v>
      </c>
      <c r="E189" s="1">
        <f>IFERROR(__xludf.DUMMYFUNCTION("""COMPUTED_VALUE"""),62000.0)</f>
        <v>62000</v>
      </c>
      <c r="F189" s="1">
        <f>IFERROR(__xludf.DUMMYFUNCTION("""COMPUTED_VALUE"""),1538.0)</f>
        <v>1538</v>
      </c>
    </row>
    <row r="190">
      <c r="A190" s="2">
        <f>IFERROR(__xludf.DUMMYFUNCTION("""COMPUTED_VALUE"""),41186.645833333336)</f>
        <v>41186.64583</v>
      </c>
      <c r="B190" s="1">
        <f>IFERROR(__xludf.DUMMYFUNCTION("""COMPUTED_VALUE"""),62000.0)</f>
        <v>62000</v>
      </c>
      <c r="C190" s="1">
        <f>IFERROR(__xludf.DUMMYFUNCTION("""COMPUTED_VALUE"""),62100.0)</f>
        <v>62100</v>
      </c>
      <c r="D190" s="1">
        <f>IFERROR(__xludf.DUMMYFUNCTION("""COMPUTED_VALUE"""),61200.0)</f>
        <v>61200</v>
      </c>
      <c r="E190" s="1">
        <f>IFERROR(__xludf.DUMMYFUNCTION("""COMPUTED_VALUE"""),62000.0)</f>
        <v>62000</v>
      </c>
      <c r="F190" s="1">
        <f>IFERROR(__xludf.DUMMYFUNCTION("""COMPUTED_VALUE"""),3909.0)</f>
        <v>3909</v>
      </c>
    </row>
    <row r="191">
      <c r="A191" s="2">
        <f>IFERROR(__xludf.DUMMYFUNCTION("""COMPUTED_VALUE"""),41187.645833333336)</f>
        <v>41187.64583</v>
      </c>
      <c r="B191" s="1">
        <f>IFERROR(__xludf.DUMMYFUNCTION("""COMPUTED_VALUE"""),62400.0)</f>
        <v>62400</v>
      </c>
      <c r="C191" s="1">
        <f>IFERROR(__xludf.DUMMYFUNCTION("""COMPUTED_VALUE"""),62400.0)</f>
        <v>62400</v>
      </c>
      <c r="D191" s="1">
        <f>IFERROR(__xludf.DUMMYFUNCTION("""COMPUTED_VALUE"""),61500.0)</f>
        <v>61500</v>
      </c>
      <c r="E191" s="1">
        <f>IFERROR(__xludf.DUMMYFUNCTION("""COMPUTED_VALUE"""),62100.0)</f>
        <v>62100</v>
      </c>
      <c r="F191" s="1">
        <f>IFERROR(__xludf.DUMMYFUNCTION("""COMPUTED_VALUE"""),2479.0)</f>
        <v>2479</v>
      </c>
    </row>
    <row r="192">
      <c r="A192" s="2">
        <f>IFERROR(__xludf.DUMMYFUNCTION("""COMPUTED_VALUE"""),41190.645833333336)</f>
        <v>41190.64583</v>
      </c>
      <c r="B192" s="1">
        <f>IFERROR(__xludf.DUMMYFUNCTION("""COMPUTED_VALUE"""),62100.0)</f>
        <v>62100</v>
      </c>
      <c r="C192" s="1">
        <f>IFERROR(__xludf.DUMMYFUNCTION("""COMPUTED_VALUE"""),62100.0)</f>
        <v>62100</v>
      </c>
      <c r="D192" s="1">
        <f>IFERROR(__xludf.DUMMYFUNCTION("""COMPUTED_VALUE"""),61000.0)</f>
        <v>61000</v>
      </c>
      <c r="E192" s="1">
        <f>IFERROR(__xludf.DUMMYFUNCTION("""COMPUTED_VALUE"""),61600.0)</f>
        <v>61600</v>
      </c>
      <c r="F192" s="1">
        <f>IFERROR(__xludf.DUMMYFUNCTION("""COMPUTED_VALUE"""),4138.0)</f>
        <v>4138</v>
      </c>
    </row>
    <row r="193">
      <c r="A193" s="2">
        <f>IFERROR(__xludf.DUMMYFUNCTION("""COMPUTED_VALUE"""),41191.645833333336)</f>
        <v>41191.64583</v>
      </c>
      <c r="B193" s="1">
        <f>IFERROR(__xludf.DUMMYFUNCTION("""COMPUTED_VALUE"""),61100.0)</f>
        <v>61100</v>
      </c>
      <c r="C193" s="1">
        <f>IFERROR(__xludf.DUMMYFUNCTION("""COMPUTED_VALUE"""),61700.0)</f>
        <v>61700</v>
      </c>
      <c r="D193" s="1">
        <f>IFERROR(__xludf.DUMMYFUNCTION("""COMPUTED_VALUE"""),61100.0)</f>
        <v>61100</v>
      </c>
      <c r="E193" s="1">
        <f>IFERROR(__xludf.DUMMYFUNCTION("""COMPUTED_VALUE"""),61600.0)</f>
        <v>61600</v>
      </c>
      <c r="F193" s="1">
        <f>IFERROR(__xludf.DUMMYFUNCTION("""COMPUTED_VALUE"""),1181.0)</f>
        <v>1181</v>
      </c>
    </row>
    <row r="194">
      <c r="A194" s="2">
        <f>IFERROR(__xludf.DUMMYFUNCTION("""COMPUTED_VALUE"""),41192.645833333336)</f>
        <v>41192.64583</v>
      </c>
      <c r="B194" s="1">
        <f>IFERROR(__xludf.DUMMYFUNCTION("""COMPUTED_VALUE"""),61800.0)</f>
        <v>61800</v>
      </c>
      <c r="C194" s="1">
        <f>IFERROR(__xludf.DUMMYFUNCTION("""COMPUTED_VALUE"""),61800.0)</f>
        <v>61800</v>
      </c>
      <c r="D194" s="1">
        <f>IFERROR(__xludf.DUMMYFUNCTION("""COMPUTED_VALUE"""),60900.0)</f>
        <v>60900</v>
      </c>
      <c r="E194" s="1">
        <f>IFERROR(__xludf.DUMMYFUNCTION("""COMPUTED_VALUE"""),61600.0)</f>
        <v>61600</v>
      </c>
      <c r="F194" s="1">
        <f>IFERROR(__xludf.DUMMYFUNCTION("""COMPUTED_VALUE"""),3695.0)</f>
        <v>3695</v>
      </c>
    </row>
    <row r="195">
      <c r="A195" s="2">
        <f>IFERROR(__xludf.DUMMYFUNCTION("""COMPUTED_VALUE"""),41193.645833333336)</f>
        <v>41193.64583</v>
      </c>
      <c r="B195" s="1">
        <f>IFERROR(__xludf.DUMMYFUNCTION("""COMPUTED_VALUE"""),61700.0)</f>
        <v>61700</v>
      </c>
      <c r="C195" s="1">
        <f>IFERROR(__xludf.DUMMYFUNCTION("""COMPUTED_VALUE"""),61700.0)</f>
        <v>61700</v>
      </c>
      <c r="D195" s="1">
        <f>IFERROR(__xludf.DUMMYFUNCTION("""COMPUTED_VALUE"""),60700.0)</f>
        <v>60700</v>
      </c>
      <c r="E195" s="1">
        <f>IFERROR(__xludf.DUMMYFUNCTION("""COMPUTED_VALUE"""),61500.0)</f>
        <v>61500</v>
      </c>
      <c r="F195" s="1">
        <f>IFERROR(__xludf.DUMMYFUNCTION("""COMPUTED_VALUE"""),1469.0)</f>
        <v>1469</v>
      </c>
    </row>
    <row r="196">
      <c r="A196" s="2">
        <f>IFERROR(__xludf.DUMMYFUNCTION("""COMPUTED_VALUE"""),41194.645833333336)</f>
        <v>41194.64583</v>
      </c>
      <c r="B196" s="1">
        <f>IFERROR(__xludf.DUMMYFUNCTION("""COMPUTED_VALUE"""),61700.0)</f>
        <v>61700</v>
      </c>
      <c r="C196" s="1">
        <f>IFERROR(__xludf.DUMMYFUNCTION("""COMPUTED_VALUE"""),61700.0)</f>
        <v>61700</v>
      </c>
      <c r="D196" s="1">
        <f>IFERROR(__xludf.DUMMYFUNCTION("""COMPUTED_VALUE"""),60800.0)</f>
        <v>60800</v>
      </c>
      <c r="E196" s="1">
        <f>IFERROR(__xludf.DUMMYFUNCTION("""COMPUTED_VALUE"""),61300.0)</f>
        <v>61300</v>
      </c>
      <c r="F196" s="1">
        <f>IFERROR(__xludf.DUMMYFUNCTION("""COMPUTED_VALUE"""),2682.0)</f>
        <v>2682</v>
      </c>
    </row>
    <row r="197">
      <c r="A197" s="2">
        <f>IFERROR(__xludf.DUMMYFUNCTION("""COMPUTED_VALUE"""),41197.645833333336)</f>
        <v>41197.64583</v>
      </c>
      <c r="B197" s="1">
        <f>IFERROR(__xludf.DUMMYFUNCTION("""COMPUTED_VALUE"""),60700.0)</f>
        <v>60700</v>
      </c>
      <c r="C197" s="1">
        <f>IFERROR(__xludf.DUMMYFUNCTION("""COMPUTED_VALUE"""),61300.0)</f>
        <v>61300</v>
      </c>
      <c r="D197" s="1">
        <f>IFERROR(__xludf.DUMMYFUNCTION("""COMPUTED_VALUE"""),59500.0)</f>
        <v>59500</v>
      </c>
      <c r="E197" s="1">
        <f>IFERROR(__xludf.DUMMYFUNCTION("""COMPUTED_VALUE"""),60000.0)</f>
        <v>60000</v>
      </c>
      <c r="F197" s="1">
        <f>IFERROR(__xludf.DUMMYFUNCTION("""COMPUTED_VALUE"""),7439.0)</f>
        <v>7439</v>
      </c>
    </row>
    <row r="198">
      <c r="A198" s="2">
        <f>IFERROR(__xludf.DUMMYFUNCTION("""COMPUTED_VALUE"""),41198.645833333336)</f>
        <v>41198.64583</v>
      </c>
      <c r="B198" s="1">
        <f>IFERROR(__xludf.DUMMYFUNCTION("""COMPUTED_VALUE"""),60000.0)</f>
        <v>60000</v>
      </c>
      <c r="C198" s="1">
        <f>IFERROR(__xludf.DUMMYFUNCTION("""COMPUTED_VALUE"""),60400.0)</f>
        <v>60400</v>
      </c>
      <c r="D198" s="1">
        <f>IFERROR(__xludf.DUMMYFUNCTION("""COMPUTED_VALUE"""),59700.0)</f>
        <v>59700</v>
      </c>
      <c r="E198" s="1">
        <f>IFERROR(__xludf.DUMMYFUNCTION("""COMPUTED_VALUE"""),60100.0)</f>
        <v>60100</v>
      </c>
      <c r="F198" s="1">
        <f>IFERROR(__xludf.DUMMYFUNCTION("""COMPUTED_VALUE"""),2752.0)</f>
        <v>2752</v>
      </c>
    </row>
    <row r="199">
      <c r="A199" s="2">
        <f>IFERROR(__xludf.DUMMYFUNCTION("""COMPUTED_VALUE"""),41199.645833333336)</f>
        <v>41199.64583</v>
      </c>
      <c r="B199" s="1">
        <f>IFERROR(__xludf.DUMMYFUNCTION("""COMPUTED_VALUE"""),60600.0)</f>
        <v>60600</v>
      </c>
      <c r="C199" s="1">
        <f>IFERROR(__xludf.DUMMYFUNCTION("""COMPUTED_VALUE"""),61300.0)</f>
        <v>61300</v>
      </c>
      <c r="D199" s="1">
        <f>IFERROR(__xludf.DUMMYFUNCTION("""COMPUTED_VALUE"""),60300.0)</f>
        <v>60300</v>
      </c>
      <c r="E199" s="1">
        <f>IFERROR(__xludf.DUMMYFUNCTION("""COMPUTED_VALUE"""),60900.0)</f>
        <v>60900</v>
      </c>
      <c r="F199" s="1">
        <f>IFERROR(__xludf.DUMMYFUNCTION("""COMPUTED_VALUE"""),3323.0)</f>
        <v>3323</v>
      </c>
    </row>
    <row r="200">
      <c r="A200" s="2">
        <f>IFERROR(__xludf.DUMMYFUNCTION("""COMPUTED_VALUE"""),41200.645833333336)</f>
        <v>41200.64583</v>
      </c>
      <c r="B200" s="1">
        <f>IFERROR(__xludf.DUMMYFUNCTION("""COMPUTED_VALUE"""),61200.0)</f>
        <v>61200</v>
      </c>
      <c r="C200" s="1">
        <f>IFERROR(__xludf.DUMMYFUNCTION("""COMPUTED_VALUE"""),61400.0)</f>
        <v>61400</v>
      </c>
      <c r="D200" s="1">
        <f>IFERROR(__xludf.DUMMYFUNCTION("""COMPUTED_VALUE"""),60600.0)</f>
        <v>60600</v>
      </c>
      <c r="E200" s="1">
        <f>IFERROR(__xludf.DUMMYFUNCTION("""COMPUTED_VALUE"""),61200.0)</f>
        <v>61200</v>
      </c>
      <c r="F200" s="1">
        <f>IFERROR(__xludf.DUMMYFUNCTION("""COMPUTED_VALUE"""),3600.0)</f>
        <v>3600</v>
      </c>
    </row>
    <row r="201">
      <c r="A201" s="2">
        <f>IFERROR(__xludf.DUMMYFUNCTION("""COMPUTED_VALUE"""),41201.645833333336)</f>
        <v>41201.64583</v>
      </c>
      <c r="B201" s="1">
        <f>IFERROR(__xludf.DUMMYFUNCTION("""COMPUTED_VALUE"""),61500.0)</f>
        <v>61500</v>
      </c>
      <c r="C201" s="1">
        <f>IFERROR(__xludf.DUMMYFUNCTION("""COMPUTED_VALUE"""),61500.0)</f>
        <v>61500</v>
      </c>
      <c r="D201" s="1">
        <f>IFERROR(__xludf.DUMMYFUNCTION("""COMPUTED_VALUE"""),60700.0)</f>
        <v>60700</v>
      </c>
      <c r="E201" s="1">
        <f>IFERROR(__xludf.DUMMYFUNCTION("""COMPUTED_VALUE"""),61100.0)</f>
        <v>61100</v>
      </c>
      <c r="F201" s="1">
        <f>IFERROR(__xludf.DUMMYFUNCTION("""COMPUTED_VALUE"""),1404.0)</f>
        <v>1404</v>
      </c>
    </row>
    <row r="202">
      <c r="A202" s="2">
        <f>IFERROR(__xludf.DUMMYFUNCTION("""COMPUTED_VALUE"""),41204.645833333336)</f>
        <v>41204.64583</v>
      </c>
      <c r="B202" s="1">
        <f>IFERROR(__xludf.DUMMYFUNCTION("""COMPUTED_VALUE"""),60000.0)</f>
        <v>60000</v>
      </c>
      <c r="C202" s="1">
        <f>IFERROR(__xludf.DUMMYFUNCTION("""COMPUTED_VALUE"""),60800.0)</f>
        <v>60800</v>
      </c>
      <c r="D202" s="1">
        <f>IFERROR(__xludf.DUMMYFUNCTION("""COMPUTED_VALUE"""),60000.0)</f>
        <v>60000</v>
      </c>
      <c r="E202" s="1">
        <f>IFERROR(__xludf.DUMMYFUNCTION("""COMPUTED_VALUE"""),60600.0)</f>
        <v>60600</v>
      </c>
      <c r="F202" s="1">
        <f>IFERROR(__xludf.DUMMYFUNCTION("""COMPUTED_VALUE"""),4001.0)</f>
        <v>4001</v>
      </c>
    </row>
    <row r="203">
      <c r="A203" s="2">
        <f>IFERROR(__xludf.DUMMYFUNCTION("""COMPUTED_VALUE"""),41205.645833333336)</f>
        <v>41205.64583</v>
      </c>
      <c r="B203" s="1">
        <f>IFERROR(__xludf.DUMMYFUNCTION("""COMPUTED_VALUE"""),60800.0)</f>
        <v>60800</v>
      </c>
      <c r="C203" s="1">
        <f>IFERROR(__xludf.DUMMYFUNCTION("""COMPUTED_VALUE"""),60800.0)</f>
        <v>60800</v>
      </c>
      <c r="D203" s="1">
        <f>IFERROR(__xludf.DUMMYFUNCTION("""COMPUTED_VALUE"""),60300.0)</f>
        <v>60300</v>
      </c>
      <c r="E203" s="1">
        <f>IFERROR(__xludf.DUMMYFUNCTION("""COMPUTED_VALUE"""),60400.0)</f>
        <v>60400</v>
      </c>
      <c r="F203" s="1">
        <f>IFERROR(__xludf.DUMMYFUNCTION("""COMPUTED_VALUE"""),1934.0)</f>
        <v>1934</v>
      </c>
    </row>
    <row r="204">
      <c r="A204" s="2">
        <f>IFERROR(__xludf.DUMMYFUNCTION("""COMPUTED_VALUE"""),41206.645833333336)</f>
        <v>41206.64583</v>
      </c>
      <c r="B204" s="1">
        <f>IFERROR(__xludf.DUMMYFUNCTION("""COMPUTED_VALUE"""),60200.0)</f>
        <v>60200</v>
      </c>
      <c r="C204" s="1">
        <f>IFERROR(__xludf.DUMMYFUNCTION("""COMPUTED_VALUE"""),60400.0)</f>
        <v>60400</v>
      </c>
      <c r="D204" s="1">
        <f>IFERROR(__xludf.DUMMYFUNCTION("""COMPUTED_VALUE"""),59700.0)</f>
        <v>59700</v>
      </c>
      <c r="E204" s="1">
        <f>IFERROR(__xludf.DUMMYFUNCTION("""COMPUTED_VALUE"""),60400.0)</f>
        <v>60400</v>
      </c>
      <c r="F204" s="1">
        <f>IFERROR(__xludf.DUMMYFUNCTION("""COMPUTED_VALUE"""),4853.0)</f>
        <v>4853</v>
      </c>
    </row>
    <row r="205">
      <c r="A205" s="2">
        <f>IFERROR(__xludf.DUMMYFUNCTION("""COMPUTED_VALUE"""),41207.645833333336)</f>
        <v>41207.64583</v>
      </c>
      <c r="B205" s="1">
        <f>IFERROR(__xludf.DUMMYFUNCTION("""COMPUTED_VALUE"""),60100.0)</f>
        <v>60100</v>
      </c>
      <c r="C205" s="1">
        <f>IFERROR(__xludf.DUMMYFUNCTION("""COMPUTED_VALUE"""),60400.0)</f>
        <v>60400</v>
      </c>
      <c r="D205" s="1">
        <f>IFERROR(__xludf.DUMMYFUNCTION("""COMPUTED_VALUE"""),59500.0)</f>
        <v>59500</v>
      </c>
      <c r="E205" s="1">
        <f>IFERROR(__xludf.DUMMYFUNCTION("""COMPUTED_VALUE"""),60300.0)</f>
        <v>60300</v>
      </c>
      <c r="F205" s="1">
        <f>IFERROR(__xludf.DUMMYFUNCTION("""COMPUTED_VALUE"""),4351.0)</f>
        <v>4351</v>
      </c>
    </row>
    <row r="206">
      <c r="A206" s="2">
        <f>IFERROR(__xludf.DUMMYFUNCTION("""COMPUTED_VALUE"""),41208.645833333336)</f>
        <v>41208.64583</v>
      </c>
      <c r="B206" s="1">
        <f>IFERROR(__xludf.DUMMYFUNCTION("""COMPUTED_VALUE"""),60300.0)</f>
        <v>60300</v>
      </c>
      <c r="C206" s="1">
        <f>IFERROR(__xludf.DUMMYFUNCTION("""COMPUTED_VALUE"""),60300.0)</f>
        <v>60300</v>
      </c>
      <c r="D206" s="1">
        <f>IFERROR(__xludf.DUMMYFUNCTION("""COMPUTED_VALUE"""),59300.0)</f>
        <v>59300</v>
      </c>
      <c r="E206" s="1">
        <f>IFERROR(__xludf.DUMMYFUNCTION("""COMPUTED_VALUE"""),59700.0)</f>
        <v>59700</v>
      </c>
      <c r="F206" s="1">
        <f>IFERROR(__xludf.DUMMYFUNCTION("""COMPUTED_VALUE"""),3965.0)</f>
        <v>3965</v>
      </c>
    </row>
    <row r="207">
      <c r="A207" s="2">
        <f>IFERROR(__xludf.DUMMYFUNCTION("""COMPUTED_VALUE"""),41211.645833333336)</f>
        <v>41211.64583</v>
      </c>
      <c r="B207" s="1">
        <f>IFERROR(__xludf.DUMMYFUNCTION("""COMPUTED_VALUE"""),60400.0)</f>
        <v>60400</v>
      </c>
      <c r="C207" s="1">
        <f>IFERROR(__xludf.DUMMYFUNCTION("""COMPUTED_VALUE"""),60400.0)</f>
        <v>60400</v>
      </c>
      <c r="D207" s="1">
        <f>IFERROR(__xludf.DUMMYFUNCTION("""COMPUTED_VALUE"""),59500.0)</f>
        <v>59500</v>
      </c>
      <c r="E207" s="1">
        <f>IFERROR(__xludf.DUMMYFUNCTION("""COMPUTED_VALUE"""),60000.0)</f>
        <v>60000</v>
      </c>
      <c r="F207" s="1">
        <f>IFERROR(__xludf.DUMMYFUNCTION("""COMPUTED_VALUE"""),844.0)</f>
        <v>844</v>
      </c>
    </row>
    <row r="208">
      <c r="A208" s="2">
        <f>IFERROR(__xludf.DUMMYFUNCTION("""COMPUTED_VALUE"""),41212.645833333336)</f>
        <v>41212.64583</v>
      </c>
      <c r="B208" s="1">
        <f>IFERROR(__xludf.DUMMYFUNCTION("""COMPUTED_VALUE"""),59900.0)</f>
        <v>59900</v>
      </c>
      <c r="C208" s="1">
        <f>IFERROR(__xludf.DUMMYFUNCTION("""COMPUTED_VALUE"""),60000.0)</f>
        <v>60000</v>
      </c>
      <c r="D208" s="1">
        <f>IFERROR(__xludf.DUMMYFUNCTION("""COMPUTED_VALUE"""),59700.0)</f>
        <v>59700</v>
      </c>
      <c r="E208" s="1">
        <f>IFERROR(__xludf.DUMMYFUNCTION("""COMPUTED_VALUE"""),60000.0)</f>
        <v>60000</v>
      </c>
      <c r="F208" s="1">
        <f>IFERROR(__xludf.DUMMYFUNCTION("""COMPUTED_VALUE"""),2116.0)</f>
        <v>2116</v>
      </c>
    </row>
    <row r="209">
      <c r="A209" s="2">
        <f>IFERROR(__xludf.DUMMYFUNCTION("""COMPUTED_VALUE"""),41213.645833333336)</f>
        <v>41213.64583</v>
      </c>
      <c r="B209" s="1">
        <f>IFERROR(__xludf.DUMMYFUNCTION("""COMPUTED_VALUE"""),60200.0)</f>
        <v>60200</v>
      </c>
      <c r="C209" s="1">
        <f>IFERROR(__xludf.DUMMYFUNCTION("""COMPUTED_VALUE"""),60700.0)</f>
        <v>60700</v>
      </c>
      <c r="D209" s="1">
        <f>IFERROR(__xludf.DUMMYFUNCTION("""COMPUTED_VALUE"""),60000.0)</f>
        <v>60000</v>
      </c>
      <c r="E209" s="1">
        <f>IFERROR(__xludf.DUMMYFUNCTION("""COMPUTED_VALUE"""),60400.0)</f>
        <v>60400</v>
      </c>
      <c r="F209" s="1">
        <f>IFERROR(__xludf.DUMMYFUNCTION("""COMPUTED_VALUE"""),17352.0)</f>
        <v>17352</v>
      </c>
    </row>
    <row r="210">
      <c r="A210" s="2">
        <f>IFERROR(__xludf.DUMMYFUNCTION("""COMPUTED_VALUE"""),41214.645833333336)</f>
        <v>41214.64583</v>
      </c>
      <c r="B210" s="1">
        <f>IFERROR(__xludf.DUMMYFUNCTION("""COMPUTED_VALUE"""),60600.0)</f>
        <v>60600</v>
      </c>
      <c r="C210" s="1">
        <f>IFERROR(__xludf.DUMMYFUNCTION("""COMPUTED_VALUE"""),61000.0)</f>
        <v>61000</v>
      </c>
      <c r="D210" s="1">
        <f>IFERROR(__xludf.DUMMYFUNCTION("""COMPUTED_VALUE"""),60000.0)</f>
        <v>60000</v>
      </c>
      <c r="E210" s="1">
        <f>IFERROR(__xludf.DUMMYFUNCTION("""COMPUTED_VALUE"""),61000.0)</f>
        <v>61000</v>
      </c>
      <c r="F210" s="1">
        <f>IFERROR(__xludf.DUMMYFUNCTION("""COMPUTED_VALUE"""),21448.0)</f>
        <v>21448</v>
      </c>
    </row>
    <row r="211">
      <c r="A211" s="2">
        <f>IFERROR(__xludf.DUMMYFUNCTION("""COMPUTED_VALUE"""),41215.645833333336)</f>
        <v>41215.64583</v>
      </c>
      <c r="B211" s="1">
        <f>IFERROR(__xludf.DUMMYFUNCTION("""COMPUTED_VALUE"""),61400.0)</f>
        <v>61400</v>
      </c>
      <c r="C211" s="1">
        <f>IFERROR(__xludf.DUMMYFUNCTION("""COMPUTED_VALUE"""),61400.0)</f>
        <v>61400</v>
      </c>
      <c r="D211" s="1">
        <f>IFERROR(__xludf.DUMMYFUNCTION("""COMPUTED_VALUE"""),60500.0)</f>
        <v>60500</v>
      </c>
      <c r="E211" s="1">
        <f>IFERROR(__xludf.DUMMYFUNCTION("""COMPUTED_VALUE"""),61000.0)</f>
        <v>61000</v>
      </c>
      <c r="F211" s="1">
        <f>IFERROR(__xludf.DUMMYFUNCTION("""COMPUTED_VALUE"""),5265.0)</f>
        <v>5265</v>
      </c>
    </row>
    <row r="212">
      <c r="A212" s="2">
        <f>IFERROR(__xludf.DUMMYFUNCTION("""COMPUTED_VALUE"""),41218.645833333336)</f>
        <v>41218.64583</v>
      </c>
      <c r="B212" s="1">
        <f>IFERROR(__xludf.DUMMYFUNCTION("""COMPUTED_VALUE"""),61000.0)</f>
        <v>61000</v>
      </c>
      <c r="C212" s="1">
        <f>IFERROR(__xludf.DUMMYFUNCTION("""COMPUTED_VALUE"""),61000.0)</f>
        <v>61000</v>
      </c>
      <c r="D212" s="1">
        <f>IFERROR(__xludf.DUMMYFUNCTION("""COMPUTED_VALUE"""),60500.0)</f>
        <v>60500</v>
      </c>
      <c r="E212" s="1">
        <f>IFERROR(__xludf.DUMMYFUNCTION("""COMPUTED_VALUE"""),60800.0)</f>
        <v>60800</v>
      </c>
      <c r="F212" s="1">
        <f>IFERROR(__xludf.DUMMYFUNCTION("""COMPUTED_VALUE"""),2240.0)</f>
        <v>2240</v>
      </c>
    </row>
    <row r="213">
      <c r="A213" s="2">
        <f>IFERROR(__xludf.DUMMYFUNCTION("""COMPUTED_VALUE"""),41219.645833333336)</f>
        <v>41219.64583</v>
      </c>
      <c r="B213" s="1">
        <f>IFERROR(__xludf.DUMMYFUNCTION("""COMPUTED_VALUE"""),60800.0)</f>
        <v>60800</v>
      </c>
      <c r="C213" s="1">
        <f>IFERROR(__xludf.DUMMYFUNCTION("""COMPUTED_VALUE"""),61000.0)</f>
        <v>61000</v>
      </c>
      <c r="D213" s="1">
        <f>IFERROR(__xludf.DUMMYFUNCTION("""COMPUTED_VALUE"""),60300.0)</f>
        <v>60300</v>
      </c>
      <c r="E213" s="1">
        <f>IFERROR(__xludf.DUMMYFUNCTION("""COMPUTED_VALUE"""),61000.0)</f>
        <v>61000</v>
      </c>
      <c r="F213" s="1">
        <f>IFERROR(__xludf.DUMMYFUNCTION("""COMPUTED_VALUE"""),6507.0)</f>
        <v>6507</v>
      </c>
    </row>
    <row r="214">
      <c r="A214" s="2">
        <f>IFERROR(__xludf.DUMMYFUNCTION("""COMPUTED_VALUE"""),41220.645833333336)</f>
        <v>41220.64583</v>
      </c>
      <c r="B214" s="1">
        <f>IFERROR(__xludf.DUMMYFUNCTION("""COMPUTED_VALUE"""),61000.0)</f>
        <v>61000</v>
      </c>
      <c r="C214" s="1">
        <f>IFERROR(__xludf.DUMMYFUNCTION("""COMPUTED_VALUE"""),61000.0)</f>
        <v>61000</v>
      </c>
      <c r="D214" s="1">
        <f>IFERROR(__xludf.DUMMYFUNCTION("""COMPUTED_VALUE"""),60500.0)</f>
        <v>60500</v>
      </c>
      <c r="E214" s="1">
        <f>IFERROR(__xludf.DUMMYFUNCTION("""COMPUTED_VALUE"""),60900.0)</f>
        <v>60900</v>
      </c>
      <c r="F214" s="1">
        <f>IFERROR(__xludf.DUMMYFUNCTION("""COMPUTED_VALUE"""),1758.0)</f>
        <v>1758</v>
      </c>
    </row>
    <row r="215">
      <c r="A215" s="2">
        <f>IFERROR(__xludf.DUMMYFUNCTION("""COMPUTED_VALUE"""),41221.645833333336)</f>
        <v>41221.64583</v>
      </c>
      <c r="B215" s="1">
        <f>IFERROR(__xludf.DUMMYFUNCTION("""COMPUTED_VALUE"""),60400.0)</f>
        <v>60400</v>
      </c>
      <c r="C215" s="1">
        <f>IFERROR(__xludf.DUMMYFUNCTION("""COMPUTED_VALUE"""),60900.0)</f>
        <v>60900</v>
      </c>
      <c r="D215" s="1">
        <f>IFERROR(__xludf.DUMMYFUNCTION("""COMPUTED_VALUE"""),60300.0)</f>
        <v>60300</v>
      </c>
      <c r="E215" s="1">
        <f>IFERROR(__xludf.DUMMYFUNCTION("""COMPUTED_VALUE"""),60300.0)</f>
        <v>60300</v>
      </c>
      <c r="F215" s="1">
        <f>IFERROR(__xludf.DUMMYFUNCTION("""COMPUTED_VALUE"""),1379.0)</f>
        <v>1379</v>
      </c>
    </row>
    <row r="216">
      <c r="A216" s="2">
        <f>IFERROR(__xludf.DUMMYFUNCTION("""COMPUTED_VALUE"""),41222.645833333336)</f>
        <v>41222.64583</v>
      </c>
      <c r="B216" s="1">
        <f>IFERROR(__xludf.DUMMYFUNCTION("""COMPUTED_VALUE"""),60500.0)</f>
        <v>60500</v>
      </c>
      <c r="C216" s="1">
        <f>IFERROR(__xludf.DUMMYFUNCTION("""COMPUTED_VALUE"""),60900.0)</f>
        <v>60900</v>
      </c>
      <c r="D216" s="1">
        <f>IFERROR(__xludf.DUMMYFUNCTION("""COMPUTED_VALUE"""),59500.0)</f>
        <v>59500</v>
      </c>
      <c r="E216" s="1">
        <f>IFERROR(__xludf.DUMMYFUNCTION("""COMPUTED_VALUE"""),60300.0)</f>
        <v>60300</v>
      </c>
      <c r="F216" s="1">
        <f>IFERROR(__xludf.DUMMYFUNCTION("""COMPUTED_VALUE"""),5218.0)</f>
        <v>5218</v>
      </c>
    </row>
    <row r="217">
      <c r="A217" s="2">
        <f>IFERROR(__xludf.DUMMYFUNCTION("""COMPUTED_VALUE"""),41225.645833333336)</f>
        <v>41225.64583</v>
      </c>
      <c r="B217" s="1">
        <f>IFERROR(__xludf.DUMMYFUNCTION("""COMPUTED_VALUE"""),60500.0)</f>
        <v>60500</v>
      </c>
      <c r="C217" s="1">
        <f>IFERROR(__xludf.DUMMYFUNCTION("""COMPUTED_VALUE"""),60700.0)</f>
        <v>60700</v>
      </c>
      <c r="D217" s="1">
        <f>IFERROR(__xludf.DUMMYFUNCTION("""COMPUTED_VALUE"""),59900.0)</f>
        <v>59900</v>
      </c>
      <c r="E217" s="1">
        <f>IFERROR(__xludf.DUMMYFUNCTION("""COMPUTED_VALUE"""),60500.0)</f>
        <v>60500</v>
      </c>
      <c r="F217" s="1">
        <f>IFERROR(__xludf.DUMMYFUNCTION("""COMPUTED_VALUE"""),3010.0)</f>
        <v>3010</v>
      </c>
    </row>
    <row r="218">
      <c r="A218" s="2">
        <f>IFERROR(__xludf.DUMMYFUNCTION("""COMPUTED_VALUE"""),41226.645833333336)</f>
        <v>41226.64583</v>
      </c>
      <c r="B218" s="1">
        <f>IFERROR(__xludf.DUMMYFUNCTION("""COMPUTED_VALUE"""),60700.0)</f>
        <v>60700</v>
      </c>
      <c r="C218" s="1">
        <f>IFERROR(__xludf.DUMMYFUNCTION("""COMPUTED_VALUE"""),60700.0)</f>
        <v>60700</v>
      </c>
      <c r="D218" s="1">
        <f>IFERROR(__xludf.DUMMYFUNCTION("""COMPUTED_VALUE"""),59700.0)</f>
        <v>59700</v>
      </c>
      <c r="E218" s="1">
        <f>IFERROR(__xludf.DUMMYFUNCTION("""COMPUTED_VALUE"""),60500.0)</f>
        <v>60500</v>
      </c>
      <c r="F218" s="1">
        <f>IFERROR(__xludf.DUMMYFUNCTION("""COMPUTED_VALUE"""),1971.0)</f>
        <v>1971</v>
      </c>
    </row>
    <row r="219">
      <c r="A219" s="2">
        <f>IFERROR(__xludf.DUMMYFUNCTION("""COMPUTED_VALUE"""),41227.645833333336)</f>
        <v>41227.64583</v>
      </c>
      <c r="B219" s="1">
        <f>IFERROR(__xludf.DUMMYFUNCTION("""COMPUTED_VALUE"""),59800.0)</f>
        <v>59800</v>
      </c>
      <c r="C219" s="1">
        <f>IFERROR(__xludf.DUMMYFUNCTION("""COMPUTED_VALUE"""),60500.0)</f>
        <v>60500</v>
      </c>
      <c r="D219" s="1">
        <f>IFERROR(__xludf.DUMMYFUNCTION("""COMPUTED_VALUE"""),59700.0)</f>
        <v>59700</v>
      </c>
      <c r="E219" s="1">
        <f>IFERROR(__xludf.DUMMYFUNCTION("""COMPUTED_VALUE"""),60500.0)</f>
        <v>60500</v>
      </c>
      <c r="F219" s="1">
        <f>IFERROR(__xludf.DUMMYFUNCTION("""COMPUTED_VALUE"""),965.0)</f>
        <v>965</v>
      </c>
    </row>
    <row r="220">
      <c r="A220" s="2">
        <f>IFERROR(__xludf.DUMMYFUNCTION("""COMPUTED_VALUE"""),41228.645833333336)</f>
        <v>41228.64583</v>
      </c>
      <c r="B220" s="1">
        <f>IFERROR(__xludf.DUMMYFUNCTION("""COMPUTED_VALUE"""),60300.0)</f>
        <v>60300</v>
      </c>
      <c r="C220" s="1">
        <f>IFERROR(__xludf.DUMMYFUNCTION("""COMPUTED_VALUE"""),61300.0)</f>
        <v>61300</v>
      </c>
      <c r="D220" s="1">
        <f>IFERROR(__xludf.DUMMYFUNCTION("""COMPUTED_VALUE"""),59700.0)</f>
        <v>59700</v>
      </c>
      <c r="E220" s="1">
        <f>IFERROR(__xludf.DUMMYFUNCTION("""COMPUTED_VALUE"""),60900.0)</f>
        <v>60900</v>
      </c>
      <c r="F220" s="1">
        <f>IFERROR(__xludf.DUMMYFUNCTION("""COMPUTED_VALUE"""),15180.0)</f>
        <v>15180</v>
      </c>
    </row>
    <row r="221">
      <c r="A221" s="2">
        <f>IFERROR(__xludf.DUMMYFUNCTION("""COMPUTED_VALUE"""),41229.645833333336)</f>
        <v>41229.64583</v>
      </c>
      <c r="B221" s="1">
        <f>IFERROR(__xludf.DUMMYFUNCTION("""COMPUTED_VALUE"""),61000.0)</f>
        <v>61000</v>
      </c>
      <c r="C221" s="1">
        <f>IFERROR(__xludf.DUMMYFUNCTION("""COMPUTED_VALUE"""),61000.0)</f>
        <v>61000</v>
      </c>
      <c r="D221" s="1">
        <f>IFERROR(__xludf.DUMMYFUNCTION("""COMPUTED_VALUE"""),60100.0)</f>
        <v>60100</v>
      </c>
      <c r="E221" s="1">
        <f>IFERROR(__xludf.DUMMYFUNCTION("""COMPUTED_VALUE"""),60700.0)</f>
        <v>60700</v>
      </c>
      <c r="F221" s="1">
        <f>IFERROR(__xludf.DUMMYFUNCTION("""COMPUTED_VALUE"""),849.0)</f>
        <v>849</v>
      </c>
    </row>
    <row r="222">
      <c r="A222" s="2">
        <f>IFERROR(__xludf.DUMMYFUNCTION("""COMPUTED_VALUE"""),41232.645833333336)</f>
        <v>41232.64583</v>
      </c>
      <c r="B222" s="1">
        <f>IFERROR(__xludf.DUMMYFUNCTION("""COMPUTED_VALUE"""),61000.0)</f>
        <v>61000</v>
      </c>
      <c r="C222" s="1">
        <f>IFERROR(__xludf.DUMMYFUNCTION("""COMPUTED_VALUE"""),61000.0)</f>
        <v>61000</v>
      </c>
      <c r="D222" s="1">
        <f>IFERROR(__xludf.DUMMYFUNCTION("""COMPUTED_VALUE"""),60200.0)</f>
        <v>60200</v>
      </c>
      <c r="E222" s="1">
        <f>IFERROR(__xludf.DUMMYFUNCTION("""COMPUTED_VALUE"""),60800.0)</f>
        <v>60800</v>
      </c>
      <c r="F222" s="1">
        <f>IFERROR(__xludf.DUMMYFUNCTION("""COMPUTED_VALUE"""),1924.0)</f>
        <v>1924</v>
      </c>
    </row>
    <row r="223">
      <c r="A223" s="2">
        <f>IFERROR(__xludf.DUMMYFUNCTION("""COMPUTED_VALUE"""),41233.645833333336)</f>
        <v>41233.64583</v>
      </c>
      <c r="B223" s="1">
        <f>IFERROR(__xludf.DUMMYFUNCTION("""COMPUTED_VALUE"""),61000.0)</f>
        <v>61000</v>
      </c>
      <c r="C223" s="1">
        <f>IFERROR(__xludf.DUMMYFUNCTION("""COMPUTED_VALUE"""),61000.0)</f>
        <v>61000</v>
      </c>
      <c r="D223" s="1">
        <f>IFERROR(__xludf.DUMMYFUNCTION("""COMPUTED_VALUE"""),60400.0)</f>
        <v>60400</v>
      </c>
      <c r="E223" s="1">
        <f>IFERROR(__xludf.DUMMYFUNCTION("""COMPUTED_VALUE"""),61000.0)</f>
        <v>61000</v>
      </c>
      <c r="F223" s="1">
        <f>IFERROR(__xludf.DUMMYFUNCTION("""COMPUTED_VALUE"""),2836.0)</f>
        <v>2836</v>
      </c>
    </row>
    <row r="224">
      <c r="A224" s="2">
        <f>IFERROR(__xludf.DUMMYFUNCTION("""COMPUTED_VALUE"""),41234.645833333336)</f>
        <v>41234.64583</v>
      </c>
      <c r="B224" s="1">
        <f>IFERROR(__xludf.DUMMYFUNCTION("""COMPUTED_VALUE"""),61000.0)</f>
        <v>61000</v>
      </c>
      <c r="C224" s="1">
        <f>IFERROR(__xludf.DUMMYFUNCTION("""COMPUTED_VALUE"""),61000.0)</f>
        <v>61000</v>
      </c>
      <c r="D224" s="1">
        <f>IFERROR(__xludf.DUMMYFUNCTION("""COMPUTED_VALUE"""),60200.0)</f>
        <v>60200</v>
      </c>
      <c r="E224" s="1">
        <f>IFERROR(__xludf.DUMMYFUNCTION("""COMPUTED_VALUE"""),60700.0)</f>
        <v>60700</v>
      </c>
      <c r="F224" s="1">
        <f>IFERROR(__xludf.DUMMYFUNCTION("""COMPUTED_VALUE"""),2007.0)</f>
        <v>2007</v>
      </c>
    </row>
    <row r="225">
      <c r="A225" s="2">
        <f>IFERROR(__xludf.DUMMYFUNCTION("""COMPUTED_VALUE"""),41235.645833333336)</f>
        <v>41235.64583</v>
      </c>
      <c r="B225" s="1">
        <f>IFERROR(__xludf.DUMMYFUNCTION("""COMPUTED_VALUE"""),60700.0)</f>
        <v>60700</v>
      </c>
      <c r="C225" s="1">
        <f>IFERROR(__xludf.DUMMYFUNCTION("""COMPUTED_VALUE"""),60900.0)</f>
        <v>60900</v>
      </c>
      <c r="D225" s="1">
        <f>IFERROR(__xludf.DUMMYFUNCTION("""COMPUTED_VALUE"""),60100.0)</f>
        <v>60100</v>
      </c>
      <c r="E225" s="1">
        <f>IFERROR(__xludf.DUMMYFUNCTION("""COMPUTED_VALUE"""),60900.0)</f>
        <v>60900</v>
      </c>
      <c r="F225" s="1">
        <f>IFERROR(__xludf.DUMMYFUNCTION("""COMPUTED_VALUE"""),4306.0)</f>
        <v>4306</v>
      </c>
    </row>
    <row r="226">
      <c r="A226" s="2">
        <f>IFERROR(__xludf.DUMMYFUNCTION("""COMPUTED_VALUE"""),41236.645833333336)</f>
        <v>41236.64583</v>
      </c>
      <c r="B226" s="1">
        <f>IFERROR(__xludf.DUMMYFUNCTION("""COMPUTED_VALUE"""),60900.0)</f>
        <v>60900</v>
      </c>
      <c r="C226" s="1">
        <f>IFERROR(__xludf.DUMMYFUNCTION("""COMPUTED_VALUE"""),60900.0)</f>
        <v>60900</v>
      </c>
      <c r="D226" s="1">
        <f>IFERROR(__xludf.DUMMYFUNCTION("""COMPUTED_VALUE"""),60000.0)</f>
        <v>60000</v>
      </c>
      <c r="E226" s="1">
        <f>IFERROR(__xludf.DUMMYFUNCTION("""COMPUTED_VALUE"""),60700.0)</f>
        <v>60700</v>
      </c>
      <c r="F226" s="1">
        <f>IFERROR(__xludf.DUMMYFUNCTION("""COMPUTED_VALUE"""),4251.0)</f>
        <v>4251</v>
      </c>
    </row>
    <row r="227">
      <c r="A227" s="2">
        <f>IFERROR(__xludf.DUMMYFUNCTION("""COMPUTED_VALUE"""),41239.645833333336)</f>
        <v>41239.64583</v>
      </c>
      <c r="B227" s="1">
        <f>IFERROR(__xludf.DUMMYFUNCTION("""COMPUTED_VALUE"""),60900.0)</f>
        <v>60900</v>
      </c>
      <c r="C227" s="1">
        <f>IFERROR(__xludf.DUMMYFUNCTION("""COMPUTED_VALUE"""),61000.0)</f>
        <v>61000</v>
      </c>
      <c r="D227" s="1">
        <f>IFERROR(__xludf.DUMMYFUNCTION("""COMPUTED_VALUE"""),60600.0)</f>
        <v>60600</v>
      </c>
      <c r="E227" s="1">
        <f>IFERROR(__xludf.DUMMYFUNCTION("""COMPUTED_VALUE"""),60700.0)</f>
        <v>60700</v>
      </c>
      <c r="F227" s="1">
        <f>IFERROR(__xludf.DUMMYFUNCTION("""COMPUTED_VALUE"""),3336.0)</f>
        <v>3336</v>
      </c>
    </row>
    <row r="228">
      <c r="A228" s="2">
        <f>IFERROR(__xludf.DUMMYFUNCTION("""COMPUTED_VALUE"""),41240.645833333336)</f>
        <v>41240.64583</v>
      </c>
      <c r="B228" s="1">
        <f>IFERROR(__xludf.DUMMYFUNCTION("""COMPUTED_VALUE"""),60400.0)</f>
        <v>60400</v>
      </c>
      <c r="C228" s="1">
        <f>IFERROR(__xludf.DUMMYFUNCTION("""COMPUTED_VALUE"""),61100.0)</f>
        <v>61100</v>
      </c>
      <c r="D228" s="1">
        <f>IFERROR(__xludf.DUMMYFUNCTION("""COMPUTED_VALUE"""),60400.0)</f>
        <v>60400</v>
      </c>
      <c r="E228" s="1">
        <f>IFERROR(__xludf.DUMMYFUNCTION("""COMPUTED_VALUE"""),61100.0)</f>
        <v>61100</v>
      </c>
      <c r="F228" s="1">
        <f>IFERROR(__xludf.DUMMYFUNCTION("""COMPUTED_VALUE"""),10915.0)</f>
        <v>10915</v>
      </c>
    </row>
    <row r="229">
      <c r="A229" s="2">
        <f>IFERROR(__xludf.DUMMYFUNCTION("""COMPUTED_VALUE"""),41241.645833333336)</f>
        <v>41241.64583</v>
      </c>
      <c r="B229" s="1">
        <f>IFERROR(__xludf.DUMMYFUNCTION("""COMPUTED_VALUE"""),61000.0)</f>
        <v>61000</v>
      </c>
      <c r="C229" s="1">
        <f>IFERROR(__xludf.DUMMYFUNCTION("""COMPUTED_VALUE"""),61200.0)</f>
        <v>61200</v>
      </c>
      <c r="D229" s="1">
        <f>IFERROR(__xludf.DUMMYFUNCTION("""COMPUTED_VALUE"""),61000.0)</f>
        <v>61000</v>
      </c>
      <c r="E229" s="1">
        <f>IFERROR(__xludf.DUMMYFUNCTION("""COMPUTED_VALUE"""),61200.0)</f>
        <v>61200</v>
      </c>
      <c r="F229" s="1">
        <f>IFERROR(__xludf.DUMMYFUNCTION("""COMPUTED_VALUE"""),15355.0)</f>
        <v>15355</v>
      </c>
    </row>
    <row r="230">
      <c r="A230" s="2">
        <f>IFERROR(__xludf.DUMMYFUNCTION("""COMPUTED_VALUE"""),41242.645833333336)</f>
        <v>41242.64583</v>
      </c>
      <c r="B230" s="1">
        <f>IFERROR(__xludf.DUMMYFUNCTION("""COMPUTED_VALUE"""),61000.0)</f>
        <v>61000</v>
      </c>
      <c r="C230" s="1">
        <f>IFERROR(__xludf.DUMMYFUNCTION("""COMPUTED_VALUE"""),61500.0)</f>
        <v>61500</v>
      </c>
      <c r="D230" s="1">
        <f>IFERROR(__xludf.DUMMYFUNCTION("""COMPUTED_VALUE"""),60900.0)</f>
        <v>60900</v>
      </c>
      <c r="E230" s="1">
        <f>IFERROR(__xludf.DUMMYFUNCTION("""COMPUTED_VALUE"""),61200.0)</f>
        <v>61200</v>
      </c>
      <c r="F230" s="1">
        <f>IFERROR(__xludf.DUMMYFUNCTION("""COMPUTED_VALUE"""),7056.0)</f>
        <v>7056</v>
      </c>
    </row>
    <row r="231">
      <c r="A231" s="2">
        <f>IFERROR(__xludf.DUMMYFUNCTION("""COMPUTED_VALUE"""),41243.645833333336)</f>
        <v>41243.64583</v>
      </c>
      <c r="B231" s="1">
        <f>IFERROR(__xludf.DUMMYFUNCTION("""COMPUTED_VALUE"""),61300.0)</f>
        <v>61300</v>
      </c>
      <c r="C231" s="1">
        <f>IFERROR(__xludf.DUMMYFUNCTION("""COMPUTED_VALUE"""),61300.0)</f>
        <v>61300</v>
      </c>
      <c r="D231" s="1">
        <f>IFERROR(__xludf.DUMMYFUNCTION("""COMPUTED_VALUE"""),61000.0)</f>
        <v>61000</v>
      </c>
      <c r="E231" s="1">
        <f>IFERROR(__xludf.DUMMYFUNCTION("""COMPUTED_VALUE"""),61200.0)</f>
        <v>61200</v>
      </c>
      <c r="F231" s="1">
        <f>IFERROR(__xludf.DUMMYFUNCTION("""COMPUTED_VALUE"""),2395.0)</f>
        <v>2395</v>
      </c>
    </row>
    <row r="232">
      <c r="A232" s="2">
        <f>IFERROR(__xludf.DUMMYFUNCTION("""COMPUTED_VALUE"""),41246.645833333336)</f>
        <v>41246.64583</v>
      </c>
      <c r="B232" s="1">
        <f>IFERROR(__xludf.DUMMYFUNCTION("""COMPUTED_VALUE"""),61100.0)</f>
        <v>61100</v>
      </c>
      <c r="C232" s="1">
        <f>IFERROR(__xludf.DUMMYFUNCTION("""COMPUTED_VALUE"""),61400.0)</f>
        <v>61400</v>
      </c>
      <c r="D232" s="1">
        <f>IFERROR(__xludf.DUMMYFUNCTION("""COMPUTED_VALUE"""),60800.0)</f>
        <v>60800</v>
      </c>
      <c r="E232" s="1">
        <f>IFERROR(__xludf.DUMMYFUNCTION("""COMPUTED_VALUE"""),60900.0)</f>
        <v>60900</v>
      </c>
      <c r="F232" s="1">
        <f>IFERROR(__xludf.DUMMYFUNCTION("""COMPUTED_VALUE"""),4699.0)</f>
        <v>4699</v>
      </c>
    </row>
    <row r="233">
      <c r="A233" s="2">
        <f>IFERROR(__xludf.DUMMYFUNCTION("""COMPUTED_VALUE"""),41247.645833333336)</f>
        <v>41247.64583</v>
      </c>
      <c r="B233" s="1">
        <f>IFERROR(__xludf.DUMMYFUNCTION("""COMPUTED_VALUE"""),61100.0)</f>
        <v>61100</v>
      </c>
      <c r="C233" s="1">
        <f>IFERROR(__xludf.DUMMYFUNCTION("""COMPUTED_VALUE"""),61100.0)</f>
        <v>61100</v>
      </c>
      <c r="D233" s="1">
        <f>IFERROR(__xludf.DUMMYFUNCTION("""COMPUTED_VALUE"""),60900.0)</f>
        <v>60900</v>
      </c>
      <c r="E233" s="1">
        <f>IFERROR(__xludf.DUMMYFUNCTION("""COMPUTED_VALUE"""),61000.0)</f>
        <v>61000</v>
      </c>
      <c r="F233" s="1">
        <f>IFERROR(__xludf.DUMMYFUNCTION("""COMPUTED_VALUE"""),2350.0)</f>
        <v>2350</v>
      </c>
    </row>
    <row r="234">
      <c r="A234" s="2">
        <f>IFERROR(__xludf.DUMMYFUNCTION("""COMPUTED_VALUE"""),41248.645833333336)</f>
        <v>41248.64583</v>
      </c>
      <c r="B234" s="1">
        <f>IFERROR(__xludf.DUMMYFUNCTION("""COMPUTED_VALUE"""),61100.0)</f>
        <v>61100</v>
      </c>
      <c r="C234" s="1">
        <f>IFERROR(__xludf.DUMMYFUNCTION("""COMPUTED_VALUE"""),61300.0)</f>
        <v>61300</v>
      </c>
      <c r="D234" s="1">
        <f>IFERROR(__xludf.DUMMYFUNCTION("""COMPUTED_VALUE"""),60900.0)</f>
        <v>60900</v>
      </c>
      <c r="E234" s="1">
        <f>IFERROR(__xludf.DUMMYFUNCTION("""COMPUTED_VALUE"""),61100.0)</f>
        <v>61100</v>
      </c>
      <c r="F234" s="1">
        <f>IFERROR(__xludf.DUMMYFUNCTION("""COMPUTED_VALUE"""),4171.0)</f>
        <v>4171</v>
      </c>
    </row>
    <row r="235">
      <c r="A235" s="2">
        <f>IFERROR(__xludf.DUMMYFUNCTION("""COMPUTED_VALUE"""),41249.645833333336)</f>
        <v>41249.64583</v>
      </c>
      <c r="B235" s="1">
        <f>IFERROR(__xludf.DUMMYFUNCTION("""COMPUTED_VALUE"""),61100.0)</f>
        <v>61100</v>
      </c>
      <c r="C235" s="1">
        <f>IFERROR(__xludf.DUMMYFUNCTION("""COMPUTED_VALUE"""),61500.0)</f>
        <v>61500</v>
      </c>
      <c r="D235" s="1">
        <f>IFERROR(__xludf.DUMMYFUNCTION("""COMPUTED_VALUE"""),61100.0)</f>
        <v>61100</v>
      </c>
      <c r="E235" s="1">
        <f>IFERROR(__xludf.DUMMYFUNCTION("""COMPUTED_VALUE"""),61300.0)</f>
        <v>61300</v>
      </c>
      <c r="F235" s="1">
        <f>IFERROR(__xludf.DUMMYFUNCTION("""COMPUTED_VALUE"""),4371.0)</f>
        <v>4371</v>
      </c>
    </row>
    <row r="236">
      <c r="A236" s="2">
        <f>IFERROR(__xludf.DUMMYFUNCTION("""COMPUTED_VALUE"""),41250.645833333336)</f>
        <v>41250.64583</v>
      </c>
      <c r="B236" s="1">
        <f>IFERROR(__xludf.DUMMYFUNCTION("""COMPUTED_VALUE"""),61400.0)</f>
        <v>61400</v>
      </c>
      <c r="C236" s="1">
        <f>IFERROR(__xludf.DUMMYFUNCTION("""COMPUTED_VALUE"""),61500.0)</f>
        <v>61500</v>
      </c>
      <c r="D236" s="1">
        <f>IFERROR(__xludf.DUMMYFUNCTION("""COMPUTED_VALUE"""),61100.0)</f>
        <v>61100</v>
      </c>
      <c r="E236" s="1">
        <f>IFERROR(__xludf.DUMMYFUNCTION("""COMPUTED_VALUE"""),61400.0)</f>
        <v>61400</v>
      </c>
      <c r="F236" s="1">
        <f>IFERROR(__xludf.DUMMYFUNCTION("""COMPUTED_VALUE"""),2803.0)</f>
        <v>2803</v>
      </c>
    </row>
    <row r="237">
      <c r="A237" s="2">
        <f>IFERROR(__xludf.DUMMYFUNCTION("""COMPUTED_VALUE"""),41253.645833333336)</f>
        <v>41253.64583</v>
      </c>
      <c r="B237" s="1">
        <f>IFERROR(__xludf.DUMMYFUNCTION("""COMPUTED_VALUE"""),61400.0)</f>
        <v>61400</v>
      </c>
      <c r="C237" s="1">
        <f>IFERROR(__xludf.DUMMYFUNCTION("""COMPUTED_VALUE"""),61600.0)</f>
        <v>61600</v>
      </c>
      <c r="D237" s="1">
        <f>IFERROR(__xludf.DUMMYFUNCTION("""COMPUTED_VALUE"""),61000.0)</f>
        <v>61000</v>
      </c>
      <c r="E237" s="1">
        <f>IFERROR(__xludf.DUMMYFUNCTION("""COMPUTED_VALUE"""),61600.0)</f>
        <v>61600</v>
      </c>
      <c r="F237" s="1">
        <f>IFERROR(__xludf.DUMMYFUNCTION("""COMPUTED_VALUE"""),11866.0)</f>
        <v>11866</v>
      </c>
    </row>
    <row r="238">
      <c r="A238" s="2">
        <f>IFERROR(__xludf.DUMMYFUNCTION("""COMPUTED_VALUE"""),41254.645833333336)</f>
        <v>41254.64583</v>
      </c>
      <c r="B238" s="1">
        <f>IFERROR(__xludf.DUMMYFUNCTION("""COMPUTED_VALUE"""),61700.0)</f>
        <v>61700</v>
      </c>
      <c r="C238" s="1">
        <f>IFERROR(__xludf.DUMMYFUNCTION("""COMPUTED_VALUE"""),61900.0)</f>
        <v>61900</v>
      </c>
      <c r="D238" s="1">
        <f>IFERROR(__xludf.DUMMYFUNCTION("""COMPUTED_VALUE"""),61400.0)</f>
        <v>61400</v>
      </c>
      <c r="E238" s="1">
        <f>IFERROR(__xludf.DUMMYFUNCTION("""COMPUTED_VALUE"""),61700.0)</f>
        <v>61700</v>
      </c>
      <c r="F238" s="1">
        <f>IFERROR(__xludf.DUMMYFUNCTION("""COMPUTED_VALUE"""),6026.0)</f>
        <v>6026</v>
      </c>
    </row>
    <row r="239">
      <c r="A239" s="2">
        <f>IFERROR(__xludf.DUMMYFUNCTION("""COMPUTED_VALUE"""),41255.645833333336)</f>
        <v>41255.64583</v>
      </c>
      <c r="B239" s="1">
        <f>IFERROR(__xludf.DUMMYFUNCTION("""COMPUTED_VALUE"""),61800.0)</f>
        <v>61800</v>
      </c>
      <c r="C239" s="1">
        <f>IFERROR(__xludf.DUMMYFUNCTION("""COMPUTED_VALUE"""),61900.0)</f>
        <v>61900</v>
      </c>
      <c r="D239" s="1">
        <f>IFERROR(__xludf.DUMMYFUNCTION("""COMPUTED_VALUE"""),61500.0)</f>
        <v>61500</v>
      </c>
      <c r="E239" s="1">
        <f>IFERROR(__xludf.DUMMYFUNCTION("""COMPUTED_VALUE"""),61600.0)</f>
        <v>61600</v>
      </c>
      <c r="F239" s="1">
        <f>IFERROR(__xludf.DUMMYFUNCTION("""COMPUTED_VALUE"""),4402.0)</f>
        <v>4402</v>
      </c>
    </row>
    <row r="240">
      <c r="A240" s="2">
        <f>IFERROR(__xludf.DUMMYFUNCTION("""COMPUTED_VALUE"""),41256.645833333336)</f>
        <v>41256.64583</v>
      </c>
      <c r="B240" s="1">
        <f>IFERROR(__xludf.DUMMYFUNCTION("""COMPUTED_VALUE"""),61500.0)</f>
        <v>61500</v>
      </c>
      <c r="C240" s="1">
        <f>IFERROR(__xludf.DUMMYFUNCTION("""COMPUTED_VALUE"""),61900.0)</f>
        <v>61900</v>
      </c>
      <c r="D240" s="1">
        <f>IFERROR(__xludf.DUMMYFUNCTION("""COMPUTED_VALUE"""),61500.0)</f>
        <v>61500</v>
      </c>
      <c r="E240" s="1">
        <f>IFERROR(__xludf.DUMMYFUNCTION("""COMPUTED_VALUE"""),61800.0)</f>
        <v>61800</v>
      </c>
      <c r="F240" s="1">
        <f>IFERROR(__xludf.DUMMYFUNCTION("""COMPUTED_VALUE"""),2139.0)</f>
        <v>2139</v>
      </c>
    </row>
    <row r="241">
      <c r="A241" s="2">
        <f>IFERROR(__xludf.DUMMYFUNCTION("""COMPUTED_VALUE"""),41257.645833333336)</f>
        <v>41257.64583</v>
      </c>
      <c r="B241" s="1">
        <f>IFERROR(__xludf.DUMMYFUNCTION("""COMPUTED_VALUE"""),61600.0)</f>
        <v>61600</v>
      </c>
      <c r="C241" s="1">
        <f>IFERROR(__xludf.DUMMYFUNCTION("""COMPUTED_VALUE"""),61800.0)</f>
        <v>61800</v>
      </c>
      <c r="D241" s="1">
        <f>IFERROR(__xludf.DUMMYFUNCTION("""COMPUTED_VALUE"""),61500.0)</f>
        <v>61500</v>
      </c>
      <c r="E241" s="1">
        <f>IFERROR(__xludf.DUMMYFUNCTION("""COMPUTED_VALUE"""),61800.0)</f>
        <v>61800</v>
      </c>
      <c r="F241" s="1">
        <f>IFERROR(__xludf.DUMMYFUNCTION("""COMPUTED_VALUE"""),2248.0)</f>
        <v>2248</v>
      </c>
    </row>
    <row r="242">
      <c r="A242" s="2">
        <f>IFERROR(__xludf.DUMMYFUNCTION("""COMPUTED_VALUE"""),41260.645833333336)</f>
        <v>41260.64583</v>
      </c>
      <c r="B242" s="1">
        <f>IFERROR(__xludf.DUMMYFUNCTION("""COMPUTED_VALUE"""),61900.0)</f>
        <v>61900</v>
      </c>
      <c r="C242" s="1">
        <f>IFERROR(__xludf.DUMMYFUNCTION("""COMPUTED_VALUE"""),61900.0)</f>
        <v>61900</v>
      </c>
      <c r="D242" s="1">
        <f>IFERROR(__xludf.DUMMYFUNCTION("""COMPUTED_VALUE"""),61300.0)</f>
        <v>61300</v>
      </c>
      <c r="E242" s="1">
        <f>IFERROR(__xludf.DUMMYFUNCTION("""COMPUTED_VALUE"""),61900.0)</f>
        <v>61900</v>
      </c>
      <c r="F242" s="1">
        <f>IFERROR(__xludf.DUMMYFUNCTION("""COMPUTED_VALUE"""),6264.0)</f>
        <v>6264</v>
      </c>
    </row>
    <row r="243">
      <c r="A243" s="2">
        <f>IFERROR(__xludf.DUMMYFUNCTION("""COMPUTED_VALUE"""),41261.645833333336)</f>
        <v>41261.64583</v>
      </c>
      <c r="B243" s="1">
        <f>IFERROR(__xludf.DUMMYFUNCTION("""COMPUTED_VALUE"""),62000.0)</f>
        <v>62000</v>
      </c>
      <c r="C243" s="1">
        <f>IFERROR(__xludf.DUMMYFUNCTION("""COMPUTED_VALUE"""),62000.0)</f>
        <v>62000</v>
      </c>
      <c r="D243" s="1">
        <f>IFERROR(__xludf.DUMMYFUNCTION("""COMPUTED_VALUE"""),61400.0)</f>
        <v>61400</v>
      </c>
      <c r="E243" s="1">
        <f>IFERROR(__xludf.DUMMYFUNCTION("""COMPUTED_VALUE"""),61800.0)</f>
        <v>61800</v>
      </c>
      <c r="F243" s="1">
        <f>IFERROR(__xludf.DUMMYFUNCTION("""COMPUTED_VALUE"""),10963.0)</f>
        <v>10963</v>
      </c>
    </row>
    <row r="244">
      <c r="A244" s="2">
        <f>IFERROR(__xludf.DUMMYFUNCTION("""COMPUTED_VALUE"""),41263.645833333336)</f>
        <v>41263.64583</v>
      </c>
      <c r="B244" s="1">
        <f>IFERROR(__xludf.DUMMYFUNCTION("""COMPUTED_VALUE"""),62100.0)</f>
        <v>62100</v>
      </c>
      <c r="C244" s="1">
        <f>IFERROR(__xludf.DUMMYFUNCTION("""COMPUTED_VALUE"""),62200.0)</f>
        <v>62200</v>
      </c>
      <c r="D244" s="1">
        <f>IFERROR(__xludf.DUMMYFUNCTION("""COMPUTED_VALUE"""),61700.0)</f>
        <v>61700</v>
      </c>
      <c r="E244" s="1">
        <f>IFERROR(__xludf.DUMMYFUNCTION("""COMPUTED_VALUE"""),61900.0)</f>
        <v>61900</v>
      </c>
      <c r="F244" s="1">
        <f>IFERROR(__xludf.DUMMYFUNCTION("""COMPUTED_VALUE"""),5761.0)</f>
        <v>5761</v>
      </c>
    </row>
    <row r="245">
      <c r="A245" s="2">
        <f>IFERROR(__xludf.DUMMYFUNCTION("""COMPUTED_VALUE"""),41264.645833333336)</f>
        <v>41264.64583</v>
      </c>
      <c r="B245" s="1">
        <f>IFERROR(__xludf.DUMMYFUNCTION("""COMPUTED_VALUE"""),62000.0)</f>
        <v>62000</v>
      </c>
      <c r="C245" s="1">
        <f>IFERROR(__xludf.DUMMYFUNCTION("""COMPUTED_VALUE"""),62000.0)</f>
        <v>62000</v>
      </c>
      <c r="D245" s="1">
        <f>IFERROR(__xludf.DUMMYFUNCTION("""COMPUTED_VALUE"""),61700.0)</f>
        <v>61700</v>
      </c>
      <c r="E245" s="1">
        <f>IFERROR(__xludf.DUMMYFUNCTION("""COMPUTED_VALUE"""),61800.0)</f>
        <v>61800</v>
      </c>
      <c r="F245" s="1">
        <f>IFERROR(__xludf.DUMMYFUNCTION("""COMPUTED_VALUE"""),9866.0)</f>
        <v>9866</v>
      </c>
    </row>
    <row r="246">
      <c r="A246" s="2">
        <f>IFERROR(__xludf.DUMMYFUNCTION("""COMPUTED_VALUE"""),41267.645833333336)</f>
        <v>41267.64583</v>
      </c>
      <c r="B246" s="1">
        <f>IFERROR(__xludf.DUMMYFUNCTION("""COMPUTED_VALUE"""),61800.0)</f>
        <v>61800</v>
      </c>
      <c r="C246" s="1">
        <f>IFERROR(__xludf.DUMMYFUNCTION("""COMPUTED_VALUE"""),61900.0)</f>
        <v>61900</v>
      </c>
      <c r="D246" s="1">
        <f>IFERROR(__xludf.DUMMYFUNCTION("""COMPUTED_VALUE"""),61500.0)</f>
        <v>61500</v>
      </c>
      <c r="E246" s="1">
        <f>IFERROR(__xludf.DUMMYFUNCTION("""COMPUTED_VALUE"""),61800.0)</f>
        <v>61800</v>
      </c>
      <c r="F246" s="1">
        <f>IFERROR(__xludf.DUMMYFUNCTION("""COMPUTED_VALUE"""),8044.0)</f>
        <v>8044</v>
      </c>
    </row>
    <row r="247">
      <c r="A247" s="2">
        <f>IFERROR(__xludf.DUMMYFUNCTION("""COMPUTED_VALUE"""),41269.645833333336)</f>
        <v>41269.64583</v>
      </c>
      <c r="B247" s="1">
        <f>IFERROR(__xludf.DUMMYFUNCTION("""COMPUTED_VALUE"""),61700.0)</f>
        <v>61700</v>
      </c>
      <c r="C247" s="1">
        <f>IFERROR(__xludf.DUMMYFUNCTION("""COMPUTED_VALUE"""),61700.0)</f>
        <v>61700</v>
      </c>
      <c r="D247" s="1">
        <f>IFERROR(__xludf.DUMMYFUNCTION("""COMPUTED_VALUE"""),61100.0)</f>
        <v>61100</v>
      </c>
      <c r="E247" s="1">
        <f>IFERROR(__xludf.DUMMYFUNCTION("""COMPUTED_VALUE"""),61600.0)</f>
        <v>61600</v>
      </c>
      <c r="F247" s="1">
        <f>IFERROR(__xludf.DUMMYFUNCTION("""COMPUTED_VALUE"""),22266.0)</f>
        <v>22266</v>
      </c>
    </row>
    <row r="248">
      <c r="A248" s="2">
        <f>IFERROR(__xludf.DUMMYFUNCTION("""COMPUTED_VALUE"""),41270.645833333336)</f>
        <v>41270.64583</v>
      </c>
      <c r="B248" s="1">
        <f>IFERROR(__xludf.DUMMYFUNCTION("""COMPUTED_VALUE"""),59400.0)</f>
        <v>59400</v>
      </c>
      <c r="C248" s="1">
        <f>IFERROR(__xludf.DUMMYFUNCTION("""COMPUTED_VALUE"""),60100.0)</f>
        <v>60100</v>
      </c>
      <c r="D248" s="1">
        <f>IFERROR(__xludf.DUMMYFUNCTION("""COMPUTED_VALUE"""),59000.0)</f>
        <v>59000</v>
      </c>
      <c r="E248" s="1">
        <f>IFERROR(__xludf.DUMMYFUNCTION("""COMPUTED_VALUE"""),59200.0)</f>
        <v>59200</v>
      </c>
      <c r="F248" s="1">
        <f>IFERROR(__xludf.DUMMYFUNCTION("""COMPUTED_VALUE"""),8553.0)</f>
        <v>8553</v>
      </c>
    </row>
    <row r="249">
      <c r="A249" s="2">
        <f>IFERROR(__xludf.DUMMYFUNCTION("""COMPUTED_VALUE"""),41271.645833333336)</f>
        <v>41271.64583</v>
      </c>
      <c r="B249" s="1">
        <f>IFERROR(__xludf.DUMMYFUNCTION("""COMPUTED_VALUE"""),58300.0)</f>
        <v>58300</v>
      </c>
      <c r="C249" s="1">
        <f>IFERROR(__xludf.DUMMYFUNCTION("""COMPUTED_VALUE"""),59900.0)</f>
        <v>59900</v>
      </c>
      <c r="D249" s="1">
        <f>IFERROR(__xludf.DUMMYFUNCTION("""COMPUTED_VALUE"""),58300.0)</f>
        <v>58300</v>
      </c>
      <c r="E249" s="1">
        <f>IFERROR(__xludf.DUMMYFUNCTION("""COMPUTED_VALUE"""),59400.0)</f>
        <v>59400</v>
      </c>
      <c r="F249" s="1">
        <f>IFERROR(__xludf.DUMMYFUNCTION("""COMPUTED_VALUE"""),1566.0)</f>
        <v>1566</v>
      </c>
    </row>
    <row r="250">
      <c r="A250" s="2">
        <f>IFERROR(__xludf.DUMMYFUNCTION("""COMPUTED_VALUE"""),41276.645833333336)</f>
        <v>41276.64583</v>
      </c>
      <c r="B250" s="1">
        <f>IFERROR(__xludf.DUMMYFUNCTION("""COMPUTED_VALUE"""),60000.0)</f>
        <v>60000</v>
      </c>
      <c r="C250" s="1">
        <f>IFERROR(__xludf.DUMMYFUNCTION("""COMPUTED_VALUE"""),60000.0)</f>
        <v>60000</v>
      </c>
      <c r="D250" s="1">
        <f>IFERROR(__xludf.DUMMYFUNCTION("""COMPUTED_VALUE"""),58600.0)</f>
        <v>58600</v>
      </c>
      <c r="E250" s="1">
        <f>IFERROR(__xludf.DUMMYFUNCTION("""COMPUTED_VALUE"""),59300.0)</f>
        <v>59300</v>
      </c>
      <c r="F250" s="1">
        <f>IFERROR(__xludf.DUMMYFUNCTION("""COMPUTED_VALUE"""),6739.0)</f>
        <v>6739</v>
      </c>
    </row>
    <row r="251">
      <c r="A251" s="2">
        <f>IFERROR(__xludf.DUMMYFUNCTION("""COMPUTED_VALUE"""),41277.645833333336)</f>
        <v>41277.64583</v>
      </c>
      <c r="B251" s="1">
        <f>IFERROR(__xludf.DUMMYFUNCTION("""COMPUTED_VALUE"""),59300.0)</f>
        <v>59300</v>
      </c>
      <c r="C251" s="1">
        <f>IFERROR(__xludf.DUMMYFUNCTION("""COMPUTED_VALUE"""),59800.0)</f>
        <v>59800</v>
      </c>
      <c r="D251" s="1">
        <f>IFERROR(__xludf.DUMMYFUNCTION("""COMPUTED_VALUE"""),58300.0)</f>
        <v>58300</v>
      </c>
      <c r="E251" s="1">
        <f>IFERROR(__xludf.DUMMYFUNCTION("""COMPUTED_VALUE"""),58700.0)</f>
        <v>58700</v>
      </c>
      <c r="F251" s="1">
        <f>IFERROR(__xludf.DUMMYFUNCTION("""COMPUTED_VALUE"""),5665.0)</f>
        <v>5665</v>
      </c>
    </row>
    <row r="252">
      <c r="A252" s="2">
        <f>IFERROR(__xludf.DUMMYFUNCTION("""COMPUTED_VALUE"""),41278.645833333336)</f>
        <v>41278.64583</v>
      </c>
      <c r="B252" s="1">
        <f>IFERROR(__xludf.DUMMYFUNCTION("""COMPUTED_VALUE"""),59000.0)</f>
        <v>59000</v>
      </c>
      <c r="C252" s="1">
        <f>IFERROR(__xludf.DUMMYFUNCTION("""COMPUTED_VALUE"""),59200.0)</f>
        <v>59200</v>
      </c>
      <c r="D252" s="1">
        <f>IFERROR(__xludf.DUMMYFUNCTION("""COMPUTED_VALUE"""),58300.0)</f>
        <v>58300</v>
      </c>
      <c r="E252" s="1">
        <f>IFERROR(__xludf.DUMMYFUNCTION("""COMPUTED_VALUE"""),59100.0)</f>
        <v>59100</v>
      </c>
      <c r="F252" s="1">
        <f>IFERROR(__xludf.DUMMYFUNCTION("""COMPUTED_VALUE"""),4447.0)</f>
        <v>4447</v>
      </c>
    </row>
    <row r="253">
      <c r="A253" s="2">
        <f>IFERROR(__xludf.DUMMYFUNCTION("""COMPUTED_VALUE"""),41281.645833333336)</f>
        <v>41281.64583</v>
      </c>
      <c r="B253" s="1">
        <f>IFERROR(__xludf.DUMMYFUNCTION("""COMPUTED_VALUE"""),59100.0)</f>
        <v>59100</v>
      </c>
      <c r="C253" s="1">
        <f>IFERROR(__xludf.DUMMYFUNCTION("""COMPUTED_VALUE"""),59200.0)</f>
        <v>59200</v>
      </c>
      <c r="D253" s="1">
        <f>IFERROR(__xludf.DUMMYFUNCTION("""COMPUTED_VALUE"""),58500.0)</f>
        <v>58500</v>
      </c>
      <c r="E253" s="1">
        <f>IFERROR(__xludf.DUMMYFUNCTION("""COMPUTED_VALUE"""),58800.0)</f>
        <v>58800</v>
      </c>
      <c r="F253" s="1">
        <f>IFERROR(__xludf.DUMMYFUNCTION("""COMPUTED_VALUE"""),1308.0)</f>
        <v>1308</v>
      </c>
    </row>
    <row r="254">
      <c r="A254" s="2">
        <f>IFERROR(__xludf.DUMMYFUNCTION("""COMPUTED_VALUE"""),41282.645833333336)</f>
        <v>41282.64583</v>
      </c>
      <c r="B254" s="1">
        <f>IFERROR(__xludf.DUMMYFUNCTION("""COMPUTED_VALUE"""),58600.0)</f>
        <v>58600</v>
      </c>
      <c r="C254" s="1">
        <f>IFERROR(__xludf.DUMMYFUNCTION("""COMPUTED_VALUE"""),58600.0)</f>
        <v>58600</v>
      </c>
      <c r="D254" s="1">
        <f>IFERROR(__xludf.DUMMYFUNCTION("""COMPUTED_VALUE"""),57900.0)</f>
        <v>57900</v>
      </c>
      <c r="E254" s="1">
        <f>IFERROR(__xludf.DUMMYFUNCTION("""COMPUTED_VALUE"""),57900.0)</f>
        <v>57900</v>
      </c>
      <c r="F254" s="1">
        <f>IFERROR(__xludf.DUMMYFUNCTION("""COMPUTED_VALUE"""),27438.0)</f>
        <v>27438</v>
      </c>
    </row>
    <row r="255">
      <c r="A255" s="2">
        <f>IFERROR(__xludf.DUMMYFUNCTION("""COMPUTED_VALUE"""),41283.645833333336)</f>
        <v>41283.64583</v>
      </c>
      <c r="B255" s="1">
        <f>IFERROR(__xludf.DUMMYFUNCTION("""COMPUTED_VALUE"""),58500.0)</f>
        <v>58500</v>
      </c>
      <c r="C255" s="1">
        <f>IFERROR(__xludf.DUMMYFUNCTION("""COMPUTED_VALUE"""),58600.0)</f>
        <v>58600</v>
      </c>
      <c r="D255" s="1">
        <f>IFERROR(__xludf.DUMMYFUNCTION("""COMPUTED_VALUE"""),57900.0)</f>
        <v>57900</v>
      </c>
      <c r="E255" s="1">
        <f>IFERROR(__xludf.DUMMYFUNCTION("""COMPUTED_VALUE"""),58400.0)</f>
        <v>58400</v>
      </c>
      <c r="F255" s="1">
        <f>IFERROR(__xludf.DUMMYFUNCTION("""COMPUTED_VALUE"""),6600.0)</f>
        <v>6600</v>
      </c>
    </row>
    <row r="256">
      <c r="A256" s="2">
        <f>IFERROR(__xludf.DUMMYFUNCTION("""COMPUTED_VALUE"""),41284.645833333336)</f>
        <v>41284.64583</v>
      </c>
      <c r="B256" s="1">
        <f>IFERROR(__xludf.DUMMYFUNCTION("""COMPUTED_VALUE"""),58300.0)</f>
        <v>58300</v>
      </c>
      <c r="C256" s="1">
        <f>IFERROR(__xludf.DUMMYFUNCTION("""COMPUTED_VALUE"""),58900.0)</f>
        <v>58900</v>
      </c>
      <c r="D256" s="1">
        <f>IFERROR(__xludf.DUMMYFUNCTION("""COMPUTED_VALUE"""),57900.0)</f>
        <v>57900</v>
      </c>
      <c r="E256" s="1">
        <f>IFERROR(__xludf.DUMMYFUNCTION("""COMPUTED_VALUE"""),58500.0)</f>
        <v>58500</v>
      </c>
      <c r="F256" s="1">
        <f>IFERROR(__xludf.DUMMYFUNCTION("""COMPUTED_VALUE"""),3478.0)</f>
        <v>3478</v>
      </c>
    </row>
    <row r="257">
      <c r="A257" s="2">
        <f>IFERROR(__xludf.DUMMYFUNCTION("""COMPUTED_VALUE"""),41285.645833333336)</f>
        <v>41285.64583</v>
      </c>
      <c r="B257" s="1">
        <f>IFERROR(__xludf.DUMMYFUNCTION("""COMPUTED_VALUE"""),59100.0)</f>
        <v>59100</v>
      </c>
      <c r="C257" s="1">
        <f>IFERROR(__xludf.DUMMYFUNCTION("""COMPUTED_VALUE"""),59100.0)</f>
        <v>59100</v>
      </c>
      <c r="D257" s="1">
        <f>IFERROR(__xludf.DUMMYFUNCTION("""COMPUTED_VALUE"""),57900.0)</f>
        <v>57900</v>
      </c>
      <c r="E257" s="1">
        <f>IFERROR(__xludf.DUMMYFUNCTION("""COMPUTED_VALUE"""),58300.0)</f>
        <v>58300</v>
      </c>
      <c r="F257" s="1">
        <f>IFERROR(__xludf.DUMMYFUNCTION("""COMPUTED_VALUE"""),1462.0)</f>
        <v>1462</v>
      </c>
    </row>
    <row r="258">
      <c r="A258" s="2">
        <f>IFERROR(__xludf.DUMMYFUNCTION("""COMPUTED_VALUE"""),41288.645833333336)</f>
        <v>41288.64583</v>
      </c>
      <c r="B258" s="1">
        <f>IFERROR(__xludf.DUMMYFUNCTION("""COMPUTED_VALUE"""),58600.0)</f>
        <v>58600</v>
      </c>
      <c r="C258" s="1">
        <f>IFERROR(__xludf.DUMMYFUNCTION("""COMPUTED_VALUE"""),58600.0)</f>
        <v>58600</v>
      </c>
      <c r="D258" s="1">
        <f>IFERROR(__xludf.DUMMYFUNCTION("""COMPUTED_VALUE"""),57700.0)</f>
        <v>57700</v>
      </c>
      <c r="E258" s="1">
        <f>IFERROR(__xludf.DUMMYFUNCTION("""COMPUTED_VALUE"""),57900.0)</f>
        <v>57900</v>
      </c>
      <c r="F258" s="1">
        <f>IFERROR(__xludf.DUMMYFUNCTION("""COMPUTED_VALUE"""),2323.0)</f>
        <v>2323</v>
      </c>
    </row>
    <row r="259">
      <c r="A259" s="2">
        <f>IFERROR(__xludf.DUMMYFUNCTION("""COMPUTED_VALUE"""),41289.645833333336)</f>
        <v>41289.64583</v>
      </c>
      <c r="B259" s="1">
        <f>IFERROR(__xludf.DUMMYFUNCTION("""COMPUTED_VALUE"""),57900.0)</f>
        <v>57900</v>
      </c>
      <c r="C259" s="1">
        <f>IFERROR(__xludf.DUMMYFUNCTION("""COMPUTED_VALUE"""),58800.0)</f>
        <v>58800</v>
      </c>
      <c r="D259" s="1">
        <f>IFERROR(__xludf.DUMMYFUNCTION("""COMPUTED_VALUE"""),57600.0)</f>
        <v>57600</v>
      </c>
      <c r="E259" s="1">
        <f>IFERROR(__xludf.DUMMYFUNCTION("""COMPUTED_VALUE"""),58200.0)</f>
        <v>58200</v>
      </c>
      <c r="F259" s="1">
        <f>IFERROR(__xludf.DUMMYFUNCTION("""COMPUTED_VALUE"""),2407.0)</f>
        <v>2407</v>
      </c>
    </row>
    <row r="260">
      <c r="A260" s="2">
        <f>IFERROR(__xludf.DUMMYFUNCTION("""COMPUTED_VALUE"""),41290.645833333336)</f>
        <v>41290.64583</v>
      </c>
      <c r="B260" s="1">
        <f>IFERROR(__xludf.DUMMYFUNCTION("""COMPUTED_VALUE"""),58200.0)</f>
        <v>58200</v>
      </c>
      <c r="C260" s="1">
        <f>IFERROR(__xludf.DUMMYFUNCTION("""COMPUTED_VALUE"""),58200.0)</f>
        <v>58200</v>
      </c>
      <c r="D260" s="1">
        <f>IFERROR(__xludf.DUMMYFUNCTION("""COMPUTED_VALUE"""),57900.0)</f>
        <v>57900</v>
      </c>
      <c r="E260" s="1">
        <f>IFERROR(__xludf.DUMMYFUNCTION("""COMPUTED_VALUE"""),58100.0)</f>
        <v>58100</v>
      </c>
      <c r="F260" s="1">
        <f>IFERROR(__xludf.DUMMYFUNCTION("""COMPUTED_VALUE"""),337.0)</f>
        <v>337</v>
      </c>
    </row>
    <row r="261">
      <c r="A261" s="2">
        <f>IFERROR(__xludf.DUMMYFUNCTION("""COMPUTED_VALUE"""),41291.645833333336)</f>
        <v>41291.64583</v>
      </c>
      <c r="B261" s="1">
        <f>IFERROR(__xludf.DUMMYFUNCTION("""COMPUTED_VALUE"""),58100.0)</f>
        <v>58100</v>
      </c>
      <c r="C261" s="1">
        <f>IFERROR(__xludf.DUMMYFUNCTION("""COMPUTED_VALUE"""),58100.0)</f>
        <v>58100</v>
      </c>
      <c r="D261" s="1">
        <f>IFERROR(__xludf.DUMMYFUNCTION("""COMPUTED_VALUE"""),57800.0)</f>
        <v>57800</v>
      </c>
      <c r="E261" s="1">
        <f>IFERROR(__xludf.DUMMYFUNCTION("""COMPUTED_VALUE"""),58000.0)</f>
        <v>58000</v>
      </c>
      <c r="F261" s="1">
        <f>IFERROR(__xludf.DUMMYFUNCTION("""COMPUTED_VALUE"""),2106.0)</f>
        <v>2106</v>
      </c>
    </row>
    <row r="262">
      <c r="A262" s="2">
        <f>IFERROR(__xludf.DUMMYFUNCTION("""COMPUTED_VALUE"""),41292.645833333336)</f>
        <v>41292.64583</v>
      </c>
      <c r="B262" s="1">
        <f>IFERROR(__xludf.DUMMYFUNCTION("""COMPUTED_VALUE"""),58000.0)</f>
        <v>58000</v>
      </c>
      <c r="C262" s="1">
        <f>IFERROR(__xludf.DUMMYFUNCTION("""COMPUTED_VALUE"""),58100.0)</f>
        <v>58100</v>
      </c>
      <c r="D262" s="1">
        <f>IFERROR(__xludf.DUMMYFUNCTION("""COMPUTED_VALUE"""),57700.0)</f>
        <v>57700</v>
      </c>
      <c r="E262" s="1">
        <f>IFERROR(__xludf.DUMMYFUNCTION("""COMPUTED_VALUE"""),58000.0)</f>
        <v>58000</v>
      </c>
      <c r="F262" s="1">
        <f>IFERROR(__xludf.DUMMYFUNCTION("""COMPUTED_VALUE"""),2363.0)</f>
        <v>2363</v>
      </c>
    </row>
    <row r="263">
      <c r="A263" s="2">
        <f>IFERROR(__xludf.DUMMYFUNCTION("""COMPUTED_VALUE"""),41295.645833333336)</f>
        <v>41295.64583</v>
      </c>
      <c r="B263" s="1">
        <f>IFERROR(__xludf.DUMMYFUNCTION("""COMPUTED_VALUE"""),58300.0)</f>
        <v>58300</v>
      </c>
      <c r="C263" s="1">
        <f>IFERROR(__xludf.DUMMYFUNCTION("""COMPUTED_VALUE"""),58300.0)</f>
        <v>58300</v>
      </c>
      <c r="D263" s="1">
        <f>IFERROR(__xludf.DUMMYFUNCTION("""COMPUTED_VALUE"""),57900.0)</f>
        <v>57900</v>
      </c>
      <c r="E263" s="1">
        <f>IFERROR(__xludf.DUMMYFUNCTION("""COMPUTED_VALUE"""),58200.0)</f>
        <v>58200</v>
      </c>
      <c r="F263" s="1">
        <f>IFERROR(__xludf.DUMMYFUNCTION("""COMPUTED_VALUE"""),939.0)</f>
        <v>939</v>
      </c>
    </row>
    <row r="264">
      <c r="A264" s="2">
        <f>IFERROR(__xludf.DUMMYFUNCTION("""COMPUTED_VALUE"""),41296.645833333336)</f>
        <v>41296.64583</v>
      </c>
      <c r="B264" s="1">
        <f>IFERROR(__xludf.DUMMYFUNCTION("""COMPUTED_VALUE"""),58300.0)</f>
        <v>58300</v>
      </c>
      <c r="C264" s="1">
        <f>IFERROR(__xludf.DUMMYFUNCTION("""COMPUTED_VALUE"""),58300.0)</f>
        <v>58300</v>
      </c>
      <c r="D264" s="1">
        <f>IFERROR(__xludf.DUMMYFUNCTION("""COMPUTED_VALUE"""),57700.0)</f>
        <v>57700</v>
      </c>
      <c r="E264" s="1">
        <f>IFERROR(__xludf.DUMMYFUNCTION("""COMPUTED_VALUE"""),57900.0)</f>
        <v>57900</v>
      </c>
      <c r="F264" s="1">
        <f>IFERROR(__xludf.DUMMYFUNCTION("""COMPUTED_VALUE"""),4000.0)</f>
        <v>4000</v>
      </c>
    </row>
    <row r="265">
      <c r="A265" s="2">
        <f>IFERROR(__xludf.DUMMYFUNCTION("""COMPUTED_VALUE"""),41297.645833333336)</f>
        <v>41297.64583</v>
      </c>
      <c r="B265" s="1">
        <f>IFERROR(__xludf.DUMMYFUNCTION("""COMPUTED_VALUE"""),58000.0)</f>
        <v>58000</v>
      </c>
      <c r="C265" s="1">
        <f>IFERROR(__xludf.DUMMYFUNCTION("""COMPUTED_VALUE"""),58500.0)</f>
        <v>58500</v>
      </c>
      <c r="D265" s="1">
        <f>IFERROR(__xludf.DUMMYFUNCTION("""COMPUTED_VALUE"""),58000.0)</f>
        <v>58000</v>
      </c>
      <c r="E265" s="1">
        <f>IFERROR(__xludf.DUMMYFUNCTION("""COMPUTED_VALUE"""),58100.0)</f>
        <v>58100</v>
      </c>
      <c r="F265" s="1">
        <f>IFERROR(__xludf.DUMMYFUNCTION("""COMPUTED_VALUE"""),4107.0)</f>
        <v>4107</v>
      </c>
    </row>
    <row r="266">
      <c r="A266" s="2">
        <f>IFERROR(__xludf.DUMMYFUNCTION("""COMPUTED_VALUE"""),41298.645833333336)</f>
        <v>41298.64583</v>
      </c>
      <c r="B266" s="1">
        <f>IFERROR(__xludf.DUMMYFUNCTION("""COMPUTED_VALUE"""),58400.0)</f>
        <v>58400</v>
      </c>
      <c r="C266" s="1">
        <f>IFERROR(__xludf.DUMMYFUNCTION("""COMPUTED_VALUE"""),58600.0)</f>
        <v>58600</v>
      </c>
      <c r="D266" s="1">
        <f>IFERROR(__xludf.DUMMYFUNCTION("""COMPUTED_VALUE"""),58100.0)</f>
        <v>58100</v>
      </c>
      <c r="E266" s="1">
        <f>IFERROR(__xludf.DUMMYFUNCTION("""COMPUTED_VALUE"""),58600.0)</f>
        <v>58600</v>
      </c>
      <c r="F266" s="1">
        <f>IFERROR(__xludf.DUMMYFUNCTION("""COMPUTED_VALUE"""),3161.0)</f>
        <v>3161</v>
      </c>
    </row>
    <row r="267">
      <c r="A267" s="2">
        <f>IFERROR(__xludf.DUMMYFUNCTION("""COMPUTED_VALUE"""),41299.645833333336)</f>
        <v>41299.64583</v>
      </c>
      <c r="B267" s="1">
        <f>IFERROR(__xludf.DUMMYFUNCTION("""COMPUTED_VALUE"""),58600.0)</f>
        <v>58600</v>
      </c>
      <c r="C267" s="1">
        <f>IFERROR(__xludf.DUMMYFUNCTION("""COMPUTED_VALUE"""),58700.0)</f>
        <v>58700</v>
      </c>
      <c r="D267" s="1">
        <f>IFERROR(__xludf.DUMMYFUNCTION("""COMPUTED_VALUE"""),58000.0)</f>
        <v>58000</v>
      </c>
      <c r="E267" s="1">
        <f>IFERROR(__xludf.DUMMYFUNCTION("""COMPUTED_VALUE"""),58600.0)</f>
        <v>58600</v>
      </c>
      <c r="F267" s="1">
        <f>IFERROR(__xludf.DUMMYFUNCTION("""COMPUTED_VALUE"""),1961.0)</f>
        <v>1961</v>
      </c>
    </row>
    <row r="268">
      <c r="A268" s="2">
        <f>IFERROR(__xludf.DUMMYFUNCTION("""COMPUTED_VALUE"""),41302.645833333336)</f>
        <v>41302.64583</v>
      </c>
      <c r="B268" s="1">
        <f>IFERROR(__xludf.DUMMYFUNCTION("""COMPUTED_VALUE"""),58600.0)</f>
        <v>58600</v>
      </c>
      <c r="C268" s="1">
        <f>IFERROR(__xludf.DUMMYFUNCTION("""COMPUTED_VALUE"""),58600.0)</f>
        <v>58600</v>
      </c>
      <c r="D268" s="1">
        <f>IFERROR(__xludf.DUMMYFUNCTION("""COMPUTED_VALUE"""),58100.0)</f>
        <v>58100</v>
      </c>
      <c r="E268" s="1">
        <f>IFERROR(__xludf.DUMMYFUNCTION("""COMPUTED_VALUE"""),58300.0)</f>
        <v>58300</v>
      </c>
      <c r="F268" s="1">
        <f>IFERROR(__xludf.DUMMYFUNCTION("""COMPUTED_VALUE"""),3094.0)</f>
        <v>3094</v>
      </c>
    </row>
    <row r="269">
      <c r="A269" s="2">
        <f>IFERROR(__xludf.DUMMYFUNCTION("""COMPUTED_VALUE"""),41303.645833333336)</f>
        <v>41303.64583</v>
      </c>
      <c r="B269" s="1">
        <f>IFERROR(__xludf.DUMMYFUNCTION("""COMPUTED_VALUE"""),58300.0)</f>
        <v>58300</v>
      </c>
      <c r="C269" s="1">
        <f>IFERROR(__xludf.DUMMYFUNCTION("""COMPUTED_VALUE"""),58500.0)</f>
        <v>58500</v>
      </c>
      <c r="D269" s="1">
        <f>IFERROR(__xludf.DUMMYFUNCTION("""COMPUTED_VALUE"""),58000.0)</f>
        <v>58000</v>
      </c>
      <c r="E269" s="1">
        <f>IFERROR(__xludf.DUMMYFUNCTION("""COMPUTED_VALUE"""),58300.0)</f>
        <v>58300</v>
      </c>
      <c r="F269" s="1">
        <f>IFERROR(__xludf.DUMMYFUNCTION("""COMPUTED_VALUE"""),2826.0)</f>
        <v>2826</v>
      </c>
    </row>
    <row r="270">
      <c r="A270" s="2">
        <f>IFERROR(__xludf.DUMMYFUNCTION("""COMPUTED_VALUE"""),41304.645833333336)</f>
        <v>41304.64583</v>
      </c>
      <c r="B270" s="1">
        <f>IFERROR(__xludf.DUMMYFUNCTION("""COMPUTED_VALUE"""),58600.0)</f>
        <v>58600</v>
      </c>
      <c r="C270" s="1">
        <f>IFERROR(__xludf.DUMMYFUNCTION("""COMPUTED_VALUE"""),58800.0)</f>
        <v>58800</v>
      </c>
      <c r="D270" s="1">
        <f>IFERROR(__xludf.DUMMYFUNCTION("""COMPUTED_VALUE"""),58100.0)</f>
        <v>58100</v>
      </c>
      <c r="E270" s="1">
        <f>IFERROR(__xludf.DUMMYFUNCTION("""COMPUTED_VALUE"""),58300.0)</f>
        <v>58300</v>
      </c>
      <c r="F270" s="1">
        <f>IFERROR(__xludf.DUMMYFUNCTION("""COMPUTED_VALUE"""),2047.0)</f>
        <v>2047</v>
      </c>
    </row>
    <row r="271">
      <c r="A271" s="2">
        <f>IFERROR(__xludf.DUMMYFUNCTION("""COMPUTED_VALUE"""),41305.645833333336)</f>
        <v>41305.64583</v>
      </c>
      <c r="B271" s="1">
        <f>IFERROR(__xludf.DUMMYFUNCTION("""COMPUTED_VALUE"""),58700.0)</f>
        <v>58700</v>
      </c>
      <c r="C271" s="1">
        <f>IFERROR(__xludf.DUMMYFUNCTION("""COMPUTED_VALUE"""),58700.0)</f>
        <v>58700</v>
      </c>
      <c r="D271" s="1">
        <f>IFERROR(__xludf.DUMMYFUNCTION("""COMPUTED_VALUE"""),58000.0)</f>
        <v>58000</v>
      </c>
      <c r="E271" s="1">
        <f>IFERROR(__xludf.DUMMYFUNCTION("""COMPUTED_VALUE"""),58300.0)</f>
        <v>58300</v>
      </c>
      <c r="F271" s="1">
        <f>IFERROR(__xludf.DUMMYFUNCTION("""COMPUTED_VALUE"""),17667.0)</f>
        <v>17667</v>
      </c>
    </row>
    <row r="272">
      <c r="A272" s="2">
        <f>IFERROR(__xludf.DUMMYFUNCTION("""COMPUTED_VALUE"""),41306.645833333336)</f>
        <v>41306.64583</v>
      </c>
      <c r="B272" s="1">
        <f>IFERROR(__xludf.DUMMYFUNCTION("""COMPUTED_VALUE"""),58200.0)</f>
        <v>58200</v>
      </c>
      <c r="C272" s="1">
        <f>IFERROR(__xludf.DUMMYFUNCTION("""COMPUTED_VALUE"""),58300.0)</f>
        <v>58300</v>
      </c>
      <c r="D272" s="1">
        <f>IFERROR(__xludf.DUMMYFUNCTION("""COMPUTED_VALUE"""),57500.0)</f>
        <v>57500</v>
      </c>
      <c r="E272" s="1">
        <f>IFERROR(__xludf.DUMMYFUNCTION("""COMPUTED_VALUE"""),57500.0)</f>
        <v>57500</v>
      </c>
      <c r="F272" s="1">
        <f>IFERROR(__xludf.DUMMYFUNCTION("""COMPUTED_VALUE"""),10553.0)</f>
        <v>10553</v>
      </c>
    </row>
    <row r="273">
      <c r="A273" s="2">
        <f>IFERROR(__xludf.DUMMYFUNCTION("""COMPUTED_VALUE"""),41309.645833333336)</f>
        <v>41309.64583</v>
      </c>
      <c r="B273" s="1">
        <f>IFERROR(__xludf.DUMMYFUNCTION("""COMPUTED_VALUE"""),58200.0)</f>
        <v>58200</v>
      </c>
      <c r="C273" s="1">
        <f>IFERROR(__xludf.DUMMYFUNCTION("""COMPUTED_VALUE"""),58200.0)</f>
        <v>58200</v>
      </c>
      <c r="D273" s="1">
        <f>IFERROR(__xludf.DUMMYFUNCTION("""COMPUTED_VALUE"""),57400.0)</f>
        <v>57400</v>
      </c>
      <c r="E273" s="1">
        <f>IFERROR(__xludf.DUMMYFUNCTION("""COMPUTED_VALUE"""),58000.0)</f>
        <v>58000</v>
      </c>
      <c r="F273" s="1">
        <f>IFERROR(__xludf.DUMMYFUNCTION("""COMPUTED_VALUE"""),8629.0)</f>
        <v>8629</v>
      </c>
    </row>
    <row r="274">
      <c r="A274" s="2">
        <f>IFERROR(__xludf.DUMMYFUNCTION("""COMPUTED_VALUE"""),41310.645833333336)</f>
        <v>41310.64583</v>
      </c>
      <c r="B274" s="1">
        <f>IFERROR(__xludf.DUMMYFUNCTION("""COMPUTED_VALUE"""),57900.0)</f>
        <v>57900</v>
      </c>
      <c r="C274" s="1">
        <f>IFERROR(__xludf.DUMMYFUNCTION("""COMPUTED_VALUE"""),58000.0)</f>
        <v>58000</v>
      </c>
      <c r="D274" s="1">
        <f>IFERROR(__xludf.DUMMYFUNCTION("""COMPUTED_VALUE"""),57500.0)</f>
        <v>57500</v>
      </c>
      <c r="E274" s="1">
        <f>IFERROR(__xludf.DUMMYFUNCTION("""COMPUTED_VALUE"""),58000.0)</f>
        <v>58000</v>
      </c>
      <c r="F274" s="1">
        <f>IFERROR(__xludf.DUMMYFUNCTION("""COMPUTED_VALUE"""),9567.0)</f>
        <v>9567</v>
      </c>
    </row>
    <row r="275">
      <c r="A275" s="2">
        <f>IFERROR(__xludf.DUMMYFUNCTION("""COMPUTED_VALUE"""),41311.645833333336)</f>
        <v>41311.64583</v>
      </c>
      <c r="B275" s="1">
        <f>IFERROR(__xludf.DUMMYFUNCTION("""COMPUTED_VALUE"""),58100.0)</f>
        <v>58100</v>
      </c>
      <c r="C275" s="1">
        <f>IFERROR(__xludf.DUMMYFUNCTION("""COMPUTED_VALUE"""),58100.0)</f>
        <v>58100</v>
      </c>
      <c r="D275" s="1">
        <f>IFERROR(__xludf.DUMMYFUNCTION("""COMPUTED_VALUE"""),57600.0)</f>
        <v>57600</v>
      </c>
      <c r="E275" s="1">
        <f>IFERROR(__xludf.DUMMYFUNCTION("""COMPUTED_VALUE"""),57900.0)</f>
        <v>57900</v>
      </c>
      <c r="F275" s="1">
        <f>IFERROR(__xludf.DUMMYFUNCTION("""COMPUTED_VALUE"""),5421.0)</f>
        <v>5421</v>
      </c>
    </row>
    <row r="276">
      <c r="A276" s="2">
        <f>IFERROR(__xludf.DUMMYFUNCTION("""COMPUTED_VALUE"""),41312.645833333336)</f>
        <v>41312.64583</v>
      </c>
      <c r="B276" s="1">
        <f>IFERROR(__xludf.DUMMYFUNCTION("""COMPUTED_VALUE"""),58000.0)</f>
        <v>58000</v>
      </c>
      <c r="C276" s="1">
        <f>IFERROR(__xludf.DUMMYFUNCTION("""COMPUTED_VALUE"""),58000.0)</f>
        <v>58000</v>
      </c>
      <c r="D276" s="1">
        <f>IFERROR(__xludf.DUMMYFUNCTION("""COMPUTED_VALUE"""),57600.0)</f>
        <v>57600</v>
      </c>
      <c r="E276" s="1">
        <f>IFERROR(__xludf.DUMMYFUNCTION("""COMPUTED_VALUE"""),58000.0)</f>
        <v>58000</v>
      </c>
      <c r="F276" s="1">
        <f>IFERROR(__xludf.DUMMYFUNCTION("""COMPUTED_VALUE"""),2182.0)</f>
        <v>2182</v>
      </c>
    </row>
    <row r="277">
      <c r="A277" s="2">
        <f>IFERROR(__xludf.DUMMYFUNCTION("""COMPUTED_VALUE"""),41313.645833333336)</f>
        <v>41313.64583</v>
      </c>
      <c r="B277" s="1">
        <f>IFERROR(__xludf.DUMMYFUNCTION("""COMPUTED_VALUE"""),57600.0)</f>
        <v>57600</v>
      </c>
      <c r="C277" s="1">
        <f>IFERROR(__xludf.DUMMYFUNCTION("""COMPUTED_VALUE"""),58000.0)</f>
        <v>58000</v>
      </c>
      <c r="D277" s="1">
        <f>IFERROR(__xludf.DUMMYFUNCTION("""COMPUTED_VALUE"""),57600.0)</f>
        <v>57600</v>
      </c>
      <c r="E277" s="1">
        <f>IFERROR(__xludf.DUMMYFUNCTION("""COMPUTED_VALUE"""),58000.0)</f>
        <v>58000</v>
      </c>
      <c r="F277" s="1">
        <f>IFERROR(__xludf.DUMMYFUNCTION("""COMPUTED_VALUE"""),567.0)</f>
        <v>567</v>
      </c>
    </row>
    <row r="278">
      <c r="A278" s="2">
        <f>IFERROR(__xludf.DUMMYFUNCTION("""COMPUTED_VALUE"""),41317.645833333336)</f>
        <v>41317.64583</v>
      </c>
      <c r="B278" s="1">
        <f>IFERROR(__xludf.DUMMYFUNCTION("""COMPUTED_VALUE"""),58000.0)</f>
        <v>58000</v>
      </c>
      <c r="C278" s="1">
        <f>IFERROR(__xludf.DUMMYFUNCTION("""COMPUTED_VALUE"""),58200.0)</f>
        <v>58200</v>
      </c>
      <c r="D278" s="1">
        <f>IFERROR(__xludf.DUMMYFUNCTION("""COMPUTED_VALUE"""),57800.0)</f>
        <v>57800</v>
      </c>
      <c r="E278" s="1">
        <f>IFERROR(__xludf.DUMMYFUNCTION("""COMPUTED_VALUE"""),58100.0)</f>
        <v>58100</v>
      </c>
      <c r="F278" s="1">
        <f>IFERROR(__xludf.DUMMYFUNCTION("""COMPUTED_VALUE"""),3601.0)</f>
        <v>3601</v>
      </c>
    </row>
    <row r="279">
      <c r="A279" s="2">
        <f>IFERROR(__xludf.DUMMYFUNCTION("""COMPUTED_VALUE"""),41318.645833333336)</f>
        <v>41318.64583</v>
      </c>
      <c r="B279" s="1">
        <f>IFERROR(__xludf.DUMMYFUNCTION("""COMPUTED_VALUE"""),58100.0)</f>
        <v>58100</v>
      </c>
      <c r="C279" s="1">
        <f>IFERROR(__xludf.DUMMYFUNCTION("""COMPUTED_VALUE"""),59200.0)</f>
        <v>59200</v>
      </c>
      <c r="D279" s="1">
        <f>IFERROR(__xludf.DUMMYFUNCTION("""COMPUTED_VALUE"""),58000.0)</f>
        <v>58000</v>
      </c>
      <c r="E279" s="1">
        <f>IFERROR(__xludf.DUMMYFUNCTION("""COMPUTED_VALUE"""),59100.0)</f>
        <v>59100</v>
      </c>
      <c r="F279" s="1">
        <f>IFERROR(__xludf.DUMMYFUNCTION("""COMPUTED_VALUE"""),5705.0)</f>
        <v>5705</v>
      </c>
    </row>
    <row r="280">
      <c r="A280" s="2">
        <f>IFERROR(__xludf.DUMMYFUNCTION("""COMPUTED_VALUE"""),41319.645833333336)</f>
        <v>41319.64583</v>
      </c>
      <c r="B280" s="1">
        <f>IFERROR(__xludf.DUMMYFUNCTION("""COMPUTED_VALUE"""),61400.0)</f>
        <v>61400</v>
      </c>
      <c r="C280" s="1">
        <f>IFERROR(__xludf.DUMMYFUNCTION("""COMPUTED_VALUE"""),61400.0)</f>
        <v>61400</v>
      </c>
      <c r="D280" s="1">
        <f>IFERROR(__xludf.DUMMYFUNCTION("""COMPUTED_VALUE"""),59500.0)</f>
        <v>59500</v>
      </c>
      <c r="E280" s="1">
        <f>IFERROR(__xludf.DUMMYFUNCTION("""COMPUTED_VALUE"""),60500.0)</f>
        <v>60500</v>
      </c>
      <c r="F280" s="1">
        <f>IFERROR(__xludf.DUMMYFUNCTION("""COMPUTED_VALUE"""),13120.0)</f>
        <v>13120</v>
      </c>
    </row>
    <row r="281">
      <c r="A281" s="2">
        <f>IFERROR(__xludf.DUMMYFUNCTION("""COMPUTED_VALUE"""),41320.645833333336)</f>
        <v>41320.64583</v>
      </c>
      <c r="B281" s="1">
        <f>IFERROR(__xludf.DUMMYFUNCTION("""COMPUTED_VALUE"""),60800.0)</f>
        <v>60800</v>
      </c>
      <c r="C281" s="1">
        <f>IFERROR(__xludf.DUMMYFUNCTION("""COMPUTED_VALUE"""),60800.0)</f>
        <v>60800</v>
      </c>
      <c r="D281" s="1">
        <f>IFERROR(__xludf.DUMMYFUNCTION("""COMPUTED_VALUE"""),59100.0)</f>
        <v>59100</v>
      </c>
      <c r="E281" s="1">
        <f>IFERROR(__xludf.DUMMYFUNCTION("""COMPUTED_VALUE"""),60200.0)</f>
        <v>60200</v>
      </c>
      <c r="F281" s="1">
        <f>IFERROR(__xludf.DUMMYFUNCTION("""COMPUTED_VALUE"""),1909.0)</f>
        <v>1909</v>
      </c>
    </row>
    <row r="282">
      <c r="A282" s="2">
        <f>IFERROR(__xludf.DUMMYFUNCTION("""COMPUTED_VALUE"""),41323.645833333336)</f>
        <v>41323.64583</v>
      </c>
      <c r="B282" s="1">
        <f>IFERROR(__xludf.DUMMYFUNCTION("""COMPUTED_VALUE"""),60300.0)</f>
        <v>60300</v>
      </c>
      <c r="C282" s="1">
        <f>IFERROR(__xludf.DUMMYFUNCTION("""COMPUTED_VALUE"""),60400.0)</f>
        <v>60400</v>
      </c>
      <c r="D282" s="1">
        <f>IFERROR(__xludf.DUMMYFUNCTION("""COMPUTED_VALUE"""),59600.0)</f>
        <v>59600</v>
      </c>
      <c r="E282" s="1">
        <f>IFERROR(__xludf.DUMMYFUNCTION("""COMPUTED_VALUE"""),59900.0)</f>
        <v>59900</v>
      </c>
      <c r="F282" s="1">
        <f>IFERROR(__xludf.DUMMYFUNCTION("""COMPUTED_VALUE"""),463.0)</f>
        <v>463</v>
      </c>
    </row>
    <row r="283">
      <c r="A283" s="2">
        <f>IFERROR(__xludf.DUMMYFUNCTION("""COMPUTED_VALUE"""),41324.645833333336)</f>
        <v>41324.64583</v>
      </c>
      <c r="B283" s="1">
        <f>IFERROR(__xludf.DUMMYFUNCTION("""COMPUTED_VALUE"""),59900.0)</f>
        <v>59900</v>
      </c>
      <c r="C283" s="1">
        <f>IFERROR(__xludf.DUMMYFUNCTION("""COMPUTED_VALUE"""),60700.0)</f>
        <v>60700</v>
      </c>
      <c r="D283" s="1">
        <f>IFERROR(__xludf.DUMMYFUNCTION("""COMPUTED_VALUE"""),59700.0)</f>
        <v>59700</v>
      </c>
      <c r="E283" s="1">
        <f>IFERROR(__xludf.DUMMYFUNCTION("""COMPUTED_VALUE"""),60600.0)</f>
        <v>60600</v>
      </c>
      <c r="F283" s="1">
        <f>IFERROR(__xludf.DUMMYFUNCTION("""COMPUTED_VALUE"""),4472.0)</f>
        <v>4472</v>
      </c>
    </row>
    <row r="284">
      <c r="A284" s="2">
        <f>IFERROR(__xludf.DUMMYFUNCTION("""COMPUTED_VALUE"""),41325.645833333336)</f>
        <v>41325.64583</v>
      </c>
      <c r="B284" s="1">
        <f>IFERROR(__xludf.DUMMYFUNCTION("""COMPUTED_VALUE"""),60800.0)</f>
        <v>60800</v>
      </c>
      <c r="C284" s="1">
        <f>IFERROR(__xludf.DUMMYFUNCTION("""COMPUTED_VALUE"""),60800.0)</f>
        <v>60800</v>
      </c>
      <c r="D284" s="1">
        <f>IFERROR(__xludf.DUMMYFUNCTION("""COMPUTED_VALUE"""),60300.0)</f>
        <v>60300</v>
      </c>
      <c r="E284" s="1">
        <f>IFERROR(__xludf.DUMMYFUNCTION("""COMPUTED_VALUE"""),60600.0)</f>
        <v>60600</v>
      </c>
      <c r="F284" s="1">
        <f>IFERROR(__xludf.DUMMYFUNCTION("""COMPUTED_VALUE"""),2541.0)</f>
        <v>2541</v>
      </c>
    </row>
    <row r="285">
      <c r="A285" s="2">
        <f>IFERROR(__xludf.DUMMYFUNCTION("""COMPUTED_VALUE"""),41326.645833333336)</f>
        <v>41326.64583</v>
      </c>
      <c r="B285" s="1">
        <f>IFERROR(__xludf.DUMMYFUNCTION("""COMPUTED_VALUE"""),60600.0)</f>
        <v>60600</v>
      </c>
      <c r="C285" s="1">
        <f>IFERROR(__xludf.DUMMYFUNCTION("""COMPUTED_VALUE"""),60600.0)</f>
        <v>60600</v>
      </c>
      <c r="D285" s="1">
        <f>IFERROR(__xludf.DUMMYFUNCTION("""COMPUTED_VALUE"""),59700.0)</f>
        <v>59700</v>
      </c>
      <c r="E285" s="1">
        <f>IFERROR(__xludf.DUMMYFUNCTION("""COMPUTED_VALUE"""),60000.0)</f>
        <v>60000</v>
      </c>
      <c r="F285" s="1">
        <f>IFERROR(__xludf.DUMMYFUNCTION("""COMPUTED_VALUE"""),1949.0)</f>
        <v>1949</v>
      </c>
    </row>
    <row r="286">
      <c r="A286" s="2">
        <f>IFERROR(__xludf.DUMMYFUNCTION("""COMPUTED_VALUE"""),41327.645833333336)</f>
        <v>41327.64583</v>
      </c>
      <c r="B286" s="1">
        <f>IFERROR(__xludf.DUMMYFUNCTION("""COMPUTED_VALUE"""),60000.0)</f>
        <v>60000</v>
      </c>
      <c r="C286" s="1">
        <f>IFERROR(__xludf.DUMMYFUNCTION("""COMPUTED_VALUE"""),60000.0)</f>
        <v>60000</v>
      </c>
      <c r="D286" s="1">
        <f>IFERROR(__xludf.DUMMYFUNCTION("""COMPUTED_VALUE"""),59200.0)</f>
        <v>59200</v>
      </c>
      <c r="E286" s="1">
        <f>IFERROR(__xludf.DUMMYFUNCTION("""COMPUTED_VALUE"""),59700.0)</f>
        <v>59700</v>
      </c>
      <c r="F286" s="1">
        <f>IFERROR(__xludf.DUMMYFUNCTION("""COMPUTED_VALUE"""),5310.0)</f>
        <v>5310</v>
      </c>
    </row>
    <row r="287">
      <c r="A287" s="2">
        <f>IFERROR(__xludf.DUMMYFUNCTION("""COMPUTED_VALUE"""),41330.645833333336)</f>
        <v>41330.64583</v>
      </c>
      <c r="B287" s="1">
        <f>IFERROR(__xludf.DUMMYFUNCTION("""COMPUTED_VALUE"""),59700.0)</f>
        <v>59700</v>
      </c>
      <c r="C287" s="1">
        <f>IFERROR(__xludf.DUMMYFUNCTION("""COMPUTED_VALUE"""),60000.0)</f>
        <v>60000</v>
      </c>
      <c r="D287" s="1">
        <f>IFERROR(__xludf.DUMMYFUNCTION("""COMPUTED_VALUE"""),59300.0)</f>
        <v>59300</v>
      </c>
      <c r="E287" s="1">
        <f>IFERROR(__xludf.DUMMYFUNCTION("""COMPUTED_VALUE"""),59900.0)</f>
        <v>59900</v>
      </c>
      <c r="F287" s="1">
        <f>IFERROR(__xludf.DUMMYFUNCTION("""COMPUTED_VALUE"""),2918.0)</f>
        <v>2918</v>
      </c>
    </row>
    <row r="288">
      <c r="A288" s="2">
        <f>IFERROR(__xludf.DUMMYFUNCTION("""COMPUTED_VALUE"""),41331.645833333336)</f>
        <v>41331.64583</v>
      </c>
      <c r="B288" s="1">
        <f>IFERROR(__xludf.DUMMYFUNCTION("""COMPUTED_VALUE"""),59700.0)</f>
        <v>59700</v>
      </c>
      <c r="C288" s="1">
        <f>IFERROR(__xludf.DUMMYFUNCTION("""COMPUTED_VALUE"""),60000.0)</f>
        <v>60000</v>
      </c>
      <c r="D288" s="1">
        <f>IFERROR(__xludf.DUMMYFUNCTION("""COMPUTED_VALUE"""),59400.0)</f>
        <v>59400</v>
      </c>
      <c r="E288" s="1">
        <f>IFERROR(__xludf.DUMMYFUNCTION("""COMPUTED_VALUE"""),60000.0)</f>
        <v>60000</v>
      </c>
      <c r="F288" s="1">
        <f>IFERROR(__xludf.DUMMYFUNCTION("""COMPUTED_VALUE"""),808.0)</f>
        <v>808</v>
      </c>
    </row>
    <row r="289">
      <c r="A289" s="2">
        <f>IFERROR(__xludf.DUMMYFUNCTION("""COMPUTED_VALUE"""),41332.645833333336)</f>
        <v>41332.64583</v>
      </c>
      <c r="B289" s="1">
        <f>IFERROR(__xludf.DUMMYFUNCTION("""COMPUTED_VALUE"""),60200.0)</f>
        <v>60200</v>
      </c>
      <c r="C289" s="1">
        <f>IFERROR(__xludf.DUMMYFUNCTION("""COMPUTED_VALUE"""),60200.0)</f>
        <v>60200</v>
      </c>
      <c r="D289" s="1">
        <f>IFERROR(__xludf.DUMMYFUNCTION("""COMPUTED_VALUE"""),59600.0)</f>
        <v>59600</v>
      </c>
      <c r="E289" s="1">
        <f>IFERROR(__xludf.DUMMYFUNCTION("""COMPUTED_VALUE"""),60100.0)</f>
        <v>60100</v>
      </c>
      <c r="F289" s="1">
        <f>IFERROR(__xludf.DUMMYFUNCTION("""COMPUTED_VALUE"""),904.0)</f>
        <v>904</v>
      </c>
    </row>
    <row r="290">
      <c r="A290" s="2">
        <f>IFERROR(__xludf.DUMMYFUNCTION("""COMPUTED_VALUE"""),41333.645833333336)</f>
        <v>41333.64583</v>
      </c>
      <c r="B290" s="1">
        <f>IFERROR(__xludf.DUMMYFUNCTION("""COMPUTED_VALUE"""),60300.0)</f>
        <v>60300</v>
      </c>
      <c r="C290" s="1">
        <f>IFERROR(__xludf.DUMMYFUNCTION("""COMPUTED_VALUE"""),60300.0)</f>
        <v>60300</v>
      </c>
      <c r="D290" s="1">
        <f>IFERROR(__xludf.DUMMYFUNCTION("""COMPUTED_VALUE"""),59500.0)</f>
        <v>59500</v>
      </c>
      <c r="E290" s="1">
        <f>IFERROR(__xludf.DUMMYFUNCTION("""COMPUTED_VALUE"""),60100.0)</f>
        <v>60100</v>
      </c>
      <c r="F290" s="1">
        <f>IFERROR(__xludf.DUMMYFUNCTION("""COMPUTED_VALUE"""),1066.0)</f>
        <v>1066</v>
      </c>
    </row>
    <row r="291">
      <c r="A291" s="2">
        <f>IFERROR(__xludf.DUMMYFUNCTION("""COMPUTED_VALUE"""),41337.645833333336)</f>
        <v>41337.64583</v>
      </c>
      <c r="B291" s="1">
        <f>IFERROR(__xludf.DUMMYFUNCTION("""COMPUTED_VALUE"""),59800.0)</f>
        <v>59800</v>
      </c>
      <c r="C291" s="1">
        <f>IFERROR(__xludf.DUMMYFUNCTION("""COMPUTED_VALUE"""),60300.0)</f>
        <v>60300</v>
      </c>
      <c r="D291" s="1">
        <f>IFERROR(__xludf.DUMMYFUNCTION("""COMPUTED_VALUE"""),59100.0)</f>
        <v>59100</v>
      </c>
      <c r="E291" s="1">
        <f>IFERROR(__xludf.DUMMYFUNCTION("""COMPUTED_VALUE"""),59200.0)</f>
        <v>59200</v>
      </c>
      <c r="F291" s="1">
        <f>IFERROR(__xludf.DUMMYFUNCTION("""COMPUTED_VALUE"""),6701.0)</f>
        <v>6701</v>
      </c>
    </row>
    <row r="292">
      <c r="A292" s="2">
        <f>IFERROR(__xludf.DUMMYFUNCTION("""COMPUTED_VALUE"""),41338.645833333336)</f>
        <v>41338.64583</v>
      </c>
      <c r="B292" s="1">
        <f>IFERROR(__xludf.DUMMYFUNCTION("""COMPUTED_VALUE"""),59800.0)</f>
        <v>59800</v>
      </c>
      <c r="C292" s="1">
        <f>IFERROR(__xludf.DUMMYFUNCTION("""COMPUTED_VALUE"""),59900.0)</f>
        <v>59900</v>
      </c>
      <c r="D292" s="1">
        <f>IFERROR(__xludf.DUMMYFUNCTION("""COMPUTED_VALUE"""),58900.0)</f>
        <v>58900</v>
      </c>
      <c r="E292" s="1">
        <f>IFERROR(__xludf.DUMMYFUNCTION("""COMPUTED_VALUE"""),59300.0)</f>
        <v>59300</v>
      </c>
      <c r="F292" s="1">
        <f>IFERROR(__xludf.DUMMYFUNCTION("""COMPUTED_VALUE"""),4224.0)</f>
        <v>4224</v>
      </c>
    </row>
    <row r="293">
      <c r="A293" s="2">
        <f>IFERROR(__xludf.DUMMYFUNCTION("""COMPUTED_VALUE"""),41339.645833333336)</f>
        <v>41339.64583</v>
      </c>
      <c r="B293" s="1">
        <f>IFERROR(__xludf.DUMMYFUNCTION("""COMPUTED_VALUE"""),59700.0)</f>
        <v>59700</v>
      </c>
      <c r="C293" s="1">
        <f>IFERROR(__xludf.DUMMYFUNCTION("""COMPUTED_VALUE"""),59800.0)</f>
        <v>59800</v>
      </c>
      <c r="D293" s="1">
        <f>IFERROR(__xludf.DUMMYFUNCTION("""COMPUTED_VALUE"""),59200.0)</f>
        <v>59200</v>
      </c>
      <c r="E293" s="1">
        <f>IFERROR(__xludf.DUMMYFUNCTION("""COMPUTED_VALUE"""),59300.0)</f>
        <v>59300</v>
      </c>
      <c r="F293" s="1">
        <f>IFERROR(__xludf.DUMMYFUNCTION("""COMPUTED_VALUE"""),3181.0)</f>
        <v>3181</v>
      </c>
    </row>
    <row r="294">
      <c r="A294" s="2">
        <f>IFERROR(__xludf.DUMMYFUNCTION("""COMPUTED_VALUE"""),41340.645833333336)</f>
        <v>41340.64583</v>
      </c>
      <c r="B294" s="1">
        <f>IFERROR(__xludf.DUMMYFUNCTION("""COMPUTED_VALUE"""),59500.0)</f>
        <v>59500</v>
      </c>
      <c r="C294" s="1">
        <f>IFERROR(__xludf.DUMMYFUNCTION("""COMPUTED_VALUE"""),59500.0)</f>
        <v>59500</v>
      </c>
      <c r="D294" s="1">
        <f>IFERROR(__xludf.DUMMYFUNCTION("""COMPUTED_VALUE"""),58900.0)</f>
        <v>58900</v>
      </c>
      <c r="E294" s="1">
        <f>IFERROR(__xludf.DUMMYFUNCTION("""COMPUTED_VALUE"""),59400.0)</f>
        <v>59400</v>
      </c>
      <c r="F294" s="1">
        <f>IFERROR(__xludf.DUMMYFUNCTION("""COMPUTED_VALUE"""),1636.0)</f>
        <v>1636</v>
      </c>
    </row>
    <row r="295">
      <c r="A295" s="2">
        <f>IFERROR(__xludf.DUMMYFUNCTION("""COMPUTED_VALUE"""),41341.645833333336)</f>
        <v>41341.64583</v>
      </c>
      <c r="B295" s="1">
        <f>IFERROR(__xludf.DUMMYFUNCTION("""COMPUTED_VALUE"""),59500.0)</f>
        <v>59500</v>
      </c>
      <c r="C295" s="1">
        <f>IFERROR(__xludf.DUMMYFUNCTION("""COMPUTED_VALUE"""),59500.0)</f>
        <v>59500</v>
      </c>
      <c r="D295" s="1">
        <f>IFERROR(__xludf.DUMMYFUNCTION("""COMPUTED_VALUE"""),58800.0)</f>
        <v>58800</v>
      </c>
      <c r="E295" s="1">
        <f>IFERROR(__xludf.DUMMYFUNCTION("""COMPUTED_VALUE"""),59500.0)</f>
        <v>59500</v>
      </c>
      <c r="F295" s="1">
        <f>IFERROR(__xludf.DUMMYFUNCTION("""COMPUTED_VALUE"""),3488.0)</f>
        <v>3488</v>
      </c>
    </row>
    <row r="296">
      <c r="A296" s="2">
        <f>IFERROR(__xludf.DUMMYFUNCTION("""COMPUTED_VALUE"""),41344.645833333336)</f>
        <v>41344.64583</v>
      </c>
      <c r="B296" s="1">
        <f>IFERROR(__xludf.DUMMYFUNCTION("""COMPUTED_VALUE"""),59100.0)</f>
        <v>59100</v>
      </c>
      <c r="C296" s="1">
        <f>IFERROR(__xludf.DUMMYFUNCTION("""COMPUTED_VALUE"""),59500.0)</f>
        <v>59500</v>
      </c>
      <c r="D296" s="1">
        <f>IFERROR(__xludf.DUMMYFUNCTION("""COMPUTED_VALUE"""),58900.0)</f>
        <v>58900</v>
      </c>
      <c r="E296" s="1">
        <f>IFERROR(__xludf.DUMMYFUNCTION("""COMPUTED_VALUE"""),59300.0)</f>
        <v>59300</v>
      </c>
      <c r="F296" s="1">
        <f>IFERROR(__xludf.DUMMYFUNCTION("""COMPUTED_VALUE"""),1812.0)</f>
        <v>1812</v>
      </c>
    </row>
    <row r="297">
      <c r="A297" s="2">
        <f>IFERROR(__xludf.DUMMYFUNCTION("""COMPUTED_VALUE"""),41345.645833333336)</f>
        <v>41345.64583</v>
      </c>
      <c r="B297" s="1">
        <f>IFERROR(__xludf.DUMMYFUNCTION("""COMPUTED_VALUE"""),59400.0)</f>
        <v>59400</v>
      </c>
      <c r="C297" s="1">
        <f>IFERROR(__xludf.DUMMYFUNCTION("""COMPUTED_VALUE"""),59500.0)</f>
        <v>59500</v>
      </c>
      <c r="D297" s="1">
        <f>IFERROR(__xludf.DUMMYFUNCTION("""COMPUTED_VALUE"""),58900.0)</f>
        <v>58900</v>
      </c>
      <c r="E297" s="1">
        <f>IFERROR(__xludf.DUMMYFUNCTION("""COMPUTED_VALUE"""),59100.0)</f>
        <v>59100</v>
      </c>
      <c r="F297" s="1">
        <f>IFERROR(__xludf.DUMMYFUNCTION("""COMPUTED_VALUE"""),3984.0)</f>
        <v>3984</v>
      </c>
    </row>
    <row r="298">
      <c r="A298" s="2">
        <f>IFERROR(__xludf.DUMMYFUNCTION("""COMPUTED_VALUE"""),41346.645833333336)</f>
        <v>41346.64583</v>
      </c>
      <c r="B298" s="1">
        <f>IFERROR(__xludf.DUMMYFUNCTION("""COMPUTED_VALUE"""),59200.0)</f>
        <v>59200</v>
      </c>
      <c r="C298" s="1">
        <f>IFERROR(__xludf.DUMMYFUNCTION("""COMPUTED_VALUE"""),60000.0)</f>
        <v>60000</v>
      </c>
      <c r="D298" s="1">
        <f>IFERROR(__xludf.DUMMYFUNCTION("""COMPUTED_VALUE"""),58900.0)</f>
        <v>58900</v>
      </c>
      <c r="E298" s="1">
        <f>IFERROR(__xludf.DUMMYFUNCTION("""COMPUTED_VALUE"""),59700.0)</f>
        <v>59700</v>
      </c>
      <c r="F298" s="1">
        <f>IFERROR(__xludf.DUMMYFUNCTION("""COMPUTED_VALUE"""),3450.0)</f>
        <v>3450</v>
      </c>
    </row>
    <row r="299">
      <c r="A299" s="2">
        <f>IFERROR(__xludf.DUMMYFUNCTION("""COMPUTED_VALUE"""),41347.645833333336)</f>
        <v>41347.64583</v>
      </c>
      <c r="B299" s="1">
        <f>IFERROR(__xludf.DUMMYFUNCTION("""COMPUTED_VALUE"""),59800.0)</f>
        <v>59800</v>
      </c>
      <c r="C299" s="1">
        <f>IFERROR(__xludf.DUMMYFUNCTION("""COMPUTED_VALUE"""),60300.0)</f>
        <v>60300</v>
      </c>
      <c r="D299" s="1">
        <f>IFERROR(__xludf.DUMMYFUNCTION("""COMPUTED_VALUE"""),59400.0)</f>
        <v>59400</v>
      </c>
      <c r="E299" s="1">
        <f>IFERROR(__xludf.DUMMYFUNCTION("""COMPUTED_VALUE"""),60100.0)</f>
        <v>60100</v>
      </c>
      <c r="F299" s="1">
        <f>IFERROR(__xludf.DUMMYFUNCTION("""COMPUTED_VALUE"""),14011.0)</f>
        <v>14011</v>
      </c>
    </row>
    <row r="300">
      <c r="A300" s="2">
        <f>IFERROR(__xludf.DUMMYFUNCTION("""COMPUTED_VALUE"""),41348.645833333336)</f>
        <v>41348.64583</v>
      </c>
      <c r="B300" s="1">
        <f>IFERROR(__xludf.DUMMYFUNCTION("""COMPUTED_VALUE"""),60300.0)</f>
        <v>60300</v>
      </c>
      <c r="C300" s="1">
        <f>IFERROR(__xludf.DUMMYFUNCTION("""COMPUTED_VALUE"""),60400.0)</f>
        <v>60400</v>
      </c>
      <c r="D300" s="1">
        <f>IFERROR(__xludf.DUMMYFUNCTION("""COMPUTED_VALUE"""),59700.0)</f>
        <v>59700</v>
      </c>
      <c r="E300" s="1">
        <f>IFERROR(__xludf.DUMMYFUNCTION("""COMPUTED_VALUE"""),60300.0)</f>
        <v>60300</v>
      </c>
      <c r="F300" s="1">
        <f>IFERROR(__xludf.DUMMYFUNCTION("""COMPUTED_VALUE"""),10984.0)</f>
        <v>10984</v>
      </c>
    </row>
    <row r="301">
      <c r="A301" s="2">
        <f>IFERROR(__xludf.DUMMYFUNCTION("""COMPUTED_VALUE"""),41351.645833333336)</f>
        <v>41351.64583</v>
      </c>
      <c r="B301" s="1">
        <f>IFERROR(__xludf.DUMMYFUNCTION("""COMPUTED_VALUE"""),60300.0)</f>
        <v>60300</v>
      </c>
      <c r="C301" s="1">
        <f>IFERROR(__xludf.DUMMYFUNCTION("""COMPUTED_VALUE"""),60300.0)</f>
        <v>60300</v>
      </c>
      <c r="D301" s="1">
        <f>IFERROR(__xludf.DUMMYFUNCTION("""COMPUTED_VALUE"""),59800.0)</f>
        <v>59800</v>
      </c>
      <c r="E301" s="1">
        <f>IFERROR(__xludf.DUMMYFUNCTION("""COMPUTED_VALUE"""),60200.0)</f>
        <v>60200</v>
      </c>
      <c r="F301" s="1">
        <f>IFERROR(__xludf.DUMMYFUNCTION("""COMPUTED_VALUE"""),4251.0)</f>
        <v>4251</v>
      </c>
    </row>
    <row r="302">
      <c r="A302" s="2">
        <f>IFERROR(__xludf.DUMMYFUNCTION("""COMPUTED_VALUE"""),41352.645833333336)</f>
        <v>41352.64583</v>
      </c>
      <c r="B302" s="1">
        <f>IFERROR(__xludf.DUMMYFUNCTION("""COMPUTED_VALUE"""),60200.0)</f>
        <v>60200</v>
      </c>
      <c r="C302" s="1">
        <f>IFERROR(__xludf.DUMMYFUNCTION("""COMPUTED_VALUE"""),60200.0)</f>
        <v>60200</v>
      </c>
      <c r="D302" s="1">
        <f>IFERROR(__xludf.DUMMYFUNCTION("""COMPUTED_VALUE"""),59800.0)</f>
        <v>59800</v>
      </c>
      <c r="E302" s="1">
        <f>IFERROR(__xludf.DUMMYFUNCTION("""COMPUTED_VALUE"""),60200.0)</f>
        <v>60200</v>
      </c>
      <c r="F302" s="1">
        <f>IFERROR(__xludf.DUMMYFUNCTION("""COMPUTED_VALUE"""),3018.0)</f>
        <v>3018</v>
      </c>
    </row>
    <row r="303">
      <c r="A303" s="2">
        <f>IFERROR(__xludf.DUMMYFUNCTION("""COMPUTED_VALUE"""),41353.645833333336)</f>
        <v>41353.64583</v>
      </c>
      <c r="B303" s="1">
        <f>IFERROR(__xludf.DUMMYFUNCTION("""COMPUTED_VALUE"""),60300.0)</f>
        <v>60300</v>
      </c>
      <c r="C303" s="1">
        <f>IFERROR(__xludf.DUMMYFUNCTION("""COMPUTED_VALUE"""),60300.0)</f>
        <v>60300</v>
      </c>
      <c r="D303" s="1">
        <f>IFERROR(__xludf.DUMMYFUNCTION("""COMPUTED_VALUE"""),59500.0)</f>
        <v>59500</v>
      </c>
      <c r="E303" s="1">
        <f>IFERROR(__xludf.DUMMYFUNCTION("""COMPUTED_VALUE"""),60100.0)</f>
        <v>60100</v>
      </c>
      <c r="F303" s="1">
        <f>IFERROR(__xludf.DUMMYFUNCTION("""COMPUTED_VALUE"""),2483.0)</f>
        <v>2483</v>
      </c>
    </row>
    <row r="304">
      <c r="A304" s="2">
        <f>IFERROR(__xludf.DUMMYFUNCTION("""COMPUTED_VALUE"""),41354.645833333336)</f>
        <v>41354.64583</v>
      </c>
      <c r="B304" s="1">
        <f>IFERROR(__xludf.DUMMYFUNCTION("""COMPUTED_VALUE"""),60100.0)</f>
        <v>60100</v>
      </c>
      <c r="C304" s="1">
        <f>IFERROR(__xludf.DUMMYFUNCTION("""COMPUTED_VALUE"""),60100.0)</f>
        <v>60100</v>
      </c>
      <c r="D304" s="1">
        <f>IFERROR(__xludf.DUMMYFUNCTION("""COMPUTED_VALUE"""),59700.0)</f>
        <v>59700</v>
      </c>
      <c r="E304" s="1">
        <f>IFERROR(__xludf.DUMMYFUNCTION("""COMPUTED_VALUE"""),60000.0)</f>
        <v>60000</v>
      </c>
      <c r="F304" s="1">
        <f>IFERROR(__xludf.DUMMYFUNCTION("""COMPUTED_VALUE"""),3134.0)</f>
        <v>3134</v>
      </c>
    </row>
    <row r="305">
      <c r="A305" s="2">
        <f>IFERROR(__xludf.DUMMYFUNCTION("""COMPUTED_VALUE"""),41355.645833333336)</f>
        <v>41355.64583</v>
      </c>
      <c r="B305" s="1">
        <f>IFERROR(__xludf.DUMMYFUNCTION("""COMPUTED_VALUE"""),60100.0)</f>
        <v>60100</v>
      </c>
      <c r="C305" s="1">
        <f>IFERROR(__xludf.DUMMYFUNCTION("""COMPUTED_VALUE"""),60100.0)</f>
        <v>60100</v>
      </c>
      <c r="D305" s="1">
        <f>IFERROR(__xludf.DUMMYFUNCTION("""COMPUTED_VALUE"""),59300.0)</f>
        <v>59300</v>
      </c>
      <c r="E305" s="1">
        <f>IFERROR(__xludf.DUMMYFUNCTION("""COMPUTED_VALUE"""),59900.0)</f>
        <v>59900</v>
      </c>
      <c r="F305" s="1">
        <f>IFERROR(__xludf.DUMMYFUNCTION("""COMPUTED_VALUE"""),4080.0)</f>
        <v>4080</v>
      </c>
    </row>
    <row r="306">
      <c r="A306" s="2">
        <f>IFERROR(__xludf.DUMMYFUNCTION("""COMPUTED_VALUE"""),41358.645833333336)</f>
        <v>41358.64583</v>
      </c>
      <c r="B306" s="1">
        <f>IFERROR(__xludf.DUMMYFUNCTION("""COMPUTED_VALUE"""),60000.0)</f>
        <v>60000</v>
      </c>
      <c r="C306" s="1">
        <f>IFERROR(__xludf.DUMMYFUNCTION("""COMPUTED_VALUE"""),60100.0)</f>
        <v>60100</v>
      </c>
      <c r="D306" s="1">
        <f>IFERROR(__xludf.DUMMYFUNCTION("""COMPUTED_VALUE"""),59400.0)</f>
        <v>59400</v>
      </c>
      <c r="E306" s="1">
        <f>IFERROR(__xludf.DUMMYFUNCTION("""COMPUTED_VALUE"""),60000.0)</f>
        <v>60000</v>
      </c>
      <c r="F306" s="1">
        <f>IFERROR(__xludf.DUMMYFUNCTION("""COMPUTED_VALUE"""),3995.0)</f>
        <v>3995</v>
      </c>
    </row>
    <row r="307">
      <c r="A307" s="2">
        <f>IFERROR(__xludf.DUMMYFUNCTION("""COMPUTED_VALUE"""),41359.645833333336)</f>
        <v>41359.64583</v>
      </c>
      <c r="B307" s="1">
        <f>IFERROR(__xludf.DUMMYFUNCTION("""COMPUTED_VALUE"""),60100.0)</f>
        <v>60100</v>
      </c>
      <c r="C307" s="1">
        <f>IFERROR(__xludf.DUMMYFUNCTION("""COMPUTED_VALUE"""),60100.0)</f>
        <v>60100</v>
      </c>
      <c r="D307" s="1">
        <f>IFERROR(__xludf.DUMMYFUNCTION("""COMPUTED_VALUE"""),59500.0)</f>
        <v>59500</v>
      </c>
      <c r="E307" s="1">
        <f>IFERROR(__xludf.DUMMYFUNCTION("""COMPUTED_VALUE"""),60000.0)</f>
        <v>60000</v>
      </c>
      <c r="F307" s="1">
        <f>IFERROR(__xludf.DUMMYFUNCTION("""COMPUTED_VALUE"""),3183.0)</f>
        <v>3183</v>
      </c>
    </row>
    <row r="308">
      <c r="A308" s="2">
        <f>IFERROR(__xludf.DUMMYFUNCTION("""COMPUTED_VALUE"""),41360.645833333336)</f>
        <v>41360.64583</v>
      </c>
      <c r="B308" s="1">
        <f>IFERROR(__xludf.DUMMYFUNCTION("""COMPUTED_VALUE"""),60000.0)</f>
        <v>60000</v>
      </c>
      <c r="C308" s="1">
        <f>IFERROR(__xludf.DUMMYFUNCTION("""COMPUTED_VALUE"""),60000.0)</f>
        <v>60000</v>
      </c>
      <c r="D308" s="1">
        <f>IFERROR(__xludf.DUMMYFUNCTION("""COMPUTED_VALUE"""),59600.0)</f>
        <v>59600</v>
      </c>
      <c r="E308" s="1">
        <f>IFERROR(__xludf.DUMMYFUNCTION("""COMPUTED_VALUE"""),59600.0)</f>
        <v>59600</v>
      </c>
      <c r="F308" s="1">
        <f>IFERROR(__xludf.DUMMYFUNCTION("""COMPUTED_VALUE"""),4639.0)</f>
        <v>4639</v>
      </c>
    </row>
    <row r="309">
      <c r="A309" s="2">
        <f>IFERROR(__xludf.DUMMYFUNCTION("""COMPUTED_VALUE"""),41361.645833333336)</f>
        <v>41361.64583</v>
      </c>
      <c r="B309" s="1">
        <f>IFERROR(__xludf.DUMMYFUNCTION("""COMPUTED_VALUE"""),60000.0)</f>
        <v>60000</v>
      </c>
      <c r="C309" s="1">
        <f>IFERROR(__xludf.DUMMYFUNCTION("""COMPUTED_VALUE"""),60000.0)</f>
        <v>60000</v>
      </c>
      <c r="D309" s="1">
        <f>IFERROR(__xludf.DUMMYFUNCTION("""COMPUTED_VALUE"""),59700.0)</f>
        <v>59700</v>
      </c>
      <c r="E309" s="1">
        <f>IFERROR(__xludf.DUMMYFUNCTION("""COMPUTED_VALUE"""),59900.0)</f>
        <v>59900</v>
      </c>
      <c r="F309" s="1">
        <f>IFERROR(__xludf.DUMMYFUNCTION("""COMPUTED_VALUE"""),1118.0)</f>
        <v>1118</v>
      </c>
    </row>
    <row r="310">
      <c r="A310" s="2">
        <f>IFERROR(__xludf.DUMMYFUNCTION("""COMPUTED_VALUE"""),41362.645833333336)</f>
        <v>41362.64583</v>
      </c>
      <c r="B310" s="1">
        <f>IFERROR(__xludf.DUMMYFUNCTION("""COMPUTED_VALUE"""),60100.0)</f>
        <v>60100</v>
      </c>
      <c r="C310" s="1">
        <f>IFERROR(__xludf.DUMMYFUNCTION("""COMPUTED_VALUE"""),60100.0)</f>
        <v>60100</v>
      </c>
      <c r="D310" s="1">
        <f>IFERROR(__xludf.DUMMYFUNCTION("""COMPUTED_VALUE"""),59600.0)</f>
        <v>59600</v>
      </c>
      <c r="E310" s="1">
        <f>IFERROR(__xludf.DUMMYFUNCTION("""COMPUTED_VALUE"""),60000.0)</f>
        <v>60000</v>
      </c>
      <c r="F310" s="1">
        <f>IFERROR(__xludf.DUMMYFUNCTION("""COMPUTED_VALUE"""),2065.0)</f>
        <v>2065</v>
      </c>
    </row>
    <row r="311">
      <c r="A311" s="2">
        <f>IFERROR(__xludf.DUMMYFUNCTION("""COMPUTED_VALUE"""),41365.645833333336)</f>
        <v>41365.64583</v>
      </c>
      <c r="B311" s="1">
        <f>IFERROR(__xludf.DUMMYFUNCTION("""COMPUTED_VALUE"""),60100.0)</f>
        <v>60100</v>
      </c>
      <c r="C311" s="1">
        <f>IFERROR(__xludf.DUMMYFUNCTION("""COMPUTED_VALUE"""),60100.0)</f>
        <v>60100</v>
      </c>
      <c r="D311" s="1">
        <f>IFERROR(__xludf.DUMMYFUNCTION("""COMPUTED_VALUE"""),59500.0)</f>
        <v>59500</v>
      </c>
      <c r="E311" s="1">
        <f>IFERROR(__xludf.DUMMYFUNCTION("""COMPUTED_VALUE"""),59800.0)</f>
        <v>59800</v>
      </c>
      <c r="F311" s="1">
        <f>IFERROR(__xludf.DUMMYFUNCTION("""COMPUTED_VALUE"""),1152.0)</f>
        <v>1152</v>
      </c>
    </row>
    <row r="312">
      <c r="A312" s="2">
        <f>IFERROR(__xludf.DUMMYFUNCTION("""COMPUTED_VALUE"""),41366.645833333336)</f>
        <v>41366.64583</v>
      </c>
      <c r="B312" s="1">
        <f>IFERROR(__xludf.DUMMYFUNCTION("""COMPUTED_VALUE"""),59800.0)</f>
        <v>59800</v>
      </c>
      <c r="C312" s="1">
        <f>IFERROR(__xludf.DUMMYFUNCTION("""COMPUTED_VALUE"""),59800.0)</f>
        <v>59800</v>
      </c>
      <c r="D312" s="1">
        <f>IFERROR(__xludf.DUMMYFUNCTION("""COMPUTED_VALUE"""),59100.0)</f>
        <v>59100</v>
      </c>
      <c r="E312" s="1">
        <f>IFERROR(__xludf.DUMMYFUNCTION("""COMPUTED_VALUE"""),59600.0)</f>
        <v>59600</v>
      </c>
      <c r="F312" s="1">
        <f>IFERROR(__xludf.DUMMYFUNCTION("""COMPUTED_VALUE"""),5216.0)</f>
        <v>5216</v>
      </c>
    </row>
    <row r="313">
      <c r="A313" s="2">
        <f>IFERROR(__xludf.DUMMYFUNCTION("""COMPUTED_VALUE"""),41367.645833333336)</f>
        <v>41367.64583</v>
      </c>
      <c r="B313" s="1">
        <f>IFERROR(__xludf.DUMMYFUNCTION("""COMPUTED_VALUE"""),59600.0)</f>
        <v>59600</v>
      </c>
      <c r="C313" s="1">
        <f>IFERROR(__xludf.DUMMYFUNCTION("""COMPUTED_VALUE"""),59800.0)</f>
        <v>59800</v>
      </c>
      <c r="D313" s="1">
        <f>IFERROR(__xludf.DUMMYFUNCTION("""COMPUTED_VALUE"""),59500.0)</f>
        <v>59500</v>
      </c>
      <c r="E313" s="1">
        <f>IFERROR(__xludf.DUMMYFUNCTION("""COMPUTED_VALUE"""),59600.0)</f>
        <v>59600</v>
      </c>
      <c r="F313" s="1">
        <f>IFERROR(__xludf.DUMMYFUNCTION("""COMPUTED_VALUE"""),3125.0)</f>
        <v>3125</v>
      </c>
    </row>
    <row r="314">
      <c r="A314" s="2">
        <f>IFERROR(__xludf.DUMMYFUNCTION("""COMPUTED_VALUE"""),41368.645833333336)</f>
        <v>41368.64583</v>
      </c>
      <c r="B314" s="1">
        <f>IFERROR(__xludf.DUMMYFUNCTION("""COMPUTED_VALUE"""),59700.0)</f>
        <v>59700</v>
      </c>
      <c r="C314" s="1">
        <f>IFERROR(__xludf.DUMMYFUNCTION("""COMPUTED_VALUE"""),59700.0)</f>
        <v>59700</v>
      </c>
      <c r="D314" s="1">
        <f>IFERROR(__xludf.DUMMYFUNCTION("""COMPUTED_VALUE"""),58900.0)</f>
        <v>58900</v>
      </c>
      <c r="E314" s="1">
        <f>IFERROR(__xludf.DUMMYFUNCTION("""COMPUTED_VALUE"""),59400.0)</f>
        <v>59400</v>
      </c>
      <c r="F314" s="1">
        <f>IFERROR(__xludf.DUMMYFUNCTION("""COMPUTED_VALUE"""),15216.0)</f>
        <v>15216</v>
      </c>
    </row>
    <row r="315">
      <c r="A315" s="2">
        <f>IFERROR(__xludf.DUMMYFUNCTION("""COMPUTED_VALUE"""),41369.645833333336)</f>
        <v>41369.64583</v>
      </c>
      <c r="B315" s="1">
        <f>IFERROR(__xludf.DUMMYFUNCTION("""COMPUTED_VALUE"""),59400.0)</f>
        <v>59400</v>
      </c>
      <c r="C315" s="1">
        <f>IFERROR(__xludf.DUMMYFUNCTION("""COMPUTED_VALUE"""),59400.0)</f>
        <v>59400</v>
      </c>
      <c r="D315" s="1">
        <f>IFERROR(__xludf.DUMMYFUNCTION("""COMPUTED_VALUE"""),58600.0)</f>
        <v>58600</v>
      </c>
      <c r="E315" s="1">
        <f>IFERROR(__xludf.DUMMYFUNCTION("""COMPUTED_VALUE"""),58800.0)</f>
        <v>58800</v>
      </c>
      <c r="F315" s="1">
        <f>IFERROR(__xludf.DUMMYFUNCTION("""COMPUTED_VALUE"""),42061.0)</f>
        <v>42061</v>
      </c>
    </row>
    <row r="316">
      <c r="A316" s="2">
        <f>IFERROR(__xludf.DUMMYFUNCTION("""COMPUTED_VALUE"""),41372.645833333336)</f>
        <v>41372.64583</v>
      </c>
      <c r="B316" s="1">
        <f>IFERROR(__xludf.DUMMYFUNCTION("""COMPUTED_VALUE"""),58800.0)</f>
        <v>58800</v>
      </c>
      <c r="C316" s="1">
        <f>IFERROR(__xludf.DUMMYFUNCTION("""COMPUTED_VALUE"""),59200.0)</f>
        <v>59200</v>
      </c>
      <c r="D316" s="1">
        <f>IFERROR(__xludf.DUMMYFUNCTION("""COMPUTED_VALUE"""),58500.0)</f>
        <v>58500</v>
      </c>
      <c r="E316" s="1">
        <f>IFERROR(__xludf.DUMMYFUNCTION("""COMPUTED_VALUE"""),59000.0)</f>
        <v>59000</v>
      </c>
      <c r="F316" s="1">
        <f>IFERROR(__xludf.DUMMYFUNCTION("""COMPUTED_VALUE"""),4152.0)</f>
        <v>4152</v>
      </c>
    </row>
    <row r="317">
      <c r="A317" s="2">
        <f>IFERROR(__xludf.DUMMYFUNCTION("""COMPUTED_VALUE"""),41373.645833333336)</f>
        <v>41373.64583</v>
      </c>
      <c r="B317" s="1">
        <f>IFERROR(__xludf.DUMMYFUNCTION("""COMPUTED_VALUE"""),58700.0)</f>
        <v>58700</v>
      </c>
      <c r="C317" s="1">
        <f>IFERROR(__xludf.DUMMYFUNCTION("""COMPUTED_VALUE"""),59100.0)</f>
        <v>59100</v>
      </c>
      <c r="D317" s="1">
        <f>IFERROR(__xludf.DUMMYFUNCTION("""COMPUTED_VALUE"""),58300.0)</f>
        <v>58300</v>
      </c>
      <c r="E317" s="1">
        <f>IFERROR(__xludf.DUMMYFUNCTION("""COMPUTED_VALUE"""),59000.0)</f>
        <v>59000</v>
      </c>
      <c r="F317" s="1">
        <f>IFERROR(__xludf.DUMMYFUNCTION("""COMPUTED_VALUE"""),2963.0)</f>
        <v>2963</v>
      </c>
    </row>
    <row r="318">
      <c r="A318" s="2">
        <f>IFERROR(__xludf.DUMMYFUNCTION("""COMPUTED_VALUE"""),41374.645833333336)</f>
        <v>41374.64583</v>
      </c>
      <c r="B318" s="1">
        <f>IFERROR(__xludf.DUMMYFUNCTION("""COMPUTED_VALUE"""),59000.0)</f>
        <v>59000</v>
      </c>
      <c r="C318" s="1">
        <f>IFERROR(__xludf.DUMMYFUNCTION("""COMPUTED_VALUE"""),59300.0)</f>
        <v>59300</v>
      </c>
      <c r="D318" s="1">
        <f>IFERROR(__xludf.DUMMYFUNCTION("""COMPUTED_VALUE"""),58400.0)</f>
        <v>58400</v>
      </c>
      <c r="E318" s="1">
        <f>IFERROR(__xludf.DUMMYFUNCTION("""COMPUTED_VALUE"""),58900.0)</f>
        <v>58900</v>
      </c>
      <c r="F318" s="1">
        <f>IFERROR(__xludf.DUMMYFUNCTION("""COMPUTED_VALUE"""),3385.0)</f>
        <v>3385</v>
      </c>
    </row>
    <row r="319">
      <c r="A319" s="2">
        <f>IFERROR(__xludf.DUMMYFUNCTION("""COMPUTED_VALUE"""),41375.645833333336)</f>
        <v>41375.64583</v>
      </c>
      <c r="B319" s="1">
        <f>IFERROR(__xludf.DUMMYFUNCTION("""COMPUTED_VALUE"""),59000.0)</f>
        <v>59000</v>
      </c>
      <c r="C319" s="1">
        <f>IFERROR(__xludf.DUMMYFUNCTION("""COMPUTED_VALUE"""),59100.0)</f>
        <v>59100</v>
      </c>
      <c r="D319" s="1">
        <f>IFERROR(__xludf.DUMMYFUNCTION("""COMPUTED_VALUE"""),58500.0)</f>
        <v>58500</v>
      </c>
      <c r="E319" s="1">
        <f>IFERROR(__xludf.DUMMYFUNCTION("""COMPUTED_VALUE"""),58900.0)</f>
        <v>58900</v>
      </c>
      <c r="F319" s="1">
        <f>IFERROR(__xludf.DUMMYFUNCTION("""COMPUTED_VALUE"""),10101.0)</f>
        <v>10101</v>
      </c>
    </row>
    <row r="320">
      <c r="A320" s="2">
        <f>IFERROR(__xludf.DUMMYFUNCTION("""COMPUTED_VALUE"""),41376.645833333336)</f>
        <v>41376.64583</v>
      </c>
      <c r="B320" s="1">
        <f>IFERROR(__xludf.DUMMYFUNCTION("""COMPUTED_VALUE"""),59000.0)</f>
        <v>59000</v>
      </c>
      <c r="C320" s="1">
        <f>IFERROR(__xludf.DUMMYFUNCTION("""COMPUTED_VALUE"""),59000.0)</f>
        <v>59000</v>
      </c>
      <c r="D320" s="1">
        <f>IFERROR(__xludf.DUMMYFUNCTION("""COMPUTED_VALUE"""),58000.0)</f>
        <v>58000</v>
      </c>
      <c r="E320" s="1">
        <f>IFERROR(__xludf.DUMMYFUNCTION("""COMPUTED_VALUE"""),58300.0)</f>
        <v>58300</v>
      </c>
      <c r="F320" s="1">
        <f>IFERROR(__xludf.DUMMYFUNCTION("""COMPUTED_VALUE"""),7716.0)</f>
        <v>7716</v>
      </c>
    </row>
    <row r="321">
      <c r="A321" s="2">
        <f>IFERROR(__xludf.DUMMYFUNCTION("""COMPUTED_VALUE"""),41379.645833333336)</f>
        <v>41379.64583</v>
      </c>
      <c r="B321" s="1">
        <f>IFERROR(__xludf.DUMMYFUNCTION("""COMPUTED_VALUE"""),58300.0)</f>
        <v>58300</v>
      </c>
      <c r="C321" s="1">
        <f>IFERROR(__xludf.DUMMYFUNCTION("""COMPUTED_VALUE"""),58500.0)</f>
        <v>58500</v>
      </c>
      <c r="D321" s="1">
        <f>IFERROR(__xludf.DUMMYFUNCTION("""COMPUTED_VALUE"""),57500.0)</f>
        <v>57500</v>
      </c>
      <c r="E321" s="1">
        <f>IFERROR(__xludf.DUMMYFUNCTION("""COMPUTED_VALUE"""),57800.0)</f>
        <v>57800</v>
      </c>
      <c r="F321" s="1">
        <f>IFERROR(__xludf.DUMMYFUNCTION("""COMPUTED_VALUE"""),10216.0)</f>
        <v>10216</v>
      </c>
    </row>
    <row r="322">
      <c r="A322" s="2">
        <f>IFERROR(__xludf.DUMMYFUNCTION("""COMPUTED_VALUE"""),41380.645833333336)</f>
        <v>41380.64583</v>
      </c>
      <c r="B322" s="1">
        <f>IFERROR(__xludf.DUMMYFUNCTION("""COMPUTED_VALUE"""),57700.0)</f>
        <v>57700</v>
      </c>
      <c r="C322" s="1">
        <f>IFERROR(__xludf.DUMMYFUNCTION("""COMPUTED_VALUE"""),57800.0)</f>
        <v>57800</v>
      </c>
      <c r="D322" s="1">
        <f>IFERROR(__xludf.DUMMYFUNCTION("""COMPUTED_VALUE"""),57000.0)</f>
        <v>57000</v>
      </c>
      <c r="E322" s="1">
        <f>IFERROR(__xludf.DUMMYFUNCTION("""COMPUTED_VALUE"""),57700.0)</f>
        <v>57700</v>
      </c>
      <c r="F322" s="1">
        <f>IFERROR(__xludf.DUMMYFUNCTION("""COMPUTED_VALUE"""),8169.0)</f>
        <v>8169</v>
      </c>
    </row>
    <row r="323">
      <c r="A323" s="2">
        <f>IFERROR(__xludf.DUMMYFUNCTION("""COMPUTED_VALUE"""),41381.645833333336)</f>
        <v>41381.64583</v>
      </c>
      <c r="B323" s="1">
        <f>IFERROR(__xludf.DUMMYFUNCTION("""COMPUTED_VALUE"""),58000.0)</f>
        <v>58000</v>
      </c>
      <c r="C323" s="1">
        <f>IFERROR(__xludf.DUMMYFUNCTION("""COMPUTED_VALUE"""),58000.0)</f>
        <v>58000</v>
      </c>
      <c r="D323" s="1">
        <f>IFERROR(__xludf.DUMMYFUNCTION("""COMPUTED_VALUE"""),57000.0)</f>
        <v>57000</v>
      </c>
      <c r="E323" s="1">
        <f>IFERROR(__xludf.DUMMYFUNCTION("""COMPUTED_VALUE"""),57400.0)</f>
        <v>57400</v>
      </c>
      <c r="F323" s="1">
        <f>IFERROR(__xludf.DUMMYFUNCTION("""COMPUTED_VALUE"""),5162.0)</f>
        <v>5162</v>
      </c>
    </row>
    <row r="324">
      <c r="A324" s="2">
        <f>IFERROR(__xludf.DUMMYFUNCTION("""COMPUTED_VALUE"""),41382.645833333336)</f>
        <v>41382.64583</v>
      </c>
      <c r="B324" s="1">
        <f>IFERROR(__xludf.DUMMYFUNCTION("""COMPUTED_VALUE"""),57500.0)</f>
        <v>57500</v>
      </c>
      <c r="C324" s="1">
        <f>IFERROR(__xludf.DUMMYFUNCTION("""COMPUTED_VALUE"""),57500.0)</f>
        <v>57500</v>
      </c>
      <c r="D324" s="1">
        <f>IFERROR(__xludf.DUMMYFUNCTION("""COMPUTED_VALUE"""),56300.0)</f>
        <v>56300</v>
      </c>
      <c r="E324" s="1">
        <f>IFERROR(__xludf.DUMMYFUNCTION("""COMPUTED_VALUE"""),56800.0)</f>
        <v>56800</v>
      </c>
      <c r="F324" s="1">
        <f>IFERROR(__xludf.DUMMYFUNCTION("""COMPUTED_VALUE"""),8869.0)</f>
        <v>8869</v>
      </c>
    </row>
    <row r="325">
      <c r="A325" s="2">
        <f>IFERROR(__xludf.DUMMYFUNCTION("""COMPUTED_VALUE"""),41383.645833333336)</f>
        <v>41383.64583</v>
      </c>
      <c r="B325" s="1">
        <f>IFERROR(__xludf.DUMMYFUNCTION("""COMPUTED_VALUE"""),56900.0)</f>
        <v>56900</v>
      </c>
      <c r="C325" s="1">
        <f>IFERROR(__xludf.DUMMYFUNCTION("""COMPUTED_VALUE"""),56900.0)</f>
        <v>56900</v>
      </c>
      <c r="D325" s="1">
        <f>IFERROR(__xludf.DUMMYFUNCTION("""COMPUTED_VALUE"""),56100.0)</f>
        <v>56100</v>
      </c>
      <c r="E325" s="1">
        <f>IFERROR(__xludf.DUMMYFUNCTION("""COMPUTED_VALUE"""),56800.0)</f>
        <v>56800</v>
      </c>
      <c r="F325" s="1">
        <f>IFERROR(__xludf.DUMMYFUNCTION("""COMPUTED_VALUE"""),3298.0)</f>
        <v>3298</v>
      </c>
    </row>
    <row r="326">
      <c r="A326" s="2">
        <f>IFERROR(__xludf.DUMMYFUNCTION("""COMPUTED_VALUE"""),41386.645833333336)</f>
        <v>41386.64583</v>
      </c>
      <c r="B326" s="1">
        <f>IFERROR(__xludf.DUMMYFUNCTION("""COMPUTED_VALUE"""),56900.0)</f>
        <v>56900</v>
      </c>
      <c r="C326" s="1">
        <f>IFERROR(__xludf.DUMMYFUNCTION("""COMPUTED_VALUE"""),56900.0)</f>
        <v>56900</v>
      </c>
      <c r="D326" s="1">
        <f>IFERROR(__xludf.DUMMYFUNCTION("""COMPUTED_VALUE"""),55500.0)</f>
        <v>55500</v>
      </c>
      <c r="E326" s="1">
        <f>IFERROR(__xludf.DUMMYFUNCTION("""COMPUTED_VALUE"""),56800.0)</f>
        <v>56800</v>
      </c>
      <c r="F326" s="1">
        <f>IFERROR(__xludf.DUMMYFUNCTION("""COMPUTED_VALUE"""),28946.0)</f>
        <v>28946</v>
      </c>
    </row>
    <row r="327">
      <c r="A327" s="2">
        <f>IFERROR(__xludf.DUMMYFUNCTION("""COMPUTED_VALUE"""),41387.645833333336)</f>
        <v>41387.64583</v>
      </c>
      <c r="B327" s="1">
        <f>IFERROR(__xludf.DUMMYFUNCTION("""COMPUTED_VALUE"""),56800.0)</f>
        <v>56800</v>
      </c>
      <c r="C327" s="1">
        <f>IFERROR(__xludf.DUMMYFUNCTION("""COMPUTED_VALUE"""),57200.0)</f>
        <v>57200</v>
      </c>
      <c r="D327" s="1">
        <f>IFERROR(__xludf.DUMMYFUNCTION("""COMPUTED_VALUE"""),56200.0)</f>
        <v>56200</v>
      </c>
      <c r="E327" s="1">
        <f>IFERROR(__xludf.DUMMYFUNCTION("""COMPUTED_VALUE"""),56700.0)</f>
        <v>56700</v>
      </c>
      <c r="F327" s="1">
        <f>IFERROR(__xludf.DUMMYFUNCTION("""COMPUTED_VALUE"""),3734.0)</f>
        <v>3734</v>
      </c>
    </row>
    <row r="328">
      <c r="A328" s="2">
        <f>IFERROR(__xludf.DUMMYFUNCTION("""COMPUTED_VALUE"""),41388.645833333336)</f>
        <v>41388.64583</v>
      </c>
      <c r="B328" s="1">
        <f>IFERROR(__xludf.DUMMYFUNCTION("""COMPUTED_VALUE"""),56700.0)</f>
        <v>56700</v>
      </c>
      <c r="C328" s="1">
        <f>IFERROR(__xludf.DUMMYFUNCTION("""COMPUTED_VALUE"""),57600.0)</f>
        <v>57600</v>
      </c>
      <c r="D328" s="1">
        <f>IFERROR(__xludf.DUMMYFUNCTION("""COMPUTED_VALUE"""),56000.0)</f>
        <v>56000</v>
      </c>
      <c r="E328" s="1">
        <f>IFERROR(__xludf.DUMMYFUNCTION("""COMPUTED_VALUE"""),57400.0)</f>
        <v>57400</v>
      </c>
      <c r="F328" s="1">
        <f>IFERROR(__xludf.DUMMYFUNCTION("""COMPUTED_VALUE"""),7828.0)</f>
        <v>7828</v>
      </c>
    </row>
    <row r="329">
      <c r="A329" s="2">
        <f>IFERROR(__xludf.DUMMYFUNCTION("""COMPUTED_VALUE"""),41389.645833333336)</f>
        <v>41389.64583</v>
      </c>
      <c r="B329" s="1">
        <f>IFERROR(__xludf.DUMMYFUNCTION("""COMPUTED_VALUE"""),57400.0)</f>
        <v>57400</v>
      </c>
      <c r="C329" s="1">
        <f>IFERROR(__xludf.DUMMYFUNCTION("""COMPUTED_VALUE"""),58800.0)</f>
        <v>58800</v>
      </c>
      <c r="D329" s="1">
        <f>IFERROR(__xludf.DUMMYFUNCTION("""COMPUTED_VALUE"""),57100.0)</f>
        <v>57100</v>
      </c>
      <c r="E329" s="1">
        <f>IFERROR(__xludf.DUMMYFUNCTION("""COMPUTED_VALUE"""),58700.0)</f>
        <v>58700</v>
      </c>
      <c r="F329" s="1">
        <f>IFERROR(__xludf.DUMMYFUNCTION("""COMPUTED_VALUE"""),8029.0)</f>
        <v>8029</v>
      </c>
    </row>
    <row r="330">
      <c r="A330" s="2">
        <f>IFERROR(__xludf.DUMMYFUNCTION("""COMPUTED_VALUE"""),41390.645833333336)</f>
        <v>41390.64583</v>
      </c>
      <c r="B330" s="1">
        <f>IFERROR(__xludf.DUMMYFUNCTION("""COMPUTED_VALUE"""),59200.0)</f>
        <v>59200</v>
      </c>
      <c r="C330" s="1">
        <f>IFERROR(__xludf.DUMMYFUNCTION("""COMPUTED_VALUE"""),59300.0)</f>
        <v>59300</v>
      </c>
      <c r="D330" s="1">
        <f>IFERROR(__xludf.DUMMYFUNCTION("""COMPUTED_VALUE"""),58700.0)</f>
        <v>58700</v>
      </c>
      <c r="E330" s="1">
        <f>IFERROR(__xludf.DUMMYFUNCTION("""COMPUTED_VALUE"""),59300.0)</f>
        <v>59300</v>
      </c>
      <c r="F330" s="1">
        <f>IFERROR(__xludf.DUMMYFUNCTION("""COMPUTED_VALUE"""),7063.0)</f>
        <v>7063</v>
      </c>
    </row>
    <row r="331">
      <c r="A331" s="2">
        <f>IFERROR(__xludf.DUMMYFUNCTION("""COMPUTED_VALUE"""),41393.645833333336)</f>
        <v>41393.64583</v>
      </c>
      <c r="B331" s="1">
        <f>IFERROR(__xludf.DUMMYFUNCTION("""COMPUTED_VALUE"""),59300.0)</f>
        <v>59300</v>
      </c>
      <c r="C331" s="1">
        <f>IFERROR(__xludf.DUMMYFUNCTION("""COMPUTED_VALUE"""),59300.0)</f>
        <v>59300</v>
      </c>
      <c r="D331" s="1">
        <f>IFERROR(__xludf.DUMMYFUNCTION("""COMPUTED_VALUE"""),58100.0)</f>
        <v>58100</v>
      </c>
      <c r="E331" s="1">
        <f>IFERROR(__xludf.DUMMYFUNCTION("""COMPUTED_VALUE"""),59000.0)</f>
        <v>59000</v>
      </c>
      <c r="F331" s="1">
        <f>IFERROR(__xludf.DUMMYFUNCTION("""COMPUTED_VALUE"""),22183.0)</f>
        <v>22183</v>
      </c>
    </row>
    <row r="332">
      <c r="A332" s="2">
        <f>IFERROR(__xludf.DUMMYFUNCTION("""COMPUTED_VALUE"""),41394.645833333336)</f>
        <v>41394.64583</v>
      </c>
      <c r="B332" s="1">
        <f>IFERROR(__xludf.DUMMYFUNCTION("""COMPUTED_VALUE"""),59200.0)</f>
        <v>59200</v>
      </c>
      <c r="C332" s="1">
        <f>IFERROR(__xludf.DUMMYFUNCTION("""COMPUTED_VALUE"""),59600.0)</f>
        <v>59600</v>
      </c>
      <c r="D332" s="1">
        <f>IFERROR(__xludf.DUMMYFUNCTION("""COMPUTED_VALUE"""),59100.0)</f>
        <v>59100</v>
      </c>
      <c r="E332" s="1">
        <f>IFERROR(__xludf.DUMMYFUNCTION("""COMPUTED_VALUE"""),59300.0)</f>
        <v>59300</v>
      </c>
      <c r="F332" s="1">
        <f>IFERROR(__xludf.DUMMYFUNCTION("""COMPUTED_VALUE"""),17577.0)</f>
        <v>17577</v>
      </c>
    </row>
    <row r="333">
      <c r="A333" s="2">
        <f>IFERROR(__xludf.DUMMYFUNCTION("""COMPUTED_VALUE"""),41396.645833333336)</f>
        <v>41396.64583</v>
      </c>
      <c r="B333" s="1">
        <f>IFERROR(__xludf.DUMMYFUNCTION("""COMPUTED_VALUE"""),59500.0)</f>
        <v>59500</v>
      </c>
      <c r="C333" s="1">
        <f>IFERROR(__xludf.DUMMYFUNCTION("""COMPUTED_VALUE"""),59500.0)</f>
        <v>59500</v>
      </c>
      <c r="D333" s="1">
        <f>IFERROR(__xludf.DUMMYFUNCTION("""COMPUTED_VALUE"""),58300.0)</f>
        <v>58300</v>
      </c>
      <c r="E333" s="1">
        <f>IFERROR(__xludf.DUMMYFUNCTION("""COMPUTED_VALUE"""),58900.0)</f>
        <v>58900</v>
      </c>
      <c r="F333" s="1">
        <f>IFERROR(__xludf.DUMMYFUNCTION("""COMPUTED_VALUE"""),18620.0)</f>
        <v>18620</v>
      </c>
    </row>
    <row r="334">
      <c r="A334" s="2">
        <f>IFERROR(__xludf.DUMMYFUNCTION("""COMPUTED_VALUE"""),41397.645833333336)</f>
        <v>41397.64583</v>
      </c>
      <c r="B334" s="1">
        <f>IFERROR(__xludf.DUMMYFUNCTION("""COMPUTED_VALUE"""),59200.0)</f>
        <v>59200</v>
      </c>
      <c r="C334" s="1">
        <f>IFERROR(__xludf.DUMMYFUNCTION("""COMPUTED_VALUE"""),59200.0)</f>
        <v>59200</v>
      </c>
      <c r="D334" s="1">
        <f>IFERROR(__xludf.DUMMYFUNCTION("""COMPUTED_VALUE"""),58500.0)</f>
        <v>58500</v>
      </c>
      <c r="E334" s="1">
        <f>IFERROR(__xludf.DUMMYFUNCTION("""COMPUTED_VALUE"""),58900.0)</f>
        <v>58900</v>
      </c>
      <c r="F334" s="1">
        <f>IFERROR(__xludf.DUMMYFUNCTION("""COMPUTED_VALUE"""),17555.0)</f>
        <v>17555</v>
      </c>
    </row>
    <row r="335">
      <c r="A335" s="2">
        <f>IFERROR(__xludf.DUMMYFUNCTION("""COMPUTED_VALUE"""),41400.645833333336)</f>
        <v>41400.64583</v>
      </c>
      <c r="B335" s="1">
        <f>IFERROR(__xludf.DUMMYFUNCTION("""COMPUTED_VALUE"""),59200.0)</f>
        <v>59200</v>
      </c>
      <c r="C335" s="1">
        <f>IFERROR(__xludf.DUMMYFUNCTION("""COMPUTED_VALUE"""),59400.0)</f>
        <v>59400</v>
      </c>
      <c r="D335" s="1">
        <f>IFERROR(__xludf.DUMMYFUNCTION("""COMPUTED_VALUE"""),58900.0)</f>
        <v>58900</v>
      </c>
      <c r="E335" s="1">
        <f>IFERROR(__xludf.DUMMYFUNCTION("""COMPUTED_VALUE"""),59100.0)</f>
        <v>59100</v>
      </c>
      <c r="F335" s="1">
        <f>IFERROR(__xludf.DUMMYFUNCTION("""COMPUTED_VALUE"""),9336.0)</f>
        <v>9336</v>
      </c>
    </row>
    <row r="336">
      <c r="A336" s="2">
        <f>IFERROR(__xludf.DUMMYFUNCTION("""COMPUTED_VALUE"""),41401.645833333336)</f>
        <v>41401.64583</v>
      </c>
      <c r="B336" s="1">
        <f>IFERROR(__xludf.DUMMYFUNCTION("""COMPUTED_VALUE"""),59500.0)</f>
        <v>59500</v>
      </c>
      <c r="C336" s="1">
        <f>IFERROR(__xludf.DUMMYFUNCTION("""COMPUTED_VALUE"""),59500.0)</f>
        <v>59500</v>
      </c>
      <c r="D336" s="1">
        <f>IFERROR(__xludf.DUMMYFUNCTION("""COMPUTED_VALUE"""),58700.0)</f>
        <v>58700</v>
      </c>
      <c r="E336" s="1">
        <f>IFERROR(__xludf.DUMMYFUNCTION("""COMPUTED_VALUE"""),58900.0)</f>
        <v>58900</v>
      </c>
      <c r="F336" s="1">
        <f>IFERROR(__xludf.DUMMYFUNCTION("""COMPUTED_VALUE"""),7796.0)</f>
        <v>7796</v>
      </c>
    </row>
    <row r="337">
      <c r="A337" s="2">
        <f>IFERROR(__xludf.DUMMYFUNCTION("""COMPUTED_VALUE"""),41402.645833333336)</f>
        <v>41402.64583</v>
      </c>
      <c r="B337" s="1">
        <f>IFERROR(__xludf.DUMMYFUNCTION("""COMPUTED_VALUE"""),59200.0)</f>
        <v>59200</v>
      </c>
      <c r="C337" s="1">
        <f>IFERROR(__xludf.DUMMYFUNCTION("""COMPUTED_VALUE"""),59200.0)</f>
        <v>59200</v>
      </c>
      <c r="D337" s="1">
        <f>IFERROR(__xludf.DUMMYFUNCTION("""COMPUTED_VALUE"""),57700.0)</f>
        <v>57700</v>
      </c>
      <c r="E337" s="1">
        <f>IFERROR(__xludf.DUMMYFUNCTION("""COMPUTED_VALUE"""),58200.0)</f>
        <v>58200</v>
      </c>
      <c r="F337" s="1">
        <f>IFERROR(__xludf.DUMMYFUNCTION("""COMPUTED_VALUE"""),25679.0)</f>
        <v>25679</v>
      </c>
    </row>
    <row r="338">
      <c r="A338" s="2">
        <f>IFERROR(__xludf.DUMMYFUNCTION("""COMPUTED_VALUE"""),41403.645833333336)</f>
        <v>41403.64583</v>
      </c>
      <c r="B338" s="1">
        <f>IFERROR(__xludf.DUMMYFUNCTION("""COMPUTED_VALUE"""),58500.0)</f>
        <v>58500</v>
      </c>
      <c r="C338" s="1">
        <f>IFERROR(__xludf.DUMMYFUNCTION("""COMPUTED_VALUE"""),58900.0)</f>
        <v>58900</v>
      </c>
      <c r="D338" s="1">
        <f>IFERROR(__xludf.DUMMYFUNCTION("""COMPUTED_VALUE"""),58000.0)</f>
        <v>58000</v>
      </c>
      <c r="E338" s="1">
        <f>IFERROR(__xludf.DUMMYFUNCTION("""COMPUTED_VALUE"""),58900.0)</f>
        <v>58900</v>
      </c>
      <c r="F338" s="1">
        <f>IFERROR(__xludf.DUMMYFUNCTION("""COMPUTED_VALUE"""),10724.0)</f>
        <v>10724</v>
      </c>
    </row>
    <row r="339">
      <c r="A339" s="2">
        <f>IFERROR(__xludf.DUMMYFUNCTION("""COMPUTED_VALUE"""),41404.645833333336)</f>
        <v>41404.64583</v>
      </c>
      <c r="B339" s="1">
        <f>IFERROR(__xludf.DUMMYFUNCTION("""COMPUTED_VALUE"""),59000.0)</f>
        <v>59000</v>
      </c>
      <c r="C339" s="1">
        <f>IFERROR(__xludf.DUMMYFUNCTION("""COMPUTED_VALUE"""),59000.0)</f>
        <v>59000</v>
      </c>
      <c r="D339" s="1">
        <f>IFERROR(__xludf.DUMMYFUNCTION("""COMPUTED_VALUE"""),58300.0)</f>
        <v>58300</v>
      </c>
      <c r="E339" s="1">
        <f>IFERROR(__xludf.DUMMYFUNCTION("""COMPUTED_VALUE"""),58900.0)</f>
        <v>58900</v>
      </c>
      <c r="F339" s="1">
        <f>IFERROR(__xludf.DUMMYFUNCTION("""COMPUTED_VALUE"""),45335.0)</f>
        <v>45335</v>
      </c>
    </row>
    <row r="340">
      <c r="A340" s="2">
        <f>IFERROR(__xludf.DUMMYFUNCTION("""COMPUTED_VALUE"""),41407.645833333336)</f>
        <v>41407.64583</v>
      </c>
      <c r="B340" s="1">
        <f>IFERROR(__xludf.DUMMYFUNCTION("""COMPUTED_VALUE"""),59000.0)</f>
        <v>59000</v>
      </c>
      <c r="C340" s="1">
        <f>IFERROR(__xludf.DUMMYFUNCTION("""COMPUTED_VALUE"""),59700.0)</f>
        <v>59700</v>
      </c>
      <c r="D340" s="1">
        <f>IFERROR(__xludf.DUMMYFUNCTION("""COMPUTED_VALUE"""),58600.0)</f>
        <v>58600</v>
      </c>
      <c r="E340" s="1">
        <f>IFERROR(__xludf.DUMMYFUNCTION("""COMPUTED_VALUE"""),59700.0)</f>
        <v>59700</v>
      </c>
      <c r="F340" s="1">
        <f>IFERROR(__xludf.DUMMYFUNCTION("""COMPUTED_VALUE"""),43525.0)</f>
        <v>43525</v>
      </c>
    </row>
    <row r="341">
      <c r="A341" s="2">
        <f>IFERROR(__xludf.DUMMYFUNCTION("""COMPUTED_VALUE"""),41408.645833333336)</f>
        <v>41408.64583</v>
      </c>
      <c r="B341" s="1">
        <f>IFERROR(__xludf.DUMMYFUNCTION("""COMPUTED_VALUE"""),59700.0)</f>
        <v>59700</v>
      </c>
      <c r="C341" s="1">
        <f>IFERROR(__xludf.DUMMYFUNCTION("""COMPUTED_VALUE"""),60300.0)</f>
        <v>60300</v>
      </c>
      <c r="D341" s="1">
        <f>IFERROR(__xludf.DUMMYFUNCTION("""COMPUTED_VALUE"""),58900.0)</f>
        <v>58900</v>
      </c>
      <c r="E341" s="1">
        <f>IFERROR(__xludf.DUMMYFUNCTION("""COMPUTED_VALUE"""),60100.0)</f>
        <v>60100</v>
      </c>
      <c r="F341" s="1">
        <f>IFERROR(__xludf.DUMMYFUNCTION("""COMPUTED_VALUE"""),31519.0)</f>
        <v>31519</v>
      </c>
    </row>
    <row r="342">
      <c r="A342" s="2">
        <f>IFERROR(__xludf.DUMMYFUNCTION("""COMPUTED_VALUE"""),41409.645833333336)</f>
        <v>41409.64583</v>
      </c>
      <c r="B342" s="1">
        <f>IFERROR(__xludf.DUMMYFUNCTION("""COMPUTED_VALUE"""),60200.0)</f>
        <v>60200</v>
      </c>
      <c r="C342" s="1">
        <f>IFERROR(__xludf.DUMMYFUNCTION("""COMPUTED_VALUE"""),60900.0)</f>
        <v>60900</v>
      </c>
      <c r="D342" s="1">
        <f>IFERROR(__xludf.DUMMYFUNCTION("""COMPUTED_VALUE"""),59900.0)</f>
        <v>59900</v>
      </c>
      <c r="E342" s="1">
        <f>IFERROR(__xludf.DUMMYFUNCTION("""COMPUTED_VALUE"""),60900.0)</f>
        <v>60900</v>
      </c>
      <c r="F342" s="1">
        <f>IFERROR(__xludf.DUMMYFUNCTION("""COMPUTED_VALUE"""),21176.0)</f>
        <v>21176</v>
      </c>
    </row>
    <row r="343">
      <c r="A343" s="2">
        <f>IFERROR(__xludf.DUMMYFUNCTION("""COMPUTED_VALUE"""),41410.645833333336)</f>
        <v>41410.64583</v>
      </c>
      <c r="B343" s="1">
        <f>IFERROR(__xludf.DUMMYFUNCTION("""COMPUTED_VALUE"""),60700.0)</f>
        <v>60700</v>
      </c>
      <c r="C343" s="1">
        <f>IFERROR(__xludf.DUMMYFUNCTION("""COMPUTED_VALUE"""),61700.0)</f>
        <v>61700</v>
      </c>
      <c r="D343" s="1">
        <f>IFERROR(__xludf.DUMMYFUNCTION("""COMPUTED_VALUE"""),60700.0)</f>
        <v>60700</v>
      </c>
      <c r="E343" s="1">
        <f>IFERROR(__xludf.DUMMYFUNCTION("""COMPUTED_VALUE"""),61700.0)</f>
        <v>61700</v>
      </c>
      <c r="F343" s="1">
        <f>IFERROR(__xludf.DUMMYFUNCTION("""COMPUTED_VALUE"""),20308.0)</f>
        <v>20308</v>
      </c>
    </row>
    <row r="344">
      <c r="A344" s="2">
        <f>IFERROR(__xludf.DUMMYFUNCTION("""COMPUTED_VALUE"""),41414.645833333336)</f>
        <v>41414.64583</v>
      </c>
      <c r="B344" s="1">
        <f>IFERROR(__xludf.DUMMYFUNCTION("""COMPUTED_VALUE"""),61800.0)</f>
        <v>61800</v>
      </c>
      <c r="C344" s="1">
        <f>IFERROR(__xludf.DUMMYFUNCTION("""COMPUTED_VALUE"""),63200.0)</f>
        <v>63200</v>
      </c>
      <c r="D344" s="1">
        <f>IFERROR(__xludf.DUMMYFUNCTION("""COMPUTED_VALUE"""),61500.0)</f>
        <v>61500</v>
      </c>
      <c r="E344" s="1">
        <f>IFERROR(__xludf.DUMMYFUNCTION("""COMPUTED_VALUE"""),62800.0)</f>
        <v>62800</v>
      </c>
      <c r="F344" s="1">
        <f>IFERROR(__xludf.DUMMYFUNCTION("""COMPUTED_VALUE"""),24025.0)</f>
        <v>24025</v>
      </c>
    </row>
    <row r="345">
      <c r="A345" s="2">
        <f>IFERROR(__xludf.DUMMYFUNCTION("""COMPUTED_VALUE"""),41415.645833333336)</f>
        <v>41415.64583</v>
      </c>
      <c r="B345" s="1">
        <f>IFERROR(__xludf.DUMMYFUNCTION("""COMPUTED_VALUE"""),63500.0)</f>
        <v>63500</v>
      </c>
      <c r="C345" s="1">
        <f>IFERROR(__xludf.DUMMYFUNCTION("""COMPUTED_VALUE"""),64500.0)</f>
        <v>64500</v>
      </c>
      <c r="D345" s="1">
        <f>IFERROR(__xludf.DUMMYFUNCTION("""COMPUTED_VALUE"""),62200.0)</f>
        <v>62200</v>
      </c>
      <c r="E345" s="1">
        <f>IFERROR(__xludf.DUMMYFUNCTION("""COMPUTED_VALUE"""),63600.0)</f>
        <v>63600</v>
      </c>
      <c r="F345" s="1">
        <f>IFERROR(__xludf.DUMMYFUNCTION("""COMPUTED_VALUE"""),50833.0)</f>
        <v>50833</v>
      </c>
    </row>
    <row r="346">
      <c r="A346" s="2">
        <f>IFERROR(__xludf.DUMMYFUNCTION("""COMPUTED_VALUE"""),41416.645833333336)</f>
        <v>41416.64583</v>
      </c>
      <c r="B346" s="1">
        <f>IFERROR(__xludf.DUMMYFUNCTION("""COMPUTED_VALUE"""),64000.0)</f>
        <v>64000</v>
      </c>
      <c r="C346" s="1">
        <f>IFERROR(__xludf.DUMMYFUNCTION("""COMPUTED_VALUE"""),64000.0)</f>
        <v>64000</v>
      </c>
      <c r="D346" s="1">
        <f>IFERROR(__xludf.DUMMYFUNCTION("""COMPUTED_VALUE"""),62800.0)</f>
        <v>62800</v>
      </c>
      <c r="E346" s="1">
        <f>IFERROR(__xludf.DUMMYFUNCTION("""COMPUTED_VALUE"""),63300.0)</f>
        <v>63300</v>
      </c>
      <c r="F346" s="1">
        <f>IFERROR(__xludf.DUMMYFUNCTION("""COMPUTED_VALUE"""),15521.0)</f>
        <v>15521</v>
      </c>
    </row>
    <row r="347">
      <c r="A347" s="2">
        <f>IFERROR(__xludf.DUMMYFUNCTION("""COMPUTED_VALUE"""),41417.645833333336)</f>
        <v>41417.64583</v>
      </c>
      <c r="B347" s="1">
        <f>IFERROR(__xludf.DUMMYFUNCTION("""COMPUTED_VALUE"""),63300.0)</f>
        <v>63300</v>
      </c>
      <c r="C347" s="1">
        <f>IFERROR(__xludf.DUMMYFUNCTION("""COMPUTED_VALUE"""),63300.0)</f>
        <v>63300</v>
      </c>
      <c r="D347" s="1">
        <f>IFERROR(__xludf.DUMMYFUNCTION("""COMPUTED_VALUE"""),61900.0)</f>
        <v>61900</v>
      </c>
      <c r="E347" s="1">
        <f>IFERROR(__xludf.DUMMYFUNCTION("""COMPUTED_VALUE"""),62000.0)</f>
        <v>62000</v>
      </c>
      <c r="F347" s="1">
        <f>IFERROR(__xludf.DUMMYFUNCTION("""COMPUTED_VALUE"""),10811.0)</f>
        <v>10811</v>
      </c>
    </row>
    <row r="348">
      <c r="A348" s="2">
        <f>IFERROR(__xludf.DUMMYFUNCTION("""COMPUTED_VALUE"""),41418.645833333336)</f>
        <v>41418.64583</v>
      </c>
      <c r="B348" s="1">
        <f>IFERROR(__xludf.DUMMYFUNCTION("""COMPUTED_VALUE"""),62000.0)</f>
        <v>62000</v>
      </c>
      <c r="C348" s="1">
        <f>IFERROR(__xludf.DUMMYFUNCTION("""COMPUTED_VALUE"""),62000.0)</f>
        <v>62000</v>
      </c>
      <c r="D348" s="1">
        <f>IFERROR(__xludf.DUMMYFUNCTION("""COMPUTED_VALUE"""),60900.0)</f>
        <v>60900</v>
      </c>
      <c r="E348" s="1">
        <f>IFERROR(__xludf.DUMMYFUNCTION("""COMPUTED_VALUE"""),61100.0)</f>
        <v>61100</v>
      </c>
      <c r="F348" s="1">
        <f>IFERROR(__xludf.DUMMYFUNCTION("""COMPUTED_VALUE"""),17341.0)</f>
        <v>17341</v>
      </c>
    </row>
    <row r="349">
      <c r="A349" s="2">
        <f>IFERROR(__xludf.DUMMYFUNCTION("""COMPUTED_VALUE"""),41421.645833333336)</f>
        <v>41421.64583</v>
      </c>
      <c r="B349" s="1">
        <f>IFERROR(__xludf.DUMMYFUNCTION("""COMPUTED_VALUE"""),61500.0)</f>
        <v>61500</v>
      </c>
      <c r="C349" s="1">
        <f>IFERROR(__xludf.DUMMYFUNCTION("""COMPUTED_VALUE"""),61500.0)</f>
        <v>61500</v>
      </c>
      <c r="D349" s="1">
        <f>IFERROR(__xludf.DUMMYFUNCTION("""COMPUTED_VALUE"""),60000.0)</f>
        <v>60000</v>
      </c>
      <c r="E349" s="1">
        <f>IFERROR(__xludf.DUMMYFUNCTION("""COMPUTED_VALUE"""),60300.0)</f>
        <v>60300</v>
      </c>
      <c r="F349" s="1">
        <f>IFERROR(__xludf.DUMMYFUNCTION("""COMPUTED_VALUE"""),14836.0)</f>
        <v>14836</v>
      </c>
    </row>
    <row r="350">
      <c r="A350" s="2">
        <f>IFERROR(__xludf.DUMMYFUNCTION("""COMPUTED_VALUE"""),41422.645833333336)</f>
        <v>41422.64583</v>
      </c>
      <c r="B350" s="1">
        <f>IFERROR(__xludf.DUMMYFUNCTION("""COMPUTED_VALUE"""),60800.0)</f>
        <v>60800</v>
      </c>
      <c r="C350" s="1">
        <f>IFERROR(__xludf.DUMMYFUNCTION("""COMPUTED_VALUE"""),60800.0)</f>
        <v>60800</v>
      </c>
      <c r="D350" s="1">
        <f>IFERROR(__xludf.DUMMYFUNCTION("""COMPUTED_VALUE"""),60100.0)</f>
        <v>60100</v>
      </c>
      <c r="E350" s="1">
        <f>IFERROR(__xludf.DUMMYFUNCTION("""COMPUTED_VALUE"""),60200.0)</f>
        <v>60200</v>
      </c>
      <c r="F350" s="1">
        <f>IFERROR(__xludf.DUMMYFUNCTION("""COMPUTED_VALUE"""),19028.0)</f>
        <v>19028</v>
      </c>
    </row>
    <row r="351">
      <c r="A351" s="2">
        <f>IFERROR(__xludf.DUMMYFUNCTION("""COMPUTED_VALUE"""),41423.645833333336)</f>
        <v>41423.64583</v>
      </c>
      <c r="B351" s="1">
        <f>IFERROR(__xludf.DUMMYFUNCTION("""COMPUTED_VALUE"""),60200.0)</f>
        <v>60200</v>
      </c>
      <c r="C351" s="1">
        <f>IFERROR(__xludf.DUMMYFUNCTION("""COMPUTED_VALUE"""),60700.0)</f>
        <v>60700</v>
      </c>
      <c r="D351" s="1">
        <f>IFERROR(__xludf.DUMMYFUNCTION("""COMPUTED_VALUE"""),60200.0)</f>
        <v>60200</v>
      </c>
      <c r="E351" s="1">
        <f>IFERROR(__xludf.DUMMYFUNCTION("""COMPUTED_VALUE"""),60300.0)</f>
        <v>60300</v>
      </c>
      <c r="F351" s="1">
        <f>IFERROR(__xludf.DUMMYFUNCTION("""COMPUTED_VALUE"""),8369.0)</f>
        <v>8369</v>
      </c>
    </row>
    <row r="352">
      <c r="A352" s="2">
        <f>IFERROR(__xludf.DUMMYFUNCTION("""COMPUTED_VALUE"""),41424.645833333336)</f>
        <v>41424.64583</v>
      </c>
      <c r="B352" s="1">
        <f>IFERROR(__xludf.DUMMYFUNCTION("""COMPUTED_VALUE"""),60800.0)</f>
        <v>60800</v>
      </c>
      <c r="C352" s="1">
        <f>IFERROR(__xludf.DUMMYFUNCTION("""COMPUTED_VALUE"""),60800.0)</f>
        <v>60800</v>
      </c>
      <c r="D352" s="1">
        <f>IFERROR(__xludf.DUMMYFUNCTION("""COMPUTED_VALUE"""),59700.0)</f>
        <v>59700</v>
      </c>
      <c r="E352" s="1">
        <f>IFERROR(__xludf.DUMMYFUNCTION("""COMPUTED_VALUE"""),59900.0)</f>
        <v>59900</v>
      </c>
      <c r="F352" s="1">
        <f>IFERROR(__xludf.DUMMYFUNCTION("""COMPUTED_VALUE"""),7425.0)</f>
        <v>7425</v>
      </c>
    </row>
    <row r="353">
      <c r="A353" s="2">
        <f>IFERROR(__xludf.DUMMYFUNCTION("""COMPUTED_VALUE"""),41425.645833333336)</f>
        <v>41425.64583</v>
      </c>
      <c r="B353" s="1">
        <f>IFERROR(__xludf.DUMMYFUNCTION("""COMPUTED_VALUE"""),59900.0)</f>
        <v>59900</v>
      </c>
      <c r="C353" s="1">
        <f>IFERROR(__xludf.DUMMYFUNCTION("""COMPUTED_VALUE"""),60500.0)</f>
        <v>60500</v>
      </c>
      <c r="D353" s="1">
        <f>IFERROR(__xludf.DUMMYFUNCTION("""COMPUTED_VALUE"""),59700.0)</f>
        <v>59700</v>
      </c>
      <c r="E353" s="1">
        <f>IFERROR(__xludf.DUMMYFUNCTION("""COMPUTED_VALUE"""),59900.0)</f>
        <v>59900</v>
      </c>
      <c r="F353" s="1">
        <f>IFERROR(__xludf.DUMMYFUNCTION("""COMPUTED_VALUE"""),4095.0)</f>
        <v>4095</v>
      </c>
    </row>
    <row r="354">
      <c r="A354" s="2">
        <f>IFERROR(__xludf.DUMMYFUNCTION("""COMPUTED_VALUE"""),41428.645833333336)</f>
        <v>41428.64583</v>
      </c>
      <c r="B354" s="1">
        <f>IFERROR(__xludf.DUMMYFUNCTION("""COMPUTED_VALUE"""),59900.0)</f>
        <v>59900</v>
      </c>
      <c r="C354" s="1">
        <f>IFERROR(__xludf.DUMMYFUNCTION("""COMPUTED_VALUE"""),60400.0)</f>
        <v>60400</v>
      </c>
      <c r="D354" s="1">
        <f>IFERROR(__xludf.DUMMYFUNCTION("""COMPUTED_VALUE"""),59700.0)</f>
        <v>59700</v>
      </c>
      <c r="E354" s="1">
        <f>IFERROR(__xludf.DUMMYFUNCTION("""COMPUTED_VALUE"""),59700.0)</f>
        <v>59700</v>
      </c>
      <c r="F354" s="1">
        <f>IFERROR(__xludf.DUMMYFUNCTION("""COMPUTED_VALUE"""),2309.0)</f>
        <v>2309</v>
      </c>
    </row>
    <row r="355">
      <c r="A355" s="2">
        <f>IFERROR(__xludf.DUMMYFUNCTION("""COMPUTED_VALUE"""),41429.645833333336)</f>
        <v>41429.64583</v>
      </c>
      <c r="B355" s="1">
        <f>IFERROR(__xludf.DUMMYFUNCTION("""COMPUTED_VALUE"""),59700.0)</f>
        <v>59700</v>
      </c>
      <c r="C355" s="1">
        <f>IFERROR(__xludf.DUMMYFUNCTION("""COMPUTED_VALUE"""),59900.0)</f>
        <v>59900</v>
      </c>
      <c r="D355" s="1">
        <f>IFERROR(__xludf.DUMMYFUNCTION("""COMPUTED_VALUE"""),59700.0)</f>
        <v>59700</v>
      </c>
      <c r="E355" s="1">
        <f>IFERROR(__xludf.DUMMYFUNCTION("""COMPUTED_VALUE"""),59800.0)</f>
        <v>59800</v>
      </c>
      <c r="F355" s="1">
        <f>IFERROR(__xludf.DUMMYFUNCTION("""COMPUTED_VALUE"""),4116.0)</f>
        <v>4116</v>
      </c>
    </row>
    <row r="356">
      <c r="A356" s="2">
        <f>IFERROR(__xludf.DUMMYFUNCTION("""COMPUTED_VALUE"""),41430.645833333336)</f>
        <v>41430.64583</v>
      </c>
      <c r="B356" s="1">
        <f>IFERROR(__xludf.DUMMYFUNCTION("""COMPUTED_VALUE"""),59800.0)</f>
        <v>59800</v>
      </c>
      <c r="C356" s="1">
        <f>IFERROR(__xludf.DUMMYFUNCTION("""COMPUTED_VALUE"""),60300.0)</f>
        <v>60300</v>
      </c>
      <c r="D356" s="1">
        <f>IFERROR(__xludf.DUMMYFUNCTION("""COMPUTED_VALUE"""),59700.0)</f>
        <v>59700</v>
      </c>
      <c r="E356" s="1">
        <f>IFERROR(__xludf.DUMMYFUNCTION("""COMPUTED_VALUE"""),59800.0)</f>
        <v>59800</v>
      </c>
      <c r="F356" s="1">
        <f>IFERROR(__xludf.DUMMYFUNCTION("""COMPUTED_VALUE"""),14539.0)</f>
        <v>14539</v>
      </c>
    </row>
    <row r="357">
      <c r="A357" s="2">
        <f>IFERROR(__xludf.DUMMYFUNCTION("""COMPUTED_VALUE"""),41432.645833333336)</f>
        <v>41432.64583</v>
      </c>
      <c r="B357" s="1">
        <f>IFERROR(__xludf.DUMMYFUNCTION("""COMPUTED_VALUE"""),60300.0)</f>
        <v>60300</v>
      </c>
      <c r="C357" s="1">
        <f>IFERROR(__xludf.DUMMYFUNCTION("""COMPUTED_VALUE"""),60300.0)</f>
        <v>60300</v>
      </c>
      <c r="D357" s="1">
        <f>IFERROR(__xludf.DUMMYFUNCTION("""COMPUTED_VALUE"""),59300.0)</f>
        <v>59300</v>
      </c>
      <c r="E357" s="1">
        <f>IFERROR(__xludf.DUMMYFUNCTION("""COMPUTED_VALUE"""),59600.0)</f>
        <v>59600</v>
      </c>
      <c r="F357" s="1">
        <f>IFERROR(__xludf.DUMMYFUNCTION("""COMPUTED_VALUE"""),2855.0)</f>
        <v>2855</v>
      </c>
    </row>
    <row r="358">
      <c r="A358" s="2">
        <f>IFERROR(__xludf.DUMMYFUNCTION("""COMPUTED_VALUE"""),41435.645833333336)</f>
        <v>41435.64583</v>
      </c>
      <c r="B358" s="1">
        <f>IFERROR(__xludf.DUMMYFUNCTION("""COMPUTED_VALUE"""),59700.0)</f>
        <v>59700</v>
      </c>
      <c r="C358" s="1">
        <f>IFERROR(__xludf.DUMMYFUNCTION("""COMPUTED_VALUE"""),60200.0)</f>
        <v>60200</v>
      </c>
      <c r="D358" s="1">
        <f>IFERROR(__xludf.DUMMYFUNCTION("""COMPUTED_VALUE"""),59500.0)</f>
        <v>59500</v>
      </c>
      <c r="E358" s="1">
        <f>IFERROR(__xludf.DUMMYFUNCTION("""COMPUTED_VALUE"""),59700.0)</f>
        <v>59700</v>
      </c>
      <c r="F358" s="1">
        <f>IFERROR(__xludf.DUMMYFUNCTION("""COMPUTED_VALUE"""),2795.0)</f>
        <v>2795</v>
      </c>
    </row>
    <row r="359">
      <c r="A359" s="2">
        <f>IFERROR(__xludf.DUMMYFUNCTION("""COMPUTED_VALUE"""),41436.645833333336)</f>
        <v>41436.64583</v>
      </c>
      <c r="B359" s="1">
        <f>IFERROR(__xludf.DUMMYFUNCTION("""COMPUTED_VALUE"""),60200.0)</f>
        <v>60200</v>
      </c>
      <c r="C359" s="1">
        <f>IFERROR(__xludf.DUMMYFUNCTION("""COMPUTED_VALUE"""),60200.0)</f>
        <v>60200</v>
      </c>
      <c r="D359" s="1">
        <f>IFERROR(__xludf.DUMMYFUNCTION("""COMPUTED_VALUE"""),58900.0)</f>
        <v>58900</v>
      </c>
      <c r="E359" s="1">
        <f>IFERROR(__xludf.DUMMYFUNCTION("""COMPUTED_VALUE"""),58900.0)</f>
        <v>58900</v>
      </c>
      <c r="F359" s="1">
        <f>IFERROR(__xludf.DUMMYFUNCTION("""COMPUTED_VALUE"""),7738.0)</f>
        <v>7738</v>
      </c>
    </row>
    <row r="360">
      <c r="A360" s="2">
        <f>IFERROR(__xludf.DUMMYFUNCTION("""COMPUTED_VALUE"""),41437.645833333336)</f>
        <v>41437.64583</v>
      </c>
      <c r="B360" s="1">
        <f>IFERROR(__xludf.DUMMYFUNCTION("""COMPUTED_VALUE"""),59600.0)</f>
        <v>59600</v>
      </c>
      <c r="C360" s="1">
        <f>IFERROR(__xludf.DUMMYFUNCTION("""COMPUTED_VALUE"""),59600.0)</f>
        <v>59600</v>
      </c>
      <c r="D360" s="1">
        <f>IFERROR(__xludf.DUMMYFUNCTION("""COMPUTED_VALUE"""),58300.0)</f>
        <v>58300</v>
      </c>
      <c r="E360" s="1">
        <f>IFERROR(__xludf.DUMMYFUNCTION("""COMPUTED_VALUE"""),58300.0)</f>
        <v>58300</v>
      </c>
      <c r="F360" s="1">
        <f>IFERROR(__xludf.DUMMYFUNCTION("""COMPUTED_VALUE"""),12910.0)</f>
        <v>12910</v>
      </c>
    </row>
    <row r="361">
      <c r="A361" s="2">
        <f>IFERROR(__xludf.DUMMYFUNCTION("""COMPUTED_VALUE"""),41438.645833333336)</f>
        <v>41438.64583</v>
      </c>
      <c r="B361" s="1">
        <f>IFERROR(__xludf.DUMMYFUNCTION("""COMPUTED_VALUE"""),59300.0)</f>
        <v>59300</v>
      </c>
      <c r="C361" s="1">
        <f>IFERROR(__xludf.DUMMYFUNCTION("""COMPUTED_VALUE"""),59300.0)</f>
        <v>59300</v>
      </c>
      <c r="D361" s="1">
        <f>IFERROR(__xludf.DUMMYFUNCTION("""COMPUTED_VALUE"""),57800.0)</f>
        <v>57800</v>
      </c>
      <c r="E361" s="1">
        <f>IFERROR(__xludf.DUMMYFUNCTION("""COMPUTED_VALUE"""),58500.0)</f>
        <v>58500</v>
      </c>
      <c r="F361" s="1">
        <f>IFERROR(__xludf.DUMMYFUNCTION("""COMPUTED_VALUE"""),11475.0)</f>
        <v>11475</v>
      </c>
    </row>
    <row r="362">
      <c r="A362" s="2">
        <f>IFERROR(__xludf.DUMMYFUNCTION("""COMPUTED_VALUE"""),41439.645833333336)</f>
        <v>41439.64583</v>
      </c>
      <c r="B362" s="1">
        <f>IFERROR(__xludf.DUMMYFUNCTION("""COMPUTED_VALUE"""),58700.0)</f>
        <v>58700</v>
      </c>
      <c r="C362" s="1">
        <f>IFERROR(__xludf.DUMMYFUNCTION("""COMPUTED_VALUE"""),59400.0)</f>
        <v>59400</v>
      </c>
      <c r="D362" s="1">
        <f>IFERROR(__xludf.DUMMYFUNCTION("""COMPUTED_VALUE"""),58600.0)</f>
        <v>58600</v>
      </c>
      <c r="E362" s="1">
        <f>IFERROR(__xludf.DUMMYFUNCTION("""COMPUTED_VALUE"""),59300.0)</f>
        <v>59300</v>
      </c>
      <c r="F362" s="1">
        <f>IFERROR(__xludf.DUMMYFUNCTION("""COMPUTED_VALUE"""),2682.0)</f>
        <v>2682</v>
      </c>
    </row>
    <row r="363">
      <c r="A363" s="2">
        <f>IFERROR(__xludf.DUMMYFUNCTION("""COMPUTED_VALUE"""),41442.645833333336)</f>
        <v>41442.64583</v>
      </c>
      <c r="B363" s="1">
        <f>IFERROR(__xludf.DUMMYFUNCTION("""COMPUTED_VALUE"""),59300.0)</f>
        <v>59300</v>
      </c>
      <c r="C363" s="1">
        <f>IFERROR(__xludf.DUMMYFUNCTION("""COMPUTED_VALUE"""),59300.0)</f>
        <v>59300</v>
      </c>
      <c r="D363" s="1">
        <f>IFERROR(__xludf.DUMMYFUNCTION("""COMPUTED_VALUE"""),57700.0)</f>
        <v>57700</v>
      </c>
      <c r="E363" s="1">
        <f>IFERROR(__xludf.DUMMYFUNCTION("""COMPUTED_VALUE"""),58500.0)</f>
        <v>58500</v>
      </c>
      <c r="F363" s="1">
        <f>IFERROR(__xludf.DUMMYFUNCTION("""COMPUTED_VALUE"""),12785.0)</f>
        <v>12785</v>
      </c>
    </row>
    <row r="364">
      <c r="A364" s="2">
        <f>IFERROR(__xludf.DUMMYFUNCTION("""COMPUTED_VALUE"""),41443.645833333336)</f>
        <v>41443.64583</v>
      </c>
      <c r="B364" s="1">
        <f>IFERROR(__xludf.DUMMYFUNCTION("""COMPUTED_VALUE"""),58800.0)</f>
        <v>58800</v>
      </c>
      <c r="C364" s="1">
        <f>IFERROR(__xludf.DUMMYFUNCTION("""COMPUTED_VALUE"""),58900.0)</f>
        <v>58900</v>
      </c>
      <c r="D364" s="1">
        <f>IFERROR(__xludf.DUMMYFUNCTION("""COMPUTED_VALUE"""),57000.0)</f>
        <v>57000</v>
      </c>
      <c r="E364" s="1">
        <f>IFERROR(__xludf.DUMMYFUNCTION("""COMPUTED_VALUE"""),57800.0)</f>
        <v>57800</v>
      </c>
      <c r="F364" s="1">
        <f>IFERROR(__xludf.DUMMYFUNCTION("""COMPUTED_VALUE"""),6394.0)</f>
        <v>6394</v>
      </c>
    </row>
    <row r="365">
      <c r="A365" s="2">
        <f>IFERROR(__xludf.DUMMYFUNCTION("""COMPUTED_VALUE"""),41444.645833333336)</f>
        <v>41444.64583</v>
      </c>
      <c r="B365" s="1">
        <f>IFERROR(__xludf.DUMMYFUNCTION("""COMPUTED_VALUE"""),58400.0)</f>
        <v>58400</v>
      </c>
      <c r="C365" s="1">
        <f>IFERROR(__xludf.DUMMYFUNCTION("""COMPUTED_VALUE"""),58400.0)</f>
        <v>58400</v>
      </c>
      <c r="D365" s="1">
        <f>IFERROR(__xludf.DUMMYFUNCTION("""COMPUTED_VALUE"""),55800.0)</f>
        <v>55800</v>
      </c>
      <c r="E365" s="1">
        <f>IFERROR(__xludf.DUMMYFUNCTION("""COMPUTED_VALUE"""),56100.0)</f>
        <v>56100</v>
      </c>
      <c r="F365" s="1">
        <f>IFERROR(__xludf.DUMMYFUNCTION("""COMPUTED_VALUE"""),23716.0)</f>
        <v>23716</v>
      </c>
    </row>
    <row r="366">
      <c r="A366" s="2">
        <f>IFERROR(__xludf.DUMMYFUNCTION("""COMPUTED_VALUE"""),41445.645833333336)</f>
        <v>41445.64583</v>
      </c>
      <c r="B366" s="1">
        <f>IFERROR(__xludf.DUMMYFUNCTION("""COMPUTED_VALUE"""),56000.0)</f>
        <v>56000</v>
      </c>
      <c r="C366" s="1">
        <f>IFERROR(__xludf.DUMMYFUNCTION("""COMPUTED_VALUE"""),56100.0)</f>
        <v>56100</v>
      </c>
      <c r="D366" s="1">
        <f>IFERROR(__xludf.DUMMYFUNCTION("""COMPUTED_VALUE"""),54800.0)</f>
        <v>54800</v>
      </c>
      <c r="E366" s="1">
        <f>IFERROR(__xludf.DUMMYFUNCTION("""COMPUTED_VALUE"""),55200.0)</f>
        <v>55200</v>
      </c>
      <c r="F366" s="1">
        <f>IFERROR(__xludf.DUMMYFUNCTION("""COMPUTED_VALUE"""),12019.0)</f>
        <v>12019</v>
      </c>
    </row>
    <row r="367">
      <c r="A367" s="2">
        <f>IFERROR(__xludf.DUMMYFUNCTION("""COMPUTED_VALUE"""),41446.645833333336)</f>
        <v>41446.64583</v>
      </c>
      <c r="B367" s="1">
        <f>IFERROR(__xludf.DUMMYFUNCTION("""COMPUTED_VALUE"""),54700.0)</f>
        <v>54700</v>
      </c>
      <c r="C367" s="1">
        <f>IFERROR(__xludf.DUMMYFUNCTION("""COMPUTED_VALUE"""),55000.0)</f>
        <v>55000</v>
      </c>
      <c r="D367" s="1">
        <f>IFERROR(__xludf.DUMMYFUNCTION("""COMPUTED_VALUE"""),53100.0)</f>
        <v>53100</v>
      </c>
      <c r="E367" s="1">
        <f>IFERROR(__xludf.DUMMYFUNCTION("""COMPUTED_VALUE"""),53500.0)</f>
        <v>53500</v>
      </c>
      <c r="F367" s="1">
        <f>IFERROR(__xludf.DUMMYFUNCTION("""COMPUTED_VALUE"""),23655.0)</f>
        <v>23655</v>
      </c>
    </row>
    <row r="368">
      <c r="A368" s="2">
        <f>IFERROR(__xludf.DUMMYFUNCTION("""COMPUTED_VALUE"""),41449.645833333336)</f>
        <v>41449.64583</v>
      </c>
      <c r="B368" s="1">
        <f>IFERROR(__xludf.DUMMYFUNCTION("""COMPUTED_VALUE"""),53500.0)</f>
        <v>53500</v>
      </c>
      <c r="C368" s="1">
        <f>IFERROR(__xludf.DUMMYFUNCTION("""COMPUTED_VALUE"""),53500.0)</f>
        <v>53500</v>
      </c>
      <c r="D368" s="1">
        <f>IFERROR(__xludf.DUMMYFUNCTION("""COMPUTED_VALUE"""),52700.0)</f>
        <v>52700</v>
      </c>
      <c r="E368" s="1">
        <f>IFERROR(__xludf.DUMMYFUNCTION("""COMPUTED_VALUE"""),52900.0)</f>
        <v>52900</v>
      </c>
      <c r="F368" s="1">
        <f>IFERROR(__xludf.DUMMYFUNCTION("""COMPUTED_VALUE"""),8623.0)</f>
        <v>8623</v>
      </c>
    </row>
    <row r="369">
      <c r="A369" s="2">
        <f>IFERROR(__xludf.DUMMYFUNCTION("""COMPUTED_VALUE"""),41450.645833333336)</f>
        <v>41450.64583</v>
      </c>
      <c r="B369" s="1">
        <f>IFERROR(__xludf.DUMMYFUNCTION("""COMPUTED_VALUE"""),52700.0)</f>
        <v>52700</v>
      </c>
      <c r="C369" s="1">
        <f>IFERROR(__xludf.DUMMYFUNCTION("""COMPUTED_VALUE"""),53600.0)</f>
        <v>53600</v>
      </c>
      <c r="D369" s="1">
        <f>IFERROR(__xludf.DUMMYFUNCTION("""COMPUTED_VALUE"""),52500.0)</f>
        <v>52500</v>
      </c>
      <c r="E369" s="1">
        <f>IFERROR(__xludf.DUMMYFUNCTION("""COMPUTED_VALUE"""),52800.0)</f>
        <v>52800</v>
      </c>
      <c r="F369" s="1">
        <f>IFERROR(__xludf.DUMMYFUNCTION("""COMPUTED_VALUE"""),11626.0)</f>
        <v>11626</v>
      </c>
    </row>
    <row r="370">
      <c r="A370" s="2">
        <f>IFERROR(__xludf.DUMMYFUNCTION("""COMPUTED_VALUE"""),41451.645833333336)</f>
        <v>41451.64583</v>
      </c>
      <c r="B370" s="1">
        <f>IFERROR(__xludf.DUMMYFUNCTION("""COMPUTED_VALUE"""),53800.0)</f>
        <v>53800</v>
      </c>
      <c r="C370" s="1">
        <f>IFERROR(__xludf.DUMMYFUNCTION("""COMPUTED_VALUE"""),54000.0)</f>
        <v>54000</v>
      </c>
      <c r="D370" s="1">
        <f>IFERROR(__xludf.DUMMYFUNCTION("""COMPUTED_VALUE"""),52400.0)</f>
        <v>52400</v>
      </c>
      <c r="E370" s="1">
        <f>IFERROR(__xludf.DUMMYFUNCTION("""COMPUTED_VALUE"""),53200.0)</f>
        <v>53200</v>
      </c>
      <c r="F370" s="1">
        <f>IFERROR(__xludf.DUMMYFUNCTION("""COMPUTED_VALUE"""),5330.0)</f>
        <v>5330</v>
      </c>
    </row>
    <row r="371">
      <c r="A371" s="2">
        <f>IFERROR(__xludf.DUMMYFUNCTION("""COMPUTED_VALUE"""),41452.645833333336)</f>
        <v>41452.64583</v>
      </c>
      <c r="B371" s="1">
        <f>IFERROR(__xludf.DUMMYFUNCTION("""COMPUTED_VALUE"""),53000.0)</f>
        <v>53000</v>
      </c>
      <c r="C371" s="1">
        <f>IFERROR(__xludf.DUMMYFUNCTION("""COMPUTED_VALUE"""),53800.0)</f>
        <v>53800</v>
      </c>
      <c r="D371" s="1">
        <f>IFERROR(__xludf.DUMMYFUNCTION("""COMPUTED_VALUE"""),53000.0)</f>
        <v>53000</v>
      </c>
      <c r="E371" s="1">
        <f>IFERROR(__xludf.DUMMYFUNCTION("""COMPUTED_VALUE"""),53700.0)</f>
        <v>53700</v>
      </c>
      <c r="F371" s="1">
        <f>IFERROR(__xludf.DUMMYFUNCTION("""COMPUTED_VALUE"""),4128.0)</f>
        <v>4128</v>
      </c>
    </row>
    <row r="372">
      <c r="A372" s="2">
        <f>IFERROR(__xludf.DUMMYFUNCTION("""COMPUTED_VALUE"""),41453.645833333336)</f>
        <v>41453.64583</v>
      </c>
      <c r="B372" s="1">
        <f>IFERROR(__xludf.DUMMYFUNCTION("""COMPUTED_VALUE"""),53900.0)</f>
        <v>53900</v>
      </c>
      <c r="C372" s="1">
        <f>IFERROR(__xludf.DUMMYFUNCTION("""COMPUTED_VALUE"""),54200.0)</f>
        <v>54200</v>
      </c>
      <c r="D372" s="1">
        <f>IFERROR(__xludf.DUMMYFUNCTION("""COMPUTED_VALUE"""),53800.0)</f>
        <v>53800</v>
      </c>
      <c r="E372" s="1">
        <f>IFERROR(__xludf.DUMMYFUNCTION("""COMPUTED_VALUE"""),54000.0)</f>
        <v>54000</v>
      </c>
      <c r="F372" s="1">
        <f>IFERROR(__xludf.DUMMYFUNCTION("""COMPUTED_VALUE"""),2679.0)</f>
        <v>2679</v>
      </c>
    </row>
    <row r="373">
      <c r="A373" s="2">
        <f>IFERROR(__xludf.DUMMYFUNCTION("""COMPUTED_VALUE"""),41456.645833333336)</f>
        <v>41456.64583</v>
      </c>
      <c r="B373" s="1">
        <f>IFERROR(__xludf.DUMMYFUNCTION("""COMPUTED_VALUE"""),54000.0)</f>
        <v>54000</v>
      </c>
      <c r="C373" s="1">
        <f>IFERROR(__xludf.DUMMYFUNCTION("""COMPUTED_VALUE"""),54000.0)</f>
        <v>54000</v>
      </c>
      <c r="D373" s="1">
        <f>IFERROR(__xludf.DUMMYFUNCTION("""COMPUTED_VALUE"""),53400.0)</f>
        <v>53400</v>
      </c>
      <c r="E373" s="1">
        <f>IFERROR(__xludf.DUMMYFUNCTION("""COMPUTED_VALUE"""),53600.0)</f>
        <v>53600</v>
      </c>
      <c r="F373" s="1">
        <f>IFERROR(__xludf.DUMMYFUNCTION("""COMPUTED_VALUE"""),2425.0)</f>
        <v>2425</v>
      </c>
    </row>
    <row r="374">
      <c r="A374" s="2">
        <f>IFERROR(__xludf.DUMMYFUNCTION("""COMPUTED_VALUE"""),41457.645833333336)</f>
        <v>41457.64583</v>
      </c>
      <c r="B374" s="1">
        <f>IFERROR(__xludf.DUMMYFUNCTION("""COMPUTED_VALUE"""),54000.0)</f>
        <v>54000</v>
      </c>
      <c r="C374" s="1">
        <f>IFERROR(__xludf.DUMMYFUNCTION("""COMPUTED_VALUE"""),54600.0)</f>
        <v>54600</v>
      </c>
      <c r="D374" s="1">
        <f>IFERROR(__xludf.DUMMYFUNCTION("""COMPUTED_VALUE"""),53500.0)</f>
        <v>53500</v>
      </c>
      <c r="E374" s="1">
        <f>IFERROR(__xludf.DUMMYFUNCTION("""COMPUTED_VALUE"""),53700.0)</f>
        <v>53700</v>
      </c>
      <c r="F374" s="1">
        <f>IFERROR(__xludf.DUMMYFUNCTION("""COMPUTED_VALUE"""),3635.0)</f>
        <v>3635</v>
      </c>
    </row>
    <row r="375">
      <c r="A375" s="2">
        <f>IFERROR(__xludf.DUMMYFUNCTION("""COMPUTED_VALUE"""),41458.645833333336)</f>
        <v>41458.64583</v>
      </c>
      <c r="B375" s="1">
        <f>IFERROR(__xludf.DUMMYFUNCTION("""COMPUTED_VALUE"""),54400.0)</f>
        <v>54400</v>
      </c>
      <c r="C375" s="1">
        <f>IFERROR(__xludf.DUMMYFUNCTION("""COMPUTED_VALUE"""),54400.0)</f>
        <v>54400</v>
      </c>
      <c r="D375" s="1">
        <f>IFERROR(__xludf.DUMMYFUNCTION("""COMPUTED_VALUE"""),53400.0)</f>
        <v>53400</v>
      </c>
      <c r="E375" s="1">
        <f>IFERROR(__xludf.DUMMYFUNCTION("""COMPUTED_VALUE"""),53700.0)</f>
        <v>53700</v>
      </c>
      <c r="F375" s="1">
        <f>IFERROR(__xludf.DUMMYFUNCTION("""COMPUTED_VALUE"""),3579.0)</f>
        <v>3579</v>
      </c>
    </row>
    <row r="376">
      <c r="A376" s="2">
        <f>IFERROR(__xludf.DUMMYFUNCTION("""COMPUTED_VALUE"""),41459.645833333336)</f>
        <v>41459.64583</v>
      </c>
      <c r="B376" s="1">
        <f>IFERROR(__xludf.DUMMYFUNCTION("""COMPUTED_VALUE"""),53700.0)</f>
        <v>53700</v>
      </c>
      <c r="C376" s="1">
        <f>IFERROR(__xludf.DUMMYFUNCTION("""COMPUTED_VALUE"""),53800.0)</f>
        <v>53800</v>
      </c>
      <c r="D376" s="1">
        <f>IFERROR(__xludf.DUMMYFUNCTION("""COMPUTED_VALUE"""),53400.0)</f>
        <v>53400</v>
      </c>
      <c r="E376" s="1">
        <f>IFERROR(__xludf.DUMMYFUNCTION("""COMPUTED_VALUE"""),53600.0)</f>
        <v>53600</v>
      </c>
      <c r="F376" s="1">
        <f>IFERROR(__xludf.DUMMYFUNCTION("""COMPUTED_VALUE"""),1568.0)</f>
        <v>1568</v>
      </c>
    </row>
    <row r="377">
      <c r="A377" s="2">
        <f>IFERROR(__xludf.DUMMYFUNCTION("""COMPUTED_VALUE"""),41460.645833333336)</f>
        <v>41460.64583</v>
      </c>
      <c r="B377" s="1">
        <f>IFERROR(__xludf.DUMMYFUNCTION("""COMPUTED_VALUE"""),53600.0)</f>
        <v>53600</v>
      </c>
      <c r="C377" s="1">
        <f>IFERROR(__xludf.DUMMYFUNCTION("""COMPUTED_VALUE"""),54000.0)</f>
        <v>54000</v>
      </c>
      <c r="D377" s="1">
        <f>IFERROR(__xludf.DUMMYFUNCTION("""COMPUTED_VALUE"""),53200.0)</f>
        <v>53200</v>
      </c>
      <c r="E377" s="1">
        <f>IFERROR(__xludf.DUMMYFUNCTION("""COMPUTED_VALUE"""),53300.0)</f>
        <v>53300</v>
      </c>
      <c r="F377" s="1">
        <f>IFERROR(__xludf.DUMMYFUNCTION("""COMPUTED_VALUE"""),3167.0)</f>
        <v>3167</v>
      </c>
    </row>
    <row r="378">
      <c r="A378" s="2">
        <f>IFERROR(__xludf.DUMMYFUNCTION("""COMPUTED_VALUE"""),41463.645833333336)</f>
        <v>41463.64583</v>
      </c>
      <c r="B378" s="1">
        <f>IFERROR(__xludf.DUMMYFUNCTION("""COMPUTED_VALUE"""),53300.0)</f>
        <v>53300</v>
      </c>
      <c r="C378" s="1">
        <f>IFERROR(__xludf.DUMMYFUNCTION("""COMPUTED_VALUE"""),53300.0)</f>
        <v>53300</v>
      </c>
      <c r="D378" s="1">
        <f>IFERROR(__xludf.DUMMYFUNCTION("""COMPUTED_VALUE"""),52000.0)</f>
        <v>52000</v>
      </c>
      <c r="E378" s="1">
        <f>IFERROR(__xludf.DUMMYFUNCTION("""COMPUTED_VALUE"""),52400.0)</f>
        <v>52400</v>
      </c>
      <c r="F378" s="1">
        <f>IFERROR(__xludf.DUMMYFUNCTION("""COMPUTED_VALUE"""),23015.0)</f>
        <v>23015</v>
      </c>
    </row>
    <row r="379">
      <c r="A379" s="2">
        <f>IFERROR(__xludf.DUMMYFUNCTION("""COMPUTED_VALUE"""),41464.645833333336)</f>
        <v>41464.64583</v>
      </c>
      <c r="B379" s="1">
        <f>IFERROR(__xludf.DUMMYFUNCTION("""COMPUTED_VALUE"""),52700.0)</f>
        <v>52700</v>
      </c>
      <c r="C379" s="1">
        <f>IFERROR(__xludf.DUMMYFUNCTION("""COMPUTED_VALUE"""),52700.0)</f>
        <v>52700</v>
      </c>
      <c r="D379" s="1">
        <f>IFERROR(__xludf.DUMMYFUNCTION("""COMPUTED_VALUE"""),51600.0)</f>
        <v>51600</v>
      </c>
      <c r="E379" s="1">
        <f>IFERROR(__xludf.DUMMYFUNCTION("""COMPUTED_VALUE"""),52000.0)</f>
        <v>52000</v>
      </c>
      <c r="F379" s="1">
        <f>IFERROR(__xludf.DUMMYFUNCTION("""COMPUTED_VALUE"""),2509.0)</f>
        <v>2509</v>
      </c>
    </row>
    <row r="380">
      <c r="A380" s="2">
        <f>IFERROR(__xludf.DUMMYFUNCTION("""COMPUTED_VALUE"""),41465.645833333336)</f>
        <v>41465.64583</v>
      </c>
      <c r="B380" s="1">
        <f>IFERROR(__xludf.DUMMYFUNCTION("""COMPUTED_VALUE"""),52000.0)</f>
        <v>52000</v>
      </c>
      <c r="C380" s="1">
        <f>IFERROR(__xludf.DUMMYFUNCTION("""COMPUTED_VALUE"""),52300.0)</f>
        <v>52300</v>
      </c>
      <c r="D380" s="1">
        <f>IFERROR(__xludf.DUMMYFUNCTION("""COMPUTED_VALUE"""),51500.0)</f>
        <v>51500</v>
      </c>
      <c r="E380" s="1">
        <f>IFERROR(__xludf.DUMMYFUNCTION("""COMPUTED_VALUE"""),52300.0)</f>
        <v>52300</v>
      </c>
      <c r="F380" s="1">
        <f>IFERROR(__xludf.DUMMYFUNCTION("""COMPUTED_VALUE"""),5483.0)</f>
        <v>5483</v>
      </c>
    </row>
    <row r="381">
      <c r="A381" s="2">
        <f>IFERROR(__xludf.DUMMYFUNCTION("""COMPUTED_VALUE"""),41466.645833333336)</f>
        <v>41466.64583</v>
      </c>
      <c r="B381" s="1">
        <f>IFERROR(__xludf.DUMMYFUNCTION("""COMPUTED_VALUE"""),52500.0)</f>
        <v>52500</v>
      </c>
      <c r="C381" s="1">
        <f>IFERROR(__xludf.DUMMYFUNCTION("""COMPUTED_VALUE"""),52800.0)</f>
        <v>52800</v>
      </c>
      <c r="D381" s="1">
        <f>IFERROR(__xludf.DUMMYFUNCTION("""COMPUTED_VALUE"""),52300.0)</f>
        <v>52300</v>
      </c>
      <c r="E381" s="1">
        <f>IFERROR(__xludf.DUMMYFUNCTION("""COMPUTED_VALUE"""),52800.0)</f>
        <v>52800</v>
      </c>
      <c r="F381" s="1">
        <f>IFERROR(__xludf.DUMMYFUNCTION("""COMPUTED_VALUE"""),8124.0)</f>
        <v>8124</v>
      </c>
    </row>
    <row r="382">
      <c r="A382" s="2">
        <f>IFERROR(__xludf.DUMMYFUNCTION("""COMPUTED_VALUE"""),41467.645833333336)</f>
        <v>41467.64583</v>
      </c>
      <c r="B382" s="1">
        <f>IFERROR(__xludf.DUMMYFUNCTION("""COMPUTED_VALUE"""),53000.0)</f>
        <v>53000</v>
      </c>
      <c r="C382" s="1">
        <f>IFERROR(__xludf.DUMMYFUNCTION("""COMPUTED_VALUE"""),53300.0)</f>
        <v>53300</v>
      </c>
      <c r="D382" s="1">
        <f>IFERROR(__xludf.DUMMYFUNCTION("""COMPUTED_VALUE"""),52800.0)</f>
        <v>52800</v>
      </c>
      <c r="E382" s="1">
        <f>IFERROR(__xludf.DUMMYFUNCTION("""COMPUTED_VALUE"""),52900.0)</f>
        <v>52900</v>
      </c>
      <c r="F382" s="1">
        <f>IFERROR(__xludf.DUMMYFUNCTION("""COMPUTED_VALUE"""),2340.0)</f>
        <v>2340</v>
      </c>
    </row>
    <row r="383">
      <c r="A383" s="2">
        <f>IFERROR(__xludf.DUMMYFUNCTION("""COMPUTED_VALUE"""),41470.645833333336)</f>
        <v>41470.64583</v>
      </c>
      <c r="B383" s="1">
        <f>IFERROR(__xludf.DUMMYFUNCTION("""COMPUTED_VALUE"""),52800.0)</f>
        <v>52800</v>
      </c>
      <c r="C383" s="1">
        <f>IFERROR(__xludf.DUMMYFUNCTION("""COMPUTED_VALUE"""),53300.0)</f>
        <v>53300</v>
      </c>
      <c r="D383" s="1">
        <f>IFERROR(__xludf.DUMMYFUNCTION("""COMPUTED_VALUE"""),52500.0)</f>
        <v>52500</v>
      </c>
      <c r="E383" s="1">
        <f>IFERROR(__xludf.DUMMYFUNCTION("""COMPUTED_VALUE"""),52900.0)</f>
        <v>52900</v>
      </c>
      <c r="F383" s="1">
        <f>IFERROR(__xludf.DUMMYFUNCTION("""COMPUTED_VALUE"""),3813.0)</f>
        <v>3813</v>
      </c>
    </row>
    <row r="384">
      <c r="A384" s="2">
        <f>IFERROR(__xludf.DUMMYFUNCTION("""COMPUTED_VALUE"""),41471.645833333336)</f>
        <v>41471.64583</v>
      </c>
      <c r="B384" s="1">
        <f>IFERROR(__xludf.DUMMYFUNCTION("""COMPUTED_VALUE"""),53100.0)</f>
        <v>53100</v>
      </c>
      <c r="C384" s="1">
        <f>IFERROR(__xludf.DUMMYFUNCTION("""COMPUTED_VALUE"""),53100.0)</f>
        <v>53100</v>
      </c>
      <c r="D384" s="1">
        <f>IFERROR(__xludf.DUMMYFUNCTION("""COMPUTED_VALUE"""),52800.0)</f>
        <v>52800</v>
      </c>
      <c r="E384" s="1">
        <f>IFERROR(__xludf.DUMMYFUNCTION("""COMPUTED_VALUE"""),52800.0)</f>
        <v>52800</v>
      </c>
      <c r="F384" s="1">
        <f>IFERROR(__xludf.DUMMYFUNCTION("""COMPUTED_VALUE"""),2504.0)</f>
        <v>2504</v>
      </c>
    </row>
    <row r="385">
      <c r="A385" s="2">
        <f>IFERROR(__xludf.DUMMYFUNCTION("""COMPUTED_VALUE"""),41472.645833333336)</f>
        <v>41472.64583</v>
      </c>
      <c r="B385" s="1">
        <f>IFERROR(__xludf.DUMMYFUNCTION("""COMPUTED_VALUE"""),52900.0)</f>
        <v>52900</v>
      </c>
      <c r="C385" s="1">
        <f>IFERROR(__xludf.DUMMYFUNCTION("""COMPUTED_VALUE"""),55000.0)</f>
        <v>55000</v>
      </c>
      <c r="D385" s="1">
        <f>IFERROR(__xludf.DUMMYFUNCTION("""COMPUTED_VALUE"""),52700.0)</f>
        <v>52700</v>
      </c>
      <c r="E385" s="1">
        <f>IFERROR(__xludf.DUMMYFUNCTION("""COMPUTED_VALUE"""),53700.0)</f>
        <v>53700</v>
      </c>
      <c r="F385" s="1">
        <f>IFERROR(__xludf.DUMMYFUNCTION("""COMPUTED_VALUE"""),11692.0)</f>
        <v>11692</v>
      </c>
    </row>
    <row r="386">
      <c r="A386" s="2">
        <f>IFERROR(__xludf.DUMMYFUNCTION("""COMPUTED_VALUE"""),41473.645833333336)</f>
        <v>41473.64583</v>
      </c>
      <c r="B386" s="1">
        <f>IFERROR(__xludf.DUMMYFUNCTION("""COMPUTED_VALUE"""),53700.0)</f>
        <v>53700</v>
      </c>
      <c r="C386" s="1">
        <f>IFERROR(__xludf.DUMMYFUNCTION("""COMPUTED_VALUE"""),53800.0)</f>
        <v>53800</v>
      </c>
      <c r="D386" s="1">
        <f>IFERROR(__xludf.DUMMYFUNCTION("""COMPUTED_VALUE"""),53100.0)</f>
        <v>53100</v>
      </c>
      <c r="E386" s="1">
        <f>IFERROR(__xludf.DUMMYFUNCTION("""COMPUTED_VALUE"""),53100.0)</f>
        <v>53100</v>
      </c>
      <c r="F386" s="1">
        <f>IFERROR(__xludf.DUMMYFUNCTION("""COMPUTED_VALUE"""),2613.0)</f>
        <v>2613</v>
      </c>
    </row>
    <row r="387">
      <c r="A387" s="2">
        <f>IFERROR(__xludf.DUMMYFUNCTION("""COMPUTED_VALUE"""),41474.645833333336)</f>
        <v>41474.64583</v>
      </c>
      <c r="B387" s="1">
        <f>IFERROR(__xludf.DUMMYFUNCTION("""COMPUTED_VALUE"""),53100.0)</f>
        <v>53100</v>
      </c>
      <c r="C387" s="1">
        <f>IFERROR(__xludf.DUMMYFUNCTION("""COMPUTED_VALUE"""),53500.0)</f>
        <v>53500</v>
      </c>
      <c r="D387" s="1">
        <f>IFERROR(__xludf.DUMMYFUNCTION("""COMPUTED_VALUE"""),52600.0)</f>
        <v>52600</v>
      </c>
      <c r="E387" s="1">
        <f>IFERROR(__xludf.DUMMYFUNCTION("""COMPUTED_VALUE"""),52700.0)</f>
        <v>52700</v>
      </c>
      <c r="F387" s="1">
        <f>IFERROR(__xludf.DUMMYFUNCTION("""COMPUTED_VALUE"""),3963.0)</f>
        <v>3963</v>
      </c>
    </row>
    <row r="388">
      <c r="A388" s="2">
        <f>IFERROR(__xludf.DUMMYFUNCTION("""COMPUTED_VALUE"""),41477.645833333336)</f>
        <v>41477.64583</v>
      </c>
      <c r="B388" s="1">
        <f>IFERROR(__xludf.DUMMYFUNCTION("""COMPUTED_VALUE"""),53000.0)</f>
        <v>53000</v>
      </c>
      <c r="C388" s="1">
        <f>IFERROR(__xludf.DUMMYFUNCTION("""COMPUTED_VALUE"""),53800.0)</f>
        <v>53800</v>
      </c>
      <c r="D388" s="1">
        <f>IFERROR(__xludf.DUMMYFUNCTION("""COMPUTED_VALUE"""),53000.0)</f>
        <v>53000</v>
      </c>
      <c r="E388" s="1">
        <f>IFERROR(__xludf.DUMMYFUNCTION("""COMPUTED_VALUE"""),53400.0)</f>
        <v>53400</v>
      </c>
      <c r="F388" s="1">
        <f>IFERROR(__xludf.DUMMYFUNCTION("""COMPUTED_VALUE"""),18336.0)</f>
        <v>18336</v>
      </c>
    </row>
    <row r="389">
      <c r="A389" s="2">
        <f>IFERROR(__xludf.DUMMYFUNCTION("""COMPUTED_VALUE"""),41478.645833333336)</f>
        <v>41478.64583</v>
      </c>
      <c r="B389" s="1">
        <f>IFERROR(__xludf.DUMMYFUNCTION("""COMPUTED_VALUE"""),53500.0)</f>
        <v>53500</v>
      </c>
      <c r="C389" s="1">
        <f>IFERROR(__xludf.DUMMYFUNCTION("""COMPUTED_VALUE"""),53800.0)</f>
        <v>53800</v>
      </c>
      <c r="D389" s="1">
        <f>IFERROR(__xludf.DUMMYFUNCTION("""COMPUTED_VALUE"""),53300.0)</f>
        <v>53300</v>
      </c>
      <c r="E389" s="1">
        <f>IFERROR(__xludf.DUMMYFUNCTION("""COMPUTED_VALUE"""),53600.0)</f>
        <v>53600</v>
      </c>
      <c r="F389" s="1">
        <f>IFERROR(__xludf.DUMMYFUNCTION("""COMPUTED_VALUE"""),3750.0)</f>
        <v>3750</v>
      </c>
    </row>
    <row r="390">
      <c r="A390" s="2">
        <f>IFERROR(__xludf.DUMMYFUNCTION("""COMPUTED_VALUE"""),41479.645833333336)</f>
        <v>41479.64583</v>
      </c>
      <c r="B390" s="1">
        <f>IFERROR(__xludf.DUMMYFUNCTION("""COMPUTED_VALUE"""),53700.0)</f>
        <v>53700</v>
      </c>
      <c r="C390" s="1">
        <f>IFERROR(__xludf.DUMMYFUNCTION("""COMPUTED_VALUE"""),53900.0)</f>
        <v>53900</v>
      </c>
      <c r="D390" s="1">
        <f>IFERROR(__xludf.DUMMYFUNCTION("""COMPUTED_VALUE"""),53300.0)</f>
        <v>53300</v>
      </c>
      <c r="E390" s="1">
        <f>IFERROR(__xludf.DUMMYFUNCTION("""COMPUTED_VALUE"""),53900.0)</f>
        <v>53900</v>
      </c>
      <c r="F390" s="1">
        <f>IFERROR(__xludf.DUMMYFUNCTION("""COMPUTED_VALUE"""),5238.0)</f>
        <v>5238</v>
      </c>
    </row>
    <row r="391">
      <c r="A391" s="2">
        <f>IFERROR(__xludf.DUMMYFUNCTION("""COMPUTED_VALUE"""),41480.645833333336)</f>
        <v>41480.64583</v>
      </c>
      <c r="B391" s="1">
        <f>IFERROR(__xludf.DUMMYFUNCTION("""COMPUTED_VALUE"""),54200.0)</f>
        <v>54200</v>
      </c>
      <c r="C391" s="1">
        <f>IFERROR(__xludf.DUMMYFUNCTION("""COMPUTED_VALUE"""),54200.0)</f>
        <v>54200</v>
      </c>
      <c r="D391" s="1">
        <f>IFERROR(__xludf.DUMMYFUNCTION("""COMPUTED_VALUE"""),53400.0)</f>
        <v>53400</v>
      </c>
      <c r="E391" s="1">
        <f>IFERROR(__xludf.DUMMYFUNCTION("""COMPUTED_VALUE"""),53500.0)</f>
        <v>53500</v>
      </c>
      <c r="F391" s="1">
        <f>IFERROR(__xludf.DUMMYFUNCTION("""COMPUTED_VALUE"""),4324.0)</f>
        <v>4324</v>
      </c>
    </row>
    <row r="392">
      <c r="A392" s="2">
        <f>IFERROR(__xludf.DUMMYFUNCTION("""COMPUTED_VALUE"""),41481.645833333336)</f>
        <v>41481.64583</v>
      </c>
      <c r="B392" s="1">
        <f>IFERROR(__xludf.DUMMYFUNCTION("""COMPUTED_VALUE"""),53900.0)</f>
        <v>53900</v>
      </c>
      <c r="C392" s="1">
        <f>IFERROR(__xludf.DUMMYFUNCTION("""COMPUTED_VALUE"""),54300.0)</f>
        <v>54300</v>
      </c>
      <c r="D392" s="1">
        <f>IFERROR(__xludf.DUMMYFUNCTION("""COMPUTED_VALUE"""),53500.0)</f>
        <v>53500</v>
      </c>
      <c r="E392" s="1">
        <f>IFERROR(__xludf.DUMMYFUNCTION("""COMPUTED_VALUE"""),54200.0)</f>
        <v>54200</v>
      </c>
      <c r="F392" s="1">
        <f>IFERROR(__xludf.DUMMYFUNCTION("""COMPUTED_VALUE"""),3349.0)</f>
        <v>3349</v>
      </c>
    </row>
    <row r="393">
      <c r="A393" s="2">
        <f>IFERROR(__xludf.DUMMYFUNCTION("""COMPUTED_VALUE"""),41484.645833333336)</f>
        <v>41484.64583</v>
      </c>
      <c r="B393" s="1">
        <f>IFERROR(__xludf.DUMMYFUNCTION("""COMPUTED_VALUE"""),54500.0)</f>
        <v>54500</v>
      </c>
      <c r="C393" s="1">
        <f>IFERROR(__xludf.DUMMYFUNCTION("""COMPUTED_VALUE"""),54600.0)</f>
        <v>54600</v>
      </c>
      <c r="D393" s="1">
        <f>IFERROR(__xludf.DUMMYFUNCTION("""COMPUTED_VALUE"""),54200.0)</f>
        <v>54200</v>
      </c>
      <c r="E393" s="1">
        <f>IFERROR(__xludf.DUMMYFUNCTION("""COMPUTED_VALUE"""),54600.0)</f>
        <v>54600</v>
      </c>
      <c r="F393" s="1">
        <f>IFERROR(__xludf.DUMMYFUNCTION("""COMPUTED_VALUE"""),3200.0)</f>
        <v>3200</v>
      </c>
    </row>
    <row r="394">
      <c r="A394" s="2">
        <f>IFERROR(__xludf.DUMMYFUNCTION("""COMPUTED_VALUE"""),41485.645833333336)</f>
        <v>41485.64583</v>
      </c>
      <c r="B394" s="1">
        <f>IFERROR(__xludf.DUMMYFUNCTION("""COMPUTED_VALUE"""),54800.0)</f>
        <v>54800</v>
      </c>
      <c r="C394" s="1">
        <f>IFERROR(__xludf.DUMMYFUNCTION("""COMPUTED_VALUE"""),54800.0)</f>
        <v>54800</v>
      </c>
      <c r="D394" s="1">
        <f>IFERROR(__xludf.DUMMYFUNCTION("""COMPUTED_VALUE"""),54100.0)</f>
        <v>54100</v>
      </c>
      <c r="E394" s="1">
        <f>IFERROR(__xludf.DUMMYFUNCTION("""COMPUTED_VALUE"""),54700.0)</f>
        <v>54700</v>
      </c>
      <c r="F394" s="1">
        <f>IFERROR(__xludf.DUMMYFUNCTION("""COMPUTED_VALUE"""),31009.0)</f>
        <v>31009</v>
      </c>
    </row>
    <row r="395">
      <c r="A395" s="2">
        <f>IFERROR(__xludf.DUMMYFUNCTION("""COMPUTED_VALUE"""),41486.645833333336)</f>
        <v>41486.64583</v>
      </c>
      <c r="B395" s="1">
        <f>IFERROR(__xludf.DUMMYFUNCTION("""COMPUTED_VALUE"""),54200.0)</f>
        <v>54200</v>
      </c>
      <c r="C395" s="1">
        <f>IFERROR(__xludf.DUMMYFUNCTION("""COMPUTED_VALUE"""),54500.0)</f>
        <v>54500</v>
      </c>
      <c r="D395" s="1">
        <f>IFERROR(__xludf.DUMMYFUNCTION("""COMPUTED_VALUE"""),54000.0)</f>
        <v>54000</v>
      </c>
      <c r="E395" s="1">
        <f>IFERROR(__xludf.DUMMYFUNCTION("""COMPUTED_VALUE"""),54100.0)</f>
        <v>54100</v>
      </c>
      <c r="F395" s="1">
        <f>IFERROR(__xludf.DUMMYFUNCTION("""COMPUTED_VALUE"""),4128.0)</f>
        <v>4128</v>
      </c>
    </row>
    <row r="396">
      <c r="A396" s="2">
        <f>IFERROR(__xludf.DUMMYFUNCTION("""COMPUTED_VALUE"""),41487.645833333336)</f>
        <v>41487.64583</v>
      </c>
      <c r="B396" s="1">
        <f>IFERROR(__xludf.DUMMYFUNCTION("""COMPUTED_VALUE"""),54400.0)</f>
        <v>54400</v>
      </c>
      <c r="C396" s="1">
        <f>IFERROR(__xludf.DUMMYFUNCTION("""COMPUTED_VALUE"""),54700.0)</f>
        <v>54700</v>
      </c>
      <c r="D396" s="1">
        <f>IFERROR(__xludf.DUMMYFUNCTION("""COMPUTED_VALUE"""),54200.0)</f>
        <v>54200</v>
      </c>
      <c r="E396" s="1">
        <f>IFERROR(__xludf.DUMMYFUNCTION("""COMPUTED_VALUE"""),54700.0)</f>
        <v>54700</v>
      </c>
      <c r="F396" s="1">
        <f>IFERROR(__xludf.DUMMYFUNCTION("""COMPUTED_VALUE"""),4227.0)</f>
        <v>4227</v>
      </c>
    </row>
    <row r="397">
      <c r="A397" s="2">
        <f>IFERROR(__xludf.DUMMYFUNCTION("""COMPUTED_VALUE"""),41488.645833333336)</f>
        <v>41488.64583</v>
      </c>
      <c r="B397" s="1">
        <f>IFERROR(__xludf.DUMMYFUNCTION("""COMPUTED_VALUE"""),54900.0)</f>
        <v>54900</v>
      </c>
      <c r="C397" s="1">
        <f>IFERROR(__xludf.DUMMYFUNCTION("""COMPUTED_VALUE"""),55000.0)</f>
        <v>55000</v>
      </c>
      <c r="D397" s="1">
        <f>IFERROR(__xludf.DUMMYFUNCTION("""COMPUTED_VALUE"""),54500.0)</f>
        <v>54500</v>
      </c>
      <c r="E397" s="1">
        <f>IFERROR(__xludf.DUMMYFUNCTION("""COMPUTED_VALUE"""),54700.0)</f>
        <v>54700</v>
      </c>
      <c r="F397" s="1">
        <f>IFERROR(__xludf.DUMMYFUNCTION("""COMPUTED_VALUE"""),1320.0)</f>
        <v>1320</v>
      </c>
    </row>
    <row r="398">
      <c r="A398" s="2">
        <f>IFERROR(__xludf.DUMMYFUNCTION("""COMPUTED_VALUE"""),41491.645833333336)</f>
        <v>41491.64583</v>
      </c>
      <c r="B398" s="1">
        <f>IFERROR(__xludf.DUMMYFUNCTION("""COMPUTED_VALUE"""),54800.0)</f>
        <v>54800</v>
      </c>
      <c r="C398" s="1">
        <f>IFERROR(__xludf.DUMMYFUNCTION("""COMPUTED_VALUE"""),55000.0)</f>
        <v>55000</v>
      </c>
      <c r="D398" s="1">
        <f>IFERROR(__xludf.DUMMYFUNCTION("""COMPUTED_VALUE"""),54500.0)</f>
        <v>54500</v>
      </c>
      <c r="E398" s="1">
        <f>IFERROR(__xludf.DUMMYFUNCTION("""COMPUTED_VALUE"""),54800.0)</f>
        <v>54800</v>
      </c>
      <c r="F398" s="1">
        <f>IFERROR(__xludf.DUMMYFUNCTION("""COMPUTED_VALUE"""),3237.0)</f>
        <v>3237</v>
      </c>
    </row>
    <row r="399">
      <c r="A399" s="2">
        <f>IFERROR(__xludf.DUMMYFUNCTION("""COMPUTED_VALUE"""),41492.645833333336)</f>
        <v>41492.64583</v>
      </c>
      <c r="B399" s="1">
        <f>IFERROR(__xludf.DUMMYFUNCTION("""COMPUTED_VALUE"""),54800.0)</f>
        <v>54800</v>
      </c>
      <c r="C399" s="1">
        <f>IFERROR(__xludf.DUMMYFUNCTION("""COMPUTED_VALUE"""),55200.0)</f>
        <v>55200</v>
      </c>
      <c r="D399" s="1">
        <f>IFERROR(__xludf.DUMMYFUNCTION("""COMPUTED_VALUE"""),54600.0)</f>
        <v>54600</v>
      </c>
      <c r="E399" s="1">
        <f>IFERROR(__xludf.DUMMYFUNCTION("""COMPUTED_VALUE"""),55000.0)</f>
        <v>55000</v>
      </c>
      <c r="F399" s="1">
        <f>IFERROR(__xludf.DUMMYFUNCTION("""COMPUTED_VALUE"""),2908.0)</f>
        <v>2908</v>
      </c>
    </row>
    <row r="400">
      <c r="A400" s="2">
        <f>IFERROR(__xludf.DUMMYFUNCTION("""COMPUTED_VALUE"""),41493.645833333336)</f>
        <v>41493.64583</v>
      </c>
      <c r="B400" s="1">
        <f>IFERROR(__xludf.DUMMYFUNCTION("""COMPUTED_VALUE"""),55100.0)</f>
        <v>55100</v>
      </c>
      <c r="C400" s="1">
        <f>IFERROR(__xludf.DUMMYFUNCTION("""COMPUTED_VALUE"""),55100.0)</f>
        <v>55100</v>
      </c>
      <c r="D400" s="1">
        <f>IFERROR(__xludf.DUMMYFUNCTION("""COMPUTED_VALUE"""),54400.0)</f>
        <v>54400</v>
      </c>
      <c r="E400" s="1">
        <f>IFERROR(__xludf.DUMMYFUNCTION("""COMPUTED_VALUE"""),54500.0)</f>
        <v>54500</v>
      </c>
      <c r="F400" s="1">
        <f>IFERROR(__xludf.DUMMYFUNCTION("""COMPUTED_VALUE"""),3173.0)</f>
        <v>3173</v>
      </c>
    </row>
    <row r="401">
      <c r="A401" s="2">
        <f>IFERROR(__xludf.DUMMYFUNCTION("""COMPUTED_VALUE"""),41494.645833333336)</f>
        <v>41494.64583</v>
      </c>
      <c r="B401" s="1">
        <f>IFERROR(__xludf.DUMMYFUNCTION("""COMPUTED_VALUE"""),54500.0)</f>
        <v>54500</v>
      </c>
      <c r="C401" s="1">
        <f>IFERROR(__xludf.DUMMYFUNCTION("""COMPUTED_VALUE"""),54600.0)</f>
        <v>54600</v>
      </c>
      <c r="D401" s="1">
        <f>IFERROR(__xludf.DUMMYFUNCTION("""COMPUTED_VALUE"""),54200.0)</f>
        <v>54200</v>
      </c>
      <c r="E401" s="1">
        <f>IFERROR(__xludf.DUMMYFUNCTION("""COMPUTED_VALUE"""),54400.0)</f>
        <v>54400</v>
      </c>
      <c r="F401" s="1">
        <f>IFERROR(__xludf.DUMMYFUNCTION("""COMPUTED_VALUE"""),8189.0)</f>
        <v>8189</v>
      </c>
    </row>
    <row r="402">
      <c r="A402" s="2">
        <f>IFERROR(__xludf.DUMMYFUNCTION("""COMPUTED_VALUE"""),41495.645833333336)</f>
        <v>41495.64583</v>
      </c>
      <c r="B402" s="1">
        <f>IFERROR(__xludf.DUMMYFUNCTION("""COMPUTED_VALUE"""),54500.0)</f>
        <v>54500</v>
      </c>
      <c r="C402" s="1">
        <f>IFERROR(__xludf.DUMMYFUNCTION("""COMPUTED_VALUE"""),54500.0)</f>
        <v>54500</v>
      </c>
      <c r="D402" s="1">
        <f>IFERROR(__xludf.DUMMYFUNCTION("""COMPUTED_VALUE"""),53900.0)</f>
        <v>53900</v>
      </c>
      <c r="E402" s="1">
        <f>IFERROR(__xludf.DUMMYFUNCTION("""COMPUTED_VALUE"""),53900.0)</f>
        <v>53900</v>
      </c>
      <c r="F402" s="1">
        <f>IFERROR(__xludf.DUMMYFUNCTION("""COMPUTED_VALUE"""),5913.0)</f>
        <v>5913</v>
      </c>
    </row>
    <row r="403">
      <c r="A403" s="2">
        <f>IFERROR(__xludf.DUMMYFUNCTION("""COMPUTED_VALUE"""),41498.645833333336)</f>
        <v>41498.64583</v>
      </c>
      <c r="B403" s="1">
        <f>IFERROR(__xludf.DUMMYFUNCTION("""COMPUTED_VALUE"""),54100.0)</f>
        <v>54100</v>
      </c>
      <c r="C403" s="1">
        <f>IFERROR(__xludf.DUMMYFUNCTION("""COMPUTED_VALUE"""),54700.0)</f>
        <v>54700</v>
      </c>
      <c r="D403" s="1">
        <f>IFERROR(__xludf.DUMMYFUNCTION("""COMPUTED_VALUE"""),53900.0)</f>
        <v>53900</v>
      </c>
      <c r="E403" s="1">
        <f>IFERROR(__xludf.DUMMYFUNCTION("""COMPUTED_VALUE"""),54700.0)</f>
        <v>54700</v>
      </c>
      <c r="F403" s="1">
        <f>IFERROR(__xludf.DUMMYFUNCTION("""COMPUTED_VALUE"""),1971.0)</f>
        <v>1971</v>
      </c>
    </row>
    <row r="404">
      <c r="A404" s="2">
        <f>IFERROR(__xludf.DUMMYFUNCTION("""COMPUTED_VALUE"""),41499.645833333336)</f>
        <v>41499.64583</v>
      </c>
      <c r="B404" s="1">
        <f>IFERROR(__xludf.DUMMYFUNCTION("""COMPUTED_VALUE"""),54700.0)</f>
        <v>54700</v>
      </c>
      <c r="C404" s="1">
        <f>IFERROR(__xludf.DUMMYFUNCTION("""COMPUTED_VALUE"""),54900.0)</f>
        <v>54900</v>
      </c>
      <c r="D404" s="1">
        <f>IFERROR(__xludf.DUMMYFUNCTION("""COMPUTED_VALUE"""),54100.0)</f>
        <v>54100</v>
      </c>
      <c r="E404" s="1">
        <f>IFERROR(__xludf.DUMMYFUNCTION("""COMPUTED_VALUE"""),54300.0)</f>
        <v>54300</v>
      </c>
      <c r="F404" s="1">
        <f>IFERROR(__xludf.DUMMYFUNCTION("""COMPUTED_VALUE"""),16252.0)</f>
        <v>16252</v>
      </c>
    </row>
    <row r="405">
      <c r="A405" s="2">
        <f>IFERROR(__xludf.DUMMYFUNCTION("""COMPUTED_VALUE"""),41500.645833333336)</f>
        <v>41500.64583</v>
      </c>
      <c r="B405" s="1">
        <f>IFERROR(__xludf.DUMMYFUNCTION("""COMPUTED_VALUE"""),54700.0)</f>
        <v>54700</v>
      </c>
      <c r="C405" s="1">
        <f>IFERROR(__xludf.DUMMYFUNCTION("""COMPUTED_VALUE"""),55000.0)</f>
        <v>55000</v>
      </c>
      <c r="D405" s="1">
        <f>IFERROR(__xludf.DUMMYFUNCTION("""COMPUTED_VALUE"""),54300.0)</f>
        <v>54300</v>
      </c>
      <c r="E405" s="1">
        <f>IFERROR(__xludf.DUMMYFUNCTION("""COMPUTED_VALUE"""),55000.0)</f>
        <v>55000</v>
      </c>
      <c r="F405" s="1">
        <f>IFERROR(__xludf.DUMMYFUNCTION("""COMPUTED_VALUE"""),15297.0)</f>
        <v>15297</v>
      </c>
    </row>
    <row r="406">
      <c r="A406" s="2">
        <f>IFERROR(__xludf.DUMMYFUNCTION("""COMPUTED_VALUE"""),41502.645833333336)</f>
        <v>41502.64583</v>
      </c>
      <c r="B406" s="1">
        <f>IFERROR(__xludf.DUMMYFUNCTION("""COMPUTED_VALUE"""),54900.0)</f>
        <v>54900</v>
      </c>
      <c r="C406" s="1">
        <f>IFERROR(__xludf.DUMMYFUNCTION("""COMPUTED_VALUE"""),55100.0)</f>
        <v>55100</v>
      </c>
      <c r="D406" s="1">
        <f>IFERROR(__xludf.DUMMYFUNCTION("""COMPUTED_VALUE"""),54700.0)</f>
        <v>54700</v>
      </c>
      <c r="E406" s="1">
        <f>IFERROR(__xludf.DUMMYFUNCTION("""COMPUTED_VALUE"""),54900.0)</f>
        <v>54900</v>
      </c>
      <c r="F406" s="1">
        <f>IFERROR(__xludf.DUMMYFUNCTION("""COMPUTED_VALUE"""),28379.0)</f>
        <v>28379</v>
      </c>
    </row>
    <row r="407">
      <c r="A407" s="2">
        <f>IFERROR(__xludf.DUMMYFUNCTION("""COMPUTED_VALUE"""),41505.645833333336)</f>
        <v>41505.64583</v>
      </c>
      <c r="B407" s="1">
        <f>IFERROR(__xludf.DUMMYFUNCTION("""COMPUTED_VALUE"""),54900.0)</f>
        <v>54900</v>
      </c>
      <c r="C407" s="1">
        <f>IFERROR(__xludf.DUMMYFUNCTION("""COMPUTED_VALUE"""),55000.0)</f>
        <v>55000</v>
      </c>
      <c r="D407" s="1">
        <f>IFERROR(__xludf.DUMMYFUNCTION("""COMPUTED_VALUE"""),54700.0)</f>
        <v>54700</v>
      </c>
      <c r="E407" s="1">
        <f>IFERROR(__xludf.DUMMYFUNCTION("""COMPUTED_VALUE"""),54700.0)</f>
        <v>54700</v>
      </c>
      <c r="F407" s="1">
        <f>IFERROR(__xludf.DUMMYFUNCTION("""COMPUTED_VALUE"""),2434.0)</f>
        <v>2434</v>
      </c>
    </row>
    <row r="408">
      <c r="A408" s="2">
        <f>IFERROR(__xludf.DUMMYFUNCTION("""COMPUTED_VALUE"""),41506.645833333336)</f>
        <v>41506.64583</v>
      </c>
      <c r="B408" s="1">
        <f>IFERROR(__xludf.DUMMYFUNCTION("""COMPUTED_VALUE"""),55100.0)</f>
        <v>55100</v>
      </c>
      <c r="C408" s="1">
        <f>IFERROR(__xludf.DUMMYFUNCTION("""COMPUTED_VALUE"""),55400.0)</f>
        <v>55400</v>
      </c>
      <c r="D408" s="1">
        <f>IFERROR(__xludf.DUMMYFUNCTION("""COMPUTED_VALUE"""),54700.0)</f>
        <v>54700</v>
      </c>
      <c r="E408" s="1">
        <f>IFERROR(__xludf.DUMMYFUNCTION("""COMPUTED_VALUE"""),54900.0)</f>
        <v>54900</v>
      </c>
      <c r="F408" s="1">
        <f>IFERROR(__xludf.DUMMYFUNCTION("""COMPUTED_VALUE"""),29143.0)</f>
        <v>29143</v>
      </c>
    </row>
    <row r="409">
      <c r="A409" s="2">
        <f>IFERROR(__xludf.DUMMYFUNCTION("""COMPUTED_VALUE"""),41507.645833333336)</f>
        <v>41507.64583</v>
      </c>
      <c r="B409" s="1">
        <f>IFERROR(__xludf.DUMMYFUNCTION("""COMPUTED_VALUE"""),54900.0)</f>
        <v>54900</v>
      </c>
      <c r="C409" s="1">
        <f>IFERROR(__xludf.DUMMYFUNCTION("""COMPUTED_VALUE"""),54900.0)</f>
        <v>54900</v>
      </c>
      <c r="D409" s="1">
        <f>IFERROR(__xludf.DUMMYFUNCTION("""COMPUTED_VALUE"""),54000.0)</f>
        <v>54000</v>
      </c>
      <c r="E409" s="1">
        <f>IFERROR(__xludf.DUMMYFUNCTION("""COMPUTED_VALUE"""),54300.0)</f>
        <v>54300</v>
      </c>
      <c r="F409" s="1">
        <f>IFERROR(__xludf.DUMMYFUNCTION("""COMPUTED_VALUE"""),4733.0)</f>
        <v>4733</v>
      </c>
    </row>
    <row r="410">
      <c r="A410" s="2">
        <f>IFERROR(__xludf.DUMMYFUNCTION("""COMPUTED_VALUE"""),41508.645833333336)</f>
        <v>41508.64583</v>
      </c>
      <c r="B410" s="1">
        <f>IFERROR(__xludf.DUMMYFUNCTION("""COMPUTED_VALUE"""),54000.0)</f>
        <v>54000</v>
      </c>
      <c r="C410" s="1">
        <f>IFERROR(__xludf.DUMMYFUNCTION("""COMPUTED_VALUE"""),54000.0)</f>
        <v>54000</v>
      </c>
      <c r="D410" s="1">
        <f>IFERROR(__xludf.DUMMYFUNCTION("""COMPUTED_VALUE"""),53300.0)</f>
        <v>53300</v>
      </c>
      <c r="E410" s="1">
        <f>IFERROR(__xludf.DUMMYFUNCTION("""COMPUTED_VALUE"""),53500.0)</f>
        <v>53500</v>
      </c>
      <c r="F410" s="1">
        <f>IFERROR(__xludf.DUMMYFUNCTION("""COMPUTED_VALUE"""),10768.0)</f>
        <v>10768</v>
      </c>
    </row>
    <row r="411">
      <c r="A411" s="2">
        <f>IFERROR(__xludf.DUMMYFUNCTION("""COMPUTED_VALUE"""),41509.645833333336)</f>
        <v>41509.64583</v>
      </c>
      <c r="B411" s="1">
        <f>IFERROR(__xludf.DUMMYFUNCTION("""COMPUTED_VALUE"""),53300.0)</f>
        <v>53300</v>
      </c>
      <c r="C411" s="1">
        <f>IFERROR(__xludf.DUMMYFUNCTION("""COMPUTED_VALUE"""),53700.0)</f>
        <v>53700</v>
      </c>
      <c r="D411" s="1">
        <f>IFERROR(__xludf.DUMMYFUNCTION("""COMPUTED_VALUE"""),53100.0)</f>
        <v>53100</v>
      </c>
      <c r="E411" s="1">
        <f>IFERROR(__xludf.DUMMYFUNCTION("""COMPUTED_VALUE"""),53700.0)</f>
        <v>53700</v>
      </c>
      <c r="F411" s="1">
        <f>IFERROR(__xludf.DUMMYFUNCTION("""COMPUTED_VALUE"""),8742.0)</f>
        <v>8742</v>
      </c>
    </row>
    <row r="412">
      <c r="A412" s="2">
        <f>IFERROR(__xludf.DUMMYFUNCTION("""COMPUTED_VALUE"""),41512.645833333336)</f>
        <v>41512.64583</v>
      </c>
      <c r="B412" s="1">
        <f>IFERROR(__xludf.DUMMYFUNCTION("""COMPUTED_VALUE"""),53500.0)</f>
        <v>53500</v>
      </c>
      <c r="C412" s="1">
        <f>IFERROR(__xludf.DUMMYFUNCTION("""COMPUTED_VALUE"""),54000.0)</f>
        <v>54000</v>
      </c>
      <c r="D412" s="1">
        <f>IFERROR(__xludf.DUMMYFUNCTION("""COMPUTED_VALUE"""),53500.0)</f>
        <v>53500</v>
      </c>
      <c r="E412" s="1">
        <f>IFERROR(__xludf.DUMMYFUNCTION("""COMPUTED_VALUE"""),53800.0)</f>
        <v>53800</v>
      </c>
      <c r="F412" s="1">
        <f>IFERROR(__xludf.DUMMYFUNCTION("""COMPUTED_VALUE"""),4434.0)</f>
        <v>4434</v>
      </c>
    </row>
    <row r="413">
      <c r="A413" s="2">
        <f>IFERROR(__xludf.DUMMYFUNCTION("""COMPUTED_VALUE"""),41513.645833333336)</f>
        <v>41513.64583</v>
      </c>
      <c r="B413" s="1">
        <f>IFERROR(__xludf.DUMMYFUNCTION("""COMPUTED_VALUE"""),53500.0)</f>
        <v>53500</v>
      </c>
      <c r="C413" s="1">
        <f>IFERROR(__xludf.DUMMYFUNCTION("""COMPUTED_VALUE"""),53800.0)</f>
        <v>53800</v>
      </c>
      <c r="D413" s="1">
        <f>IFERROR(__xludf.DUMMYFUNCTION("""COMPUTED_VALUE"""),53200.0)</f>
        <v>53200</v>
      </c>
      <c r="E413" s="1">
        <f>IFERROR(__xludf.DUMMYFUNCTION("""COMPUTED_VALUE"""),53800.0)</f>
        <v>53800</v>
      </c>
      <c r="F413" s="1">
        <f>IFERROR(__xludf.DUMMYFUNCTION("""COMPUTED_VALUE"""),3237.0)</f>
        <v>3237</v>
      </c>
    </row>
    <row r="414">
      <c r="A414" s="2">
        <f>IFERROR(__xludf.DUMMYFUNCTION("""COMPUTED_VALUE"""),41514.645833333336)</f>
        <v>41514.64583</v>
      </c>
      <c r="B414" s="1">
        <f>IFERROR(__xludf.DUMMYFUNCTION("""COMPUTED_VALUE"""),53600.0)</f>
        <v>53600</v>
      </c>
      <c r="C414" s="1">
        <f>IFERROR(__xludf.DUMMYFUNCTION("""COMPUTED_VALUE"""),53700.0)</f>
        <v>53700</v>
      </c>
      <c r="D414" s="1">
        <f>IFERROR(__xludf.DUMMYFUNCTION("""COMPUTED_VALUE"""),53200.0)</f>
        <v>53200</v>
      </c>
      <c r="E414" s="1">
        <f>IFERROR(__xludf.DUMMYFUNCTION("""COMPUTED_VALUE"""),53500.0)</f>
        <v>53500</v>
      </c>
      <c r="F414" s="1">
        <f>IFERROR(__xludf.DUMMYFUNCTION("""COMPUTED_VALUE"""),3214.0)</f>
        <v>3214</v>
      </c>
    </row>
    <row r="415">
      <c r="A415" s="2">
        <f>IFERROR(__xludf.DUMMYFUNCTION("""COMPUTED_VALUE"""),41515.645833333336)</f>
        <v>41515.64583</v>
      </c>
      <c r="B415" s="1">
        <f>IFERROR(__xludf.DUMMYFUNCTION("""COMPUTED_VALUE"""),53800.0)</f>
        <v>53800</v>
      </c>
      <c r="C415" s="1">
        <f>IFERROR(__xludf.DUMMYFUNCTION("""COMPUTED_VALUE"""),54100.0)</f>
        <v>54100</v>
      </c>
      <c r="D415" s="1">
        <f>IFERROR(__xludf.DUMMYFUNCTION("""COMPUTED_VALUE"""),53800.0)</f>
        <v>53800</v>
      </c>
      <c r="E415" s="1">
        <f>IFERROR(__xludf.DUMMYFUNCTION("""COMPUTED_VALUE"""),54000.0)</f>
        <v>54000</v>
      </c>
      <c r="F415" s="1">
        <f>IFERROR(__xludf.DUMMYFUNCTION("""COMPUTED_VALUE"""),7905.0)</f>
        <v>7905</v>
      </c>
    </row>
    <row r="416">
      <c r="A416" s="2">
        <f>IFERROR(__xludf.DUMMYFUNCTION("""COMPUTED_VALUE"""),41516.645833333336)</f>
        <v>41516.64583</v>
      </c>
      <c r="B416" s="1">
        <f>IFERROR(__xludf.DUMMYFUNCTION("""COMPUTED_VALUE"""),54300.0)</f>
        <v>54300</v>
      </c>
      <c r="C416" s="1">
        <f>IFERROR(__xludf.DUMMYFUNCTION("""COMPUTED_VALUE"""),54500.0)</f>
        <v>54500</v>
      </c>
      <c r="D416" s="1">
        <f>IFERROR(__xludf.DUMMYFUNCTION("""COMPUTED_VALUE"""),53900.0)</f>
        <v>53900</v>
      </c>
      <c r="E416" s="1">
        <f>IFERROR(__xludf.DUMMYFUNCTION("""COMPUTED_VALUE"""),54400.0)</f>
        <v>54400</v>
      </c>
      <c r="F416" s="1">
        <f>IFERROR(__xludf.DUMMYFUNCTION("""COMPUTED_VALUE"""),2637.0)</f>
        <v>2637</v>
      </c>
    </row>
    <row r="417">
      <c r="A417" s="2">
        <f>IFERROR(__xludf.DUMMYFUNCTION("""COMPUTED_VALUE"""),41519.645833333336)</f>
        <v>41519.64583</v>
      </c>
      <c r="B417" s="1">
        <f>IFERROR(__xludf.DUMMYFUNCTION("""COMPUTED_VALUE"""),54500.0)</f>
        <v>54500</v>
      </c>
      <c r="C417" s="1">
        <f>IFERROR(__xludf.DUMMYFUNCTION("""COMPUTED_VALUE"""),54600.0)</f>
        <v>54600</v>
      </c>
      <c r="D417" s="1">
        <f>IFERROR(__xludf.DUMMYFUNCTION("""COMPUTED_VALUE"""),54200.0)</f>
        <v>54200</v>
      </c>
      <c r="E417" s="1">
        <f>IFERROR(__xludf.DUMMYFUNCTION("""COMPUTED_VALUE"""),54500.0)</f>
        <v>54500</v>
      </c>
      <c r="F417" s="1">
        <f>IFERROR(__xludf.DUMMYFUNCTION("""COMPUTED_VALUE"""),4615.0)</f>
        <v>4615</v>
      </c>
    </row>
    <row r="418">
      <c r="A418" s="2">
        <f>IFERROR(__xludf.DUMMYFUNCTION("""COMPUTED_VALUE"""),41520.645833333336)</f>
        <v>41520.64583</v>
      </c>
      <c r="B418" s="1">
        <f>IFERROR(__xludf.DUMMYFUNCTION("""COMPUTED_VALUE"""),54500.0)</f>
        <v>54500</v>
      </c>
      <c r="C418" s="1">
        <f>IFERROR(__xludf.DUMMYFUNCTION("""COMPUTED_VALUE"""),55400.0)</f>
        <v>55400</v>
      </c>
      <c r="D418" s="1">
        <f>IFERROR(__xludf.DUMMYFUNCTION("""COMPUTED_VALUE"""),54100.0)</f>
        <v>54100</v>
      </c>
      <c r="E418" s="1">
        <f>IFERROR(__xludf.DUMMYFUNCTION("""COMPUTED_VALUE"""),54600.0)</f>
        <v>54600</v>
      </c>
      <c r="F418" s="1">
        <f>IFERROR(__xludf.DUMMYFUNCTION("""COMPUTED_VALUE"""),9487.0)</f>
        <v>9487</v>
      </c>
    </row>
    <row r="419">
      <c r="A419" s="2">
        <f>IFERROR(__xludf.DUMMYFUNCTION("""COMPUTED_VALUE"""),41521.645833333336)</f>
        <v>41521.64583</v>
      </c>
      <c r="B419" s="1">
        <f>IFERROR(__xludf.DUMMYFUNCTION("""COMPUTED_VALUE"""),54900.0)</f>
        <v>54900</v>
      </c>
      <c r="C419" s="1">
        <f>IFERROR(__xludf.DUMMYFUNCTION("""COMPUTED_VALUE"""),54900.0)</f>
        <v>54900</v>
      </c>
      <c r="D419" s="1">
        <f>IFERROR(__xludf.DUMMYFUNCTION("""COMPUTED_VALUE"""),54400.0)</f>
        <v>54400</v>
      </c>
      <c r="E419" s="1">
        <f>IFERROR(__xludf.DUMMYFUNCTION("""COMPUTED_VALUE"""),54600.0)</f>
        <v>54600</v>
      </c>
      <c r="F419" s="1">
        <f>IFERROR(__xludf.DUMMYFUNCTION("""COMPUTED_VALUE"""),1569.0)</f>
        <v>1569</v>
      </c>
    </row>
    <row r="420">
      <c r="A420" s="2">
        <f>IFERROR(__xludf.DUMMYFUNCTION("""COMPUTED_VALUE"""),41522.645833333336)</f>
        <v>41522.64583</v>
      </c>
      <c r="B420" s="1">
        <f>IFERROR(__xludf.DUMMYFUNCTION("""COMPUTED_VALUE"""),54900.0)</f>
        <v>54900</v>
      </c>
      <c r="C420" s="1">
        <f>IFERROR(__xludf.DUMMYFUNCTION("""COMPUTED_VALUE"""),54900.0)</f>
        <v>54900</v>
      </c>
      <c r="D420" s="1">
        <f>IFERROR(__xludf.DUMMYFUNCTION("""COMPUTED_VALUE"""),54400.0)</f>
        <v>54400</v>
      </c>
      <c r="E420" s="1">
        <f>IFERROR(__xludf.DUMMYFUNCTION("""COMPUTED_VALUE"""),54700.0)</f>
        <v>54700</v>
      </c>
      <c r="F420" s="1">
        <f>IFERROR(__xludf.DUMMYFUNCTION("""COMPUTED_VALUE"""),7852.0)</f>
        <v>7852</v>
      </c>
    </row>
    <row r="421">
      <c r="A421" s="2">
        <f>IFERROR(__xludf.DUMMYFUNCTION("""COMPUTED_VALUE"""),41523.645833333336)</f>
        <v>41523.64583</v>
      </c>
      <c r="B421" s="1">
        <f>IFERROR(__xludf.DUMMYFUNCTION("""COMPUTED_VALUE"""),54700.0)</f>
        <v>54700</v>
      </c>
      <c r="C421" s="1">
        <f>IFERROR(__xludf.DUMMYFUNCTION("""COMPUTED_VALUE"""),54800.0)</f>
        <v>54800</v>
      </c>
      <c r="D421" s="1">
        <f>IFERROR(__xludf.DUMMYFUNCTION("""COMPUTED_VALUE"""),54600.0)</f>
        <v>54600</v>
      </c>
      <c r="E421" s="1">
        <f>IFERROR(__xludf.DUMMYFUNCTION("""COMPUTED_VALUE"""),54700.0)</f>
        <v>54700</v>
      </c>
      <c r="F421" s="1">
        <f>IFERROR(__xludf.DUMMYFUNCTION("""COMPUTED_VALUE"""),7979.0)</f>
        <v>7979</v>
      </c>
    </row>
    <row r="422">
      <c r="A422" s="2">
        <f>IFERROR(__xludf.DUMMYFUNCTION("""COMPUTED_VALUE"""),41526.645833333336)</f>
        <v>41526.64583</v>
      </c>
      <c r="B422" s="1">
        <f>IFERROR(__xludf.DUMMYFUNCTION("""COMPUTED_VALUE"""),54500.0)</f>
        <v>54500</v>
      </c>
      <c r="C422" s="1">
        <f>IFERROR(__xludf.DUMMYFUNCTION("""COMPUTED_VALUE"""),55400.0)</f>
        <v>55400</v>
      </c>
      <c r="D422" s="1">
        <f>IFERROR(__xludf.DUMMYFUNCTION("""COMPUTED_VALUE"""),54500.0)</f>
        <v>54500</v>
      </c>
      <c r="E422" s="1">
        <f>IFERROR(__xludf.DUMMYFUNCTION("""COMPUTED_VALUE"""),55200.0)</f>
        <v>55200</v>
      </c>
      <c r="F422" s="1">
        <f>IFERROR(__xludf.DUMMYFUNCTION("""COMPUTED_VALUE"""),7687.0)</f>
        <v>7687</v>
      </c>
    </row>
    <row r="423">
      <c r="A423" s="2">
        <f>IFERROR(__xludf.DUMMYFUNCTION("""COMPUTED_VALUE"""),41527.645833333336)</f>
        <v>41527.64583</v>
      </c>
      <c r="B423" s="1">
        <f>IFERROR(__xludf.DUMMYFUNCTION("""COMPUTED_VALUE"""),55400.0)</f>
        <v>55400</v>
      </c>
      <c r="C423" s="1">
        <f>IFERROR(__xludf.DUMMYFUNCTION("""COMPUTED_VALUE"""),56800.0)</f>
        <v>56800</v>
      </c>
      <c r="D423" s="1">
        <f>IFERROR(__xludf.DUMMYFUNCTION("""COMPUTED_VALUE"""),55400.0)</f>
        <v>55400</v>
      </c>
      <c r="E423" s="1">
        <f>IFERROR(__xludf.DUMMYFUNCTION("""COMPUTED_VALUE"""),56800.0)</f>
        <v>56800</v>
      </c>
      <c r="F423" s="1">
        <f>IFERROR(__xludf.DUMMYFUNCTION("""COMPUTED_VALUE"""),11675.0)</f>
        <v>11675</v>
      </c>
    </row>
    <row r="424">
      <c r="A424" s="2">
        <f>IFERROR(__xludf.DUMMYFUNCTION("""COMPUTED_VALUE"""),41528.645833333336)</f>
        <v>41528.64583</v>
      </c>
      <c r="B424" s="1">
        <f>IFERROR(__xludf.DUMMYFUNCTION("""COMPUTED_VALUE"""),56900.0)</f>
        <v>56900</v>
      </c>
      <c r="C424" s="1">
        <f>IFERROR(__xludf.DUMMYFUNCTION("""COMPUTED_VALUE"""),57500.0)</f>
        <v>57500</v>
      </c>
      <c r="D424" s="1">
        <f>IFERROR(__xludf.DUMMYFUNCTION("""COMPUTED_VALUE"""),56000.0)</f>
        <v>56000</v>
      </c>
      <c r="E424" s="1">
        <f>IFERROR(__xludf.DUMMYFUNCTION("""COMPUTED_VALUE"""),57300.0)</f>
        <v>57300</v>
      </c>
      <c r="F424" s="1">
        <f>IFERROR(__xludf.DUMMYFUNCTION("""COMPUTED_VALUE"""),10085.0)</f>
        <v>10085</v>
      </c>
    </row>
    <row r="425">
      <c r="A425" s="2">
        <f>IFERROR(__xludf.DUMMYFUNCTION("""COMPUTED_VALUE"""),41529.645833333336)</f>
        <v>41529.64583</v>
      </c>
      <c r="B425" s="1">
        <f>IFERROR(__xludf.DUMMYFUNCTION("""COMPUTED_VALUE"""),56900.0)</f>
        <v>56900</v>
      </c>
      <c r="C425" s="1">
        <f>IFERROR(__xludf.DUMMYFUNCTION("""COMPUTED_VALUE"""),57600.0)</f>
        <v>57600</v>
      </c>
      <c r="D425" s="1">
        <f>IFERROR(__xludf.DUMMYFUNCTION("""COMPUTED_VALUE"""),56700.0)</f>
        <v>56700</v>
      </c>
      <c r="E425" s="1">
        <f>IFERROR(__xludf.DUMMYFUNCTION("""COMPUTED_VALUE"""),56700.0)</f>
        <v>56700</v>
      </c>
      <c r="F425" s="1">
        <f>IFERROR(__xludf.DUMMYFUNCTION("""COMPUTED_VALUE"""),5381.0)</f>
        <v>5381</v>
      </c>
    </row>
    <row r="426">
      <c r="A426" s="2">
        <f>IFERROR(__xludf.DUMMYFUNCTION("""COMPUTED_VALUE"""),41530.645833333336)</f>
        <v>41530.64583</v>
      </c>
      <c r="B426" s="1">
        <f>IFERROR(__xludf.DUMMYFUNCTION("""COMPUTED_VALUE"""),56900.0)</f>
        <v>56900</v>
      </c>
      <c r="C426" s="1">
        <f>IFERROR(__xludf.DUMMYFUNCTION("""COMPUTED_VALUE"""),56900.0)</f>
        <v>56900</v>
      </c>
      <c r="D426" s="1">
        <f>IFERROR(__xludf.DUMMYFUNCTION("""COMPUTED_VALUE"""),56100.0)</f>
        <v>56100</v>
      </c>
      <c r="E426" s="1">
        <f>IFERROR(__xludf.DUMMYFUNCTION("""COMPUTED_VALUE"""),56300.0)</f>
        <v>56300</v>
      </c>
      <c r="F426" s="1">
        <f>IFERROR(__xludf.DUMMYFUNCTION("""COMPUTED_VALUE"""),5341.0)</f>
        <v>5341</v>
      </c>
    </row>
    <row r="427">
      <c r="A427" s="2">
        <f>IFERROR(__xludf.DUMMYFUNCTION("""COMPUTED_VALUE"""),41533.645833333336)</f>
        <v>41533.64583</v>
      </c>
      <c r="B427" s="1">
        <f>IFERROR(__xludf.DUMMYFUNCTION("""COMPUTED_VALUE"""),56300.0)</f>
        <v>56300</v>
      </c>
      <c r="C427" s="1">
        <f>IFERROR(__xludf.DUMMYFUNCTION("""COMPUTED_VALUE"""),57200.0)</f>
        <v>57200</v>
      </c>
      <c r="D427" s="1">
        <f>IFERROR(__xludf.DUMMYFUNCTION("""COMPUTED_VALUE"""),56100.0)</f>
        <v>56100</v>
      </c>
      <c r="E427" s="1">
        <f>IFERROR(__xludf.DUMMYFUNCTION("""COMPUTED_VALUE"""),57200.0)</f>
        <v>57200</v>
      </c>
      <c r="F427" s="1">
        <f>IFERROR(__xludf.DUMMYFUNCTION("""COMPUTED_VALUE"""),8016.0)</f>
        <v>8016</v>
      </c>
    </row>
    <row r="428">
      <c r="A428" s="2">
        <f>IFERROR(__xludf.DUMMYFUNCTION("""COMPUTED_VALUE"""),41534.645833333336)</f>
        <v>41534.64583</v>
      </c>
      <c r="B428" s="1">
        <f>IFERROR(__xludf.DUMMYFUNCTION("""COMPUTED_VALUE"""),57200.0)</f>
        <v>57200</v>
      </c>
      <c r="C428" s="1">
        <f>IFERROR(__xludf.DUMMYFUNCTION("""COMPUTED_VALUE"""),57400.0)</f>
        <v>57400</v>
      </c>
      <c r="D428" s="1">
        <f>IFERROR(__xludf.DUMMYFUNCTION("""COMPUTED_VALUE"""),56700.0)</f>
        <v>56700</v>
      </c>
      <c r="E428" s="1">
        <f>IFERROR(__xludf.DUMMYFUNCTION("""COMPUTED_VALUE"""),57400.0)</f>
        <v>57400</v>
      </c>
      <c r="F428" s="1">
        <f>IFERROR(__xludf.DUMMYFUNCTION("""COMPUTED_VALUE"""),3232.0)</f>
        <v>3232</v>
      </c>
    </row>
    <row r="429">
      <c r="A429" s="2">
        <f>IFERROR(__xludf.DUMMYFUNCTION("""COMPUTED_VALUE"""),41540.645833333336)</f>
        <v>41540.64583</v>
      </c>
      <c r="B429" s="1">
        <f>IFERROR(__xludf.DUMMYFUNCTION("""COMPUTED_VALUE"""),57300.0)</f>
        <v>57300</v>
      </c>
      <c r="C429" s="1">
        <f>IFERROR(__xludf.DUMMYFUNCTION("""COMPUTED_VALUE"""),57400.0)</f>
        <v>57400</v>
      </c>
      <c r="D429" s="1">
        <f>IFERROR(__xludf.DUMMYFUNCTION("""COMPUTED_VALUE"""),57000.0)</f>
        <v>57000</v>
      </c>
      <c r="E429" s="1">
        <f>IFERROR(__xludf.DUMMYFUNCTION("""COMPUTED_VALUE"""),57400.0)</f>
        <v>57400</v>
      </c>
      <c r="F429" s="1">
        <f>IFERROR(__xludf.DUMMYFUNCTION("""COMPUTED_VALUE"""),2231.0)</f>
        <v>2231</v>
      </c>
    </row>
    <row r="430">
      <c r="A430" s="2">
        <f>IFERROR(__xludf.DUMMYFUNCTION("""COMPUTED_VALUE"""),41541.645833333336)</f>
        <v>41541.64583</v>
      </c>
      <c r="B430" s="1">
        <f>IFERROR(__xludf.DUMMYFUNCTION("""COMPUTED_VALUE"""),57000.0)</f>
        <v>57000</v>
      </c>
      <c r="C430" s="1">
        <f>IFERROR(__xludf.DUMMYFUNCTION("""COMPUTED_VALUE"""),57200.0)</f>
        <v>57200</v>
      </c>
      <c r="D430" s="1">
        <f>IFERROR(__xludf.DUMMYFUNCTION("""COMPUTED_VALUE"""),56800.0)</f>
        <v>56800</v>
      </c>
      <c r="E430" s="1">
        <f>IFERROR(__xludf.DUMMYFUNCTION("""COMPUTED_VALUE"""),57000.0)</f>
        <v>57000</v>
      </c>
      <c r="F430" s="1">
        <f>IFERROR(__xludf.DUMMYFUNCTION("""COMPUTED_VALUE"""),3073.0)</f>
        <v>3073</v>
      </c>
    </row>
    <row r="431">
      <c r="A431" s="2">
        <f>IFERROR(__xludf.DUMMYFUNCTION("""COMPUTED_VALUE"""),41542.645833333336)</f>
        <v>41542.64583</v>
      </c>
      <c r="B431" s="1">
        <f>IFERROR(__xludf.DUMMYFUNCTION("""COMPUTED_VALUE"""),57100.0)</f>
        <v>57100</v>
      </c>
      <c r="C431" s="1">
        <f>IFERROR(__xludf.DUMMYFUNCTION("""COMPUTED_VALUE"""),57100.0)</f>
        <v>57100</v>
      </c>
      <c r="D431" s="1">
        <f>IFERROR(__xludf.DUMMYFUNCTION("""COMPUTED_VALUE"""),56100.0)</f>
        <v>56100</v>
      </c>
      <c r="E431" s="1">
        <f>IFERROR(__xludf.DUMMYFUNCTION("""COMPUTED_VALUE"""),57100.0)</f>
        <v>57100</v>
      </c>
      <c r="F431" s="1">
        <f>IFERROR(__xludf.DUMMYFUNCTION("""COMPUTED_VALUE"""),6025.0)</f>
        <v>6025</v>
      </c>
    </row>
    <row r="432">
      <c r="A432" s="2">
        <f>IFERROR(__xludf.DUMMYFUNCTION("""COMPUTED_VALUE"""),41543.645833333336)</f>
        <v>41543.64583</v>
      </c>
      <c r="B432" s="1">
        <f>IFERROR(__xludf.DUMMYFUNCTION("""COMPUTED_VALUE"""),57100.0)</f>
        <v>57100</v>
      </c>
      <c r="C432" s="1">
        <f>IFERROR(__xludf.DUMMYFUNCTION("""COMPUTED_VALUE"""),57200.0)</f>
        <v>57200</v>
      </c>
      <c r="D432" s="1">
        <f>IFERROR(__xludf.DUMMYFUNCTION("""COMPUTED_VALUE"""),56300.0)</f>
        <v>56300</v>
      </c>
      <c r="E432" s="1">
        <f>IFERROR(__xludf.DUMMYFUNCTION("""COMPUTED_VALUE"""),56400.0)</f>
        <v>56400</v>
      </c>
      <c r="F432" s="1">
        <f>IFERROR(__xludf.DUMMYFUNCTION("""COMPUTED_VALUE"""),5627.0)</f>
        <v>5627</v>
      </c>
    </row>
    <row r="433">
      <c r="A433" s="2">
        <f>IFERROR(__xludf.DUMMYFUNCTION("""COMPUTED_VALUE"""),41544.645833333336)</f>
        <v>41544.64583</v>
      </c>
      <c r="B433" s="1">
        <f>IFERROR(__xludf.DUMMYFUNCTION("""COMPUTED_VALUE"""),56800.0)</f>
        <v>56800</v>
      </c>
      <c r="C433" s="1">
        <f>IFERROR(__xludf.DUMMYFUNCTION("""COMPUTED_VALUE"""),57000.0)</f>
        <v>57000</v>
      </c>
      <c r="D433" s="1">
        <f>IFERROR(__xludf.DUMMYFUNCTION("""COMPUTED_VALUE"""),56200.0)</f>
        <v>56200</v>
      </c>
      <c r="E433" s="1">
        <f>IFERROR(__xludf.DUMMYFUNCTION("""COMPUTED_VALUE"""),56600.0)</f>
        <v>56600</v>
      </c>
      <c r="F433" s="1">
        <f>IFERROR(__xludf.DUMMYFUNCTION("""COMPUTED_VALUE"""),7988.0)</f>
        <v>7988</v>
      </c>
    </row>
    <row r="434">
      <c r="A434" s="2">
        <f>IFERROR(__xludf.DUMMYFUNCTION("""COMPUTED_VALUE"""),41547.645833333336)</f>
        <v>41547.64583</v>
      </c>
      <c r="B434" s="1">
        <f>IFERROR(__xludf.DUMMYFUNCTION("""COMPUTED_VALUE"""),56800.0)</f>
        <v>56800</v>
      </c>
      <c r="C434" s="1">
        <f>IFERROR(__xludf.DUMMYFUNCTION("""COMPUTED_VALUE"""),56800.0)</f>
        <v>56800</v>
      </c>
      <c r="D434" s="1">
        <f>IFERROR(__xludf.DUMMYFUNCTION("""COMPUTED_VALUE"""),56100.0)</f>
        <v>56100</v>
      </c>
      <c r="E434" s="1">
        <f>IFERROR(__xludf.DUMMYFUNCTION("""COMPUTED_VALUE"""),56700.0)</f>
        <v>56700</v>
      </c>
      <c r="F434" s="1">
        <f>IFERROR(__xludf.DUMMYFUNCTION("""COMPUTED_VALUE"""),1441.0)</f>
        <v>1441</v>
      </c>
    </row>
    <row r="435">
      <c r="A435" s="2">
        <f>IFERROR(__xludf.DUMMYFUNCTION("""COMPUTED_VALUE"""),41548.645833333336)</f>
        <v>41548.64583</v>
      </c>
      <c r="B435" s="1">
        <f>IFERROR(__xludf.DUMMYFUNCTION("""COMPUTED_VALUE"""),56700.0)</f>
        <v>56700</v>
      </c>
      <c r="C435" s="1">
        <f>IFERROR(__xludf.DUMMYFUNCTION("""COMPUTED_VALUE"""),57200.0)</f>
        <v>57200</v>
      </c>
      <c r="D435" s="1">
        <f>IFERROR(__xludf.DUMMYFUNCTION("""COMPUTED_VALUE"""),56200.0)</f>
        <v>56200</v>
      </c>
      <c r="E435" s="1">
        <f>IFERROR(__xludf.DUMMYFUNCTION("""COMPUTED_VALUE"""),57100.0)</f>
        <v>57100</v>
      </c>
      <c r="F435" s="1">
        <f>IFERROR(__xludf.DUMMYFUNCTION("""COMPUTED_VALUE"""),9317.0)</f>
        <v>9317</v>
      </c>
    </row>
    <row r="436">
      <c r="A436" s="2">
        <f>IFERROR(__xludf.DUMMYFUNCTION("""COMPUTED_VALUE"""),41549.645833333336)</f>
        <v>41549.64583</v>
      </c>
      <c r="B436" s="1">
        <f>IFERROR(__xludf.DUMMYFUNCTION("""COMPUTED_VALUE"""),57200.0)</f>
        <v>57200</v>
      </c>
      <c r="C436" s="1">
        <f>IFERROR(__xludf.DUMMYFUNCTION("""COMPUTED_VALUE"""),57400.0)</f>
        <v>57400</v>
      </c>
      <c r="D436" s="1">
        <f>IFERROR(__xludf.DUMMYFUNCTION("""COMPUTED_VALUE"""),56300.0)</f>
        <v>56300</v>
      </c>
      <c r="E436" s="1">
        <f>IFERROR(__xludf.DUMMYFUNCTION("""COMPUTED_VALUE"""),57400.0)</f>
        <v>57400</v>
      </c>
      <c r="F436" s="1">
        <f>IFERROR(__xludf.DUMMYFUNCTION("""COMPUTED_VALUE"""),4718.0)</f>
        <v>4718</v>
      </c>
    </row>
    <row r="437">
      <c r="A437" s="2">
        <f>IFERROR(__xludf.DUMMYFUNCTION("""COMPUTED_VALUE"""),41551.645833333336)</f>
        <v>41551.64583</v>
      </c>
      <c r="B437" s="1">
        <f>IFERROR(__xludf.DUMMYFUNCTION("""COMPUTED_VALUE"""),57400.0)</f>
        <v>57400</v>
      </c>
      <c r="C437" s="1">
        <f>IFERROR(__xludf.DUMMYFUNCTION("""COMPUTED_VALUE"""),57400.0)</f>
        <v>57400</v>
      </c>
      <c r="D437" s="1">
        <f>IFERROR(__xludf.DUMMYFUNCTION("""COMPUTED_VALUE"""),56500.0)</f>
        <v>56500</v>
      </c>
      <c r="E437" s="1">
        <f>IFERROR(__xludf.DUMMYFUNCTION("""COMPUTED_VALUE"""),56700.0)</f>
        <v>56700</v>
      </c>
      <c r="F437" s="1">
        <f>IFERROR(__xludf.DUMMYFUNCTION("""COMPUTED_VALUE"""),4165.0)</f>
        <v>4165</v>
      </c>
    </row>
    <row r="438">
      <c r="A438" s="2">
        <f>IFERROR(__xludf.DUMMYFUNCTION("""COMPUTED_VALUE"""),41554.645833333336)</f>
        <v>41554.64583</v>
      </c>
      <c r="B438" s="1">
        <f>IFERROR(__xludf.DUMMYFUNCTION("""COMPUTED_VALUE"""),56700.0)</f>
        <v>56700</v>
      </c>
      <c r="C438" s="1">
        <f>IFERROR(__xludf.DUMMYFUNCTION("""COMPUTED_VALUE"""),58000.0)</f>
        <v>58000</v>
      </c>
      <c r="D438" s="1">
        <f>IFERROR(__xludf.DUMMYFUNCTION("""COMPUTED_VALUE"""),55600.0)</f>
        <v>55600</v>
      </c>
      <c r="E438" s="1">
        <f>IFERROR(__xludf.DUMMYFUNCTION("""COMPUTED_VALUE"""),56000.0)</f>
        <v>56000</v>
      </c>
      <c r="F438" s="1">
        <f>IFERROR(__xludf.DUMMYFUNCTION("""COMPUTED_VALUE"""),19804.0)</f>
        <v>19804</v>
      </c>
    </row>
    <row r="439">
      <c r="A439" s="2">
        <f>IFERROR(__xludf.DUMMYFUNCTION("""COMPUTED_VALUE"""),41555.645833333336)</f>
        <v>41555.64583</v>
      </c>
      <c r="B439" s="1">
        <f>IFERROR(__xludf.DUMMYFUNCTION("""COMPUTED_VALUE"""),55900.0)</f>
        <v>55900</v>
      </c>
      <c r="C439" s="1">
        <f>IFERROR(__xludf.DUMMYFUNCTION("""COMPUTED_VALUE"""),56400.0)</f>
        <v>56400</v>
      </c>
      <c r="D439" s="1">
        <f>IFERROR(__xludf.DUMMYFUNCTION("""COMPUTED_VALUE"""),55600.0)</f>
        <v>55600</v>
      </c>
      <c r="E439" s="1">
        <f>IFERROR(__xludf.DUMMYFUNCTION("""COMPUTED_VALUE"""),56000.0)</f>
        <v>56000</v>
      </c>
      <c r="F439" s="1">
        <f>IFERROR(__xludf.DUMMYFUNCTION("""COMPUTED_VALUE"""),3770.0)</f>
        <v>3770</v>
      </c>
    </row>
    <row r="440">
      <c r="A440" s="2">
        <f>IFERROR(__xludf.DUMMYFUNCTION("""COMPUTED_VALUE"""),41557.645833333336)</f>
        <v>41557.64583</v>
      </c>
      <c r="B440" s="1">
        <f>IFERROR(__xludf.DUMMYFUNCTION("""COMPUTED_VALUE"""),56000.0)</f>
        <v>56000</v>
      </c>
      <c r="C440" s="1">
        <f>IFERROR(__xludf.DUMMYFUNCTION("""COMPUTED_VALUE"""),56400.0)</f>
        <v>56400</v>
      </c>
      <c r="D440" s="1">
        <f>IFERROR(__xludf.DUMMYFUNCTION("""COMPUTED_VALUE"""),55500.0)</f>
        <v>55500</v>
      </c>
      <c r="E440" s="1">
        <f>IFERROR(__xludf.DUMMYFUNCTION("""COMPUTED_VALUE"""),56000.0)</f>
        <v>56000</v>
      </c>
      <c r="F440" s="1">
        <f>IFERROR(__xludf.DUMMYFUNCTION("""COMPUTED_VALUE"""),5748.0)</f>
        <v>5748</v>
      </c>
    </row>
    <row r="441">
      <c r="A441" s="2">
        <f>IFERROR(__xludf.DUMMYFUNCTION("""COMPUTED_VALUE"""),41558.645833333336)</f>
        <v>41558.64583</v>
      </c>
      <c r="B441" s="1">
        <f>IFERROR(__xludf.DUMMYFUNCTION("""COMPUTED_VALUE"""),56300.0)</f>
        <v>56300</v>
      </c>
      <c r="C441" s="1">
        <f>IFERROR(__xludf.DUMMYFUNCTION("""COMPUTED_VALUE"""),57000.0)</f>
        <v>57000</v>
      </c>
      <c r="D441" s="1">
        <f>IFERROR(__xludf.DUMMYFUNCTION("""COMPUTED_VALUE"""),56000.0)</f>
        <v>56000</v>
      </c>
      <c r="E441" s="1">
        <f>IFERROR(__xludf.DUMMYFUNCTION("""COMPUTED_VALUE"""),56800.0)</f>
        <v>56800</v>
      </c>
      <c r="F441" s="1">
        <f>IFERROR(__xludf.DUMMYFUNCTION("""COMPUTED_VALUE"""),5171.0)</f>
        <v>5171</v>
      </c>
    </row>
    <row r="442">
      <c r="A442" s="2">
        <f>IFERROR(__xludf.DUMMYFUNCTION("""COMPUTED_VALUE"""),41561.645833333336)</f>
        <v>41561.64583</v>
      </c>
      <c r="B442" s="1">
        <f>IFERROR(__xludf.DUMMYFUNCTION("""COMPUTED_VALUE"""),56800.0)</f>
        <v>56800</v>
      </c>
      <c r="C442" s="1">
        <f>IFERROR(__xludf.DUMMYFUNCTION("""COMPUTED_VALUE"""),57000.0)</f>
        <v>57000</v>
      </c>
      <c r="D442" s="1">
        <f>IFERROR(__xludf.DUMMYFUNCTION("""COMPUTED_VALUE"""),55800.0)</f>
        <v>55800</v>
      </c>
      <c r="E442" s="1">
        <f>IFERROR(__xludf.DUMMYFUNCTION("""COMPUTED_VALUE"""),56200.0)</f>
        <v>56200</v>
      </c>
      <c r="F442" s="1">
        <f>IFERROR(__xludf.DUMMYFUNCTION("""COMPUTED_VALUE"""),7529.0)</f>
        <v>7529</v>
      </c>
    </row>
    <row r="443">
      <c r="A443" s="2">
        <f>IFERROR(__xludf.DUMMYFUNCTION("""COMPUTED_VALUE"""),41562.645833333336)</f>
        <v>41562.64583</v>
      </c>
      <c r="B443" s="1">
        <f>IFERROR(__xludf.DUMMYFUNCTION("""COMPUTED_VALUE"""),56400.0)</f>
        <v>56400</v>
      </c>
      <c r="C443" s="1">
        <f>IFERROR(__xludf.DUMMYFUNCTION("""COMPUTED_VALUE"""),56800.0)</f>
        <v>56800</v>
      </c>
      <c r="D443" s="1">
        <f>IFERROR(__xludf.DUMMYFUNCTION("""COMPUTED_VALUE"""),56300.0)</f>
        <v>56300</v>
      </c>
      <c r="E443" s="1">
        <f>IFERROR(__xludf.DUMMYFUNCTION("""COMPUTED_VALUE"""),56300.0)</f>
        <v>56300</v>
      </c>
      <c r="F443" s="1">
        <f>IFERROR(__xludf.DUMMYFUNCTION("""COMPUTED_VALUE"""),1791.0)</f>
        <v>1791</v>
      </c>
    </row>
    <row r="444">
      <c r="A444" s="2">
        <f>IFERROR(__xludf.DUMMYFUNCTION("""COMPUTED_VALUE"""),41563.645833333336)</f>
        <v>41563.64583</v>
      </c>
      <c r="B444" s="1">
        <f>IFERROR(__xludf.DUMMYFUNCTION("""COMPUTED_VALUE"""),56100.0)</f>
        <v>56100</v>
      </c>
      <c r="C444" s="1">
        <f>IFERROR(__xludf.DUMMYFUNCTION("""COMPUTED_VALUE"""),56600.0)</f>
        <v>56600</v>
      </c>
      <c r="D444" s="1">
        <f>IFERROR(__xludf.DUMMYFUNCTION("""COMPUTED_VALUE"""),55900.0)</f>
        <v>55900</v>
      </c>
      <c r="E444" s="1">
        <f>IFERROR(__xludf.DUMMYFUNCTION("""COMPUTED_VALUE"""),56300.0)</f>
        <v>56300</v>
      </c>
      <c r="F444" s="1">
        <f>IFERROR(__xludf.DUMMYFUNCTION("""COMPUTED_VALUE"""),4076.0)</f>
        <v>4076</v>
      </c>
    </row>
    <row r="445">
      <c r="A445" s="2">
        <f>IFERROR(__xludf.DUMMYFUNCTION("""COMPUTED_VALUE"""),41564.645833333336)</f>
        <v>41564.64583</v>
      </c>
      <c r="B445" s="1">
        <f>IFERROR(__xludf.DUMMYFUNCTION("""COMPUTED_VALUE"""),56600.0)</f>
        <v>56600</v>
      </c>
      <c r="C445" s="1">
        <f>IFERROR(__xludf.DUMMYFUNCTION("""COMPUTED_VALUE"""),56700.0)</f>
        <v>56700</v>
      </c>
      <c r="D445" s="1">
        <f>IFERROR(__xludf.DUMMYFUNCTION("""COMPUTED_VALUE"""),55300.0)</f>
        <v>55300</v>
      </c>
      <c r="E445" s="1">
        <f>IFERROR(__xludf.DUMMYFUNCTION("""COMPUTED_VALUE"""),56000.0)</f>
        <v>56000</v>
      </c>
      <c r="F445" s="1">
        <f>IFERROR(__xludf.DUMMYFUNCTION("""COMPUTED_VALUE"""),7923.0)</f>
        <v>7923</v>
      </c>
    </row>
    <row r="446">
      <c r="A446" s="2">
        <f>IFERROR(__xludf.DUMMYFUNCTION("""COMPUTED_VALUE"""),41565.645833333336)</f>
        <v>41565.64583</v>
      </c>
      <c r="B446" s="1">
        <f>IFERROR(__xludf.DUMMYFUNCTION("""COMPUTED_VALUE"""),56000.0)</f>
        <v>56000</v>
      </c>
      <c r="C446" s="1">
        <f>IFERROR(__xludf.DUMMYFUNCTION("""COMPUTED_VALUE"""),56400.0)</f>
        <v>56400</v>
      </c>
      <c r="D446" s="1">
        <f>IFERROR(__xludf.DUMMYFUNCTION("""COMPUTED_VALUE"""),55200.0)</f>
        <v>55200</v>
      </c>
      <c r="E446" s="1">
        <f>IFERROR(__xludf.DUMMYFUNCTION("""COMPUTED_VALUE"""),55500.0)</f>
        <v>55500</v>
      </c>
      <c r="F446" s="1">
        <f>IFERROR(__xludf.DUMMYFUNCTION("""COMPUTED_VALUE"""),9305.0)</f>
        <v>9305</v>
      </c>
    </row>
    <row r="447">
      <c r="A447" s="2">
        <f>IFERROR(__xludf.DUMMYFUNCTION("""COMPUTED_VALUE"""),41568.645833333336)</f>
        <v>41568.64583</v>
      </c>
      <c r="B447" s="1">
        <f>IFERROR(__xludf.DUMMYFUNCTION("""COMPUTED_VALUE"""),55800.0)</f>
        <v>55800</v>
      </c>
      <c r="C447" s="1">
        <f>IFERROR(__xludf.DUMMYFUNCTION("""COMPUTED_VALUE"""),56500.0)</f>
        <v>56500</v>
      </c>
      <c r="D447" s="1">
        <f>IFERROR(__xludf.DUMMYFUNCTION("""COMPUTED_VALUE"""),55700.0)</f>
        <v>55700</v>
      </c>
      <c r="E447" s="1">
        <f>IFERROR(__xludf.DUMMYFUNCTION("""COMPUTED_VALUE"""),56300.0)</f>
        <v>56300</v>
      </c>
      <c r="F447" s="1">
        <f>IFERROR(__xludf.DUMMYFUNCTION("""COMPUTED_VALUE"""),6865.0)</f>
        <v>6865</v>
      </c>
    </row>
    <row r="448">
      <c r="A448" s="2">
        <f>IFERROR(__xludf.DUMMYFUNCTION("""COMPUTED_VALUE"""),41569.645833333336)</f>
        <v>41569.64583</v>
      </c>
      <c r="B448" s="1">
        <f>IFERROR(__xludf.DUMMYFUNCTION("""COMPUTED_VALUE"""),56500.0)</f>
        <v>56500</v>
      </c>
      <c r="C448" s="1">
        <f>IFERROR(__xludf.DUMMYFUNCTION("""COMPUTED_VALUE"""),56500.0)</f>
        <v>56500</v>
      </c>
      <c r="D448" s="1">
        <f>IFERROR(__xludf.DUMMYFUNCTION("""COMPUTED_VALUE"""),55800.0)</f>
        <v>55800</v>
      </c>
      <c r="E448" s="1">
        <f>IFERROR(__xludf.DUMMYFUNCTION("""COMPUTED_VALUE"""),56400.0)</f>
        <v>56400</v>
      </c>
      <c r="F448" s="1">
        <f>IFERROR(__xludf.DUMMYFUNCTION("""COMPUTED_VALUE"""),2651.0)</f>
        <v>2651</v>
      </c>
    </row>
    <row r="449">
      <c r="A449" s="2">
        <f>IFERROR(__xludf.DUMMYFUNCTION("""COMPUTED_VALUE"""),41570.645833333336)</f>
        <v>41570.64583</v>
      </c>
      <c r="B449" s="1">
        <f>IFERROR(__xludf.DUMMYFUNCTION("""COMPUTED_VALUE"""),56500.0)</f>
        <v>56500</v>
      </c>
      <c r="C449" s="1">
        <f>IFERROR(__xludf.DUMMYFUNCTION("""COMPUTED_VALUE"""),56500.0)</f>
        <v>56500</v>
      </c>
      <c r="D449" s="1">
        <f>IFERROR(__xludf.DUMMYFUNCTION("""COMPUTED_VALUE"""),55900.0)</f>
        <v>55900</v>
      </c>
      <c r="E449" s="1">
        <f>IFERROR(__xludf.DUMMYFUNCTION("""COMPUTED_VALUE"""),56300.0)</f>
        <v>56300</v>
      </c>
      <c r="F449" s="1">
        <f>IFERROR(__xludf.DUMMYFUNCTION("""COMPUTED_VALUE"""),9733.0)</f>
        <v>9733</v>
      </c>
    </row>
    <row r="450">
      <c r="A450" s="2">
        <f>IFERROR(__xludf.DUMMYFUNCTION("""COMPUTED_VALUE"""),41571.645833333336)</f>
        <v>41571.64583</v>
      </c>
      <c r="B450" s="1">
        <f>IFERROR(__xludf.DUMMYFUNCTION("""COMPUTED_VALUE"""),56400.0)</f>
        <v>56400</v>
      </c>
      <c r="C450" s="1">
        <f>IFERROR(__xludf.DUMMYFUNCTION("""COMPUTED_VALUE"""),56400.0)</f>
        <v>56400</v>
      </c>
      <c r="D450" s="1">
        <f>IFERROR(__xludf.DUMMYFUNCTION("""COMPUTED_VALUE"""),55300.0)</f>
        <v>55300</v>
      </c>
      <c r="E450" s="1">
        <f>IFERROR(__xludf.DUMMYFUNCTION("""COMPUTED_VALUE"""),55800.0)</f>
        <v>55800</v>
      </c>
      <c r="F450" s="1">
        <f>IFERROR(__xludf.DUMMYFUNCTION("""COMPUTED_VALUE"""),9942.0)</f>
        <v>9942</v>
      </c>
    </row>
    <row r="451">
      <c r="A451" s="2">
        <f>IFERROR(__xludf.DUMMYFUNCTION("""COMPUTED_VALUE"""),41572.645833333336)</f>
        <v>41572.64583</v>
      </c>
      <c r="B451" s="1">
        <f>IFERROR(__xludf.DUMMYFUNCTION("""COMPUTED_VALUE"""),55500.0)</f>
        <v>55500</v>
      </c>
      <c r="C451" s="1">
        <f>IFERROR(__xludf.DUMMYFUNCTION("""COMPUTED_VALUE"""),55800.0)</f>
        <v>55800</v>
      </c>
      <c r="D451" s="1">
        <f>IFERROR(__xludf.DUMMYFUNCTION("""COMPUTED_VALUE"""),54400.0)</f>
        <v>54400</v>
      </c>
      <c r="E451" s="1">
        <f>IFERROR(__xludf.DUMMYFUNCTION("""COMPUTED_VALUE"""),54900.0)</f>
        <v>54900</v>
      </c>
      <c r="F451" s="1">
        <f>IFERROR(__xludf.DUMMYFUNCTION("""COMPUTED_VALUE"""),18272.0)</f>
        <v>18272</v>
      </c>
    </row>
    <row r="452">
      <c r="A452" s="2">
        <f>IFERROR(__xludf.DUMMYFUNCTION("""COMPUTED_VALUE"""),41575.645833333336)</f>
        <v>41575.64583</v>
      </c>
      <c r="B452" s="1">
        <f>IFERROR(__xludf.DUMMYFUNCTION("""COMPUTED_VALUE"""),54600.0)</f>
        <v>54600</v>
      </c>
      <c r="C452" s="1">
        <f>IFERROR(__xludf.DUMMYFUNCTION("""COMPUTED_VALUE"""),55100.0)</f>
        <v>55100</v>
      </c>
      <c r="D452" s="1">
        <f>IFERROR(__xludf.DUMMYFUNCTION("""COMPUTED_VALUE"""),54500.0)</f>
        <v>54500</v>
      </c>
      <c r="E452" s="1">
        <f>IFERROR(__xludf.DUMMYFUNCTION("""COMPUTED_VALUE"""),54800.0)</f>
        <v>54800</v>
      </c>
      <c r="F452" s="1">
        <f>IFERROR(__xludf.DUMMYFUNCTION("""COMPUTED_VALUE"""),4370.0)</f>
        <v>4370</v>
      </c>
    </row>
    <row r="453">
      <c r="A453" s="2">
        <f>IFERROR(__xludf.DUMMYFUNCTION("""COMPUTED_VALUE"""),41576.645833333336)</f>
        <v>41576.64583</v>
      </c>
      <c r="B453" s="1">
        <f>IFERROR(__xludf.DUMMYFUNCTION("""COMPUTED_VALUE"""),54800.0)</f>
        <v>54800</v>
      </c>
      <c r="C453" s="1">
        <f>IFERROR(__xludf.DUMMYFUNCTION("""COMPUTED_VALUE"""),54800.0)</f>
        <v>54800</v>
      </c>
      <c r="D453" s="1">
        <f>IFERROR(__xludf.DUMMYFUNCTION("""COMPUTED_VALUE"""),54200.0)</f>
        <v>54200</v>
      </c>
      <c r="E453" s="1">
        <f>IFERROR(__xludf.DUMMYFUNCTION("""COMPUTED_VALUE"""),54400.0)</f>
        <v>54400</v>
      </c>
      <c r="F453" s="1">
        <f>IFERROR(__xludf.DUMMYFUNCTION("""COMPUTED_VALUE"""),10562.0)</f>
        <v>10562</v>
      </c>
    </row>
    <row r="454">
      <c r="A454" s="2">
        <f>IFERROR(__xludf.DUMMYFUNCTION("""COMPUTED_VALUE"""),41577.645833333336)</f>
        <v>41577.64583</v>
      </c>
      <c r="B454" s="1">
        <f>IFERROR(__xludf.DUMMYFUNCTION("""COMPUTED_VALUE"""),54800.0)</f>
        <v>54800</v>
      </c>
      <c r="C454" s="1">
        <f>IFERROR(__xludf.DUMMYFUNCTION("""COMPUTED_VALUE"""),54800.0)</f>
        <v>54800</v>
      </c>
      <c r="D454" s="1">
        <f>IFERROR(__xludf.DUMMYFUNCTION("""COMPUTED_VALUE"""),54400.0)</f>
        <v>54400</v>
      </c>
      <c r="E454" s="1">
        <f>IFERROR(__xludf.DUMMYFUNCTION("""COMPUTED_VALUE"""),54700.0)</f>
        <v>54700</v>
      </c>
      <c r="F454" s="1">
        <f>IFERROR(__xludf.DUMMYFUNCTION("""COMPUTED_VALUE"""),2557.0)</f>
        <v>2557</v>
      </c>
    </row>
    <row r="455">
      <c r="A455" s="2">
        <f>IFERROR(__xludf.DUMMYFUNCTION("""COMPUTED_VALUE"""),41578.645833333336)</f>
        <v>41578.64583</v>
      </c>
      <c r="B455" s="1">
        <f>IFERROR(__xludf.DUMMYFUNCTION("""COMPUTED_VALUE"""),54800.0)</f>
        <v>54800</v>
      </c>
      <c r="C455" s="1">
        <f>IFERROR(__xludf.DUMMYFUNCTION("""COMPUTED_VALUE"""),55300.0)</f>
        <v>55300</v>
      </c>
      <c r="D455" s="1">
        <f>IFERROR(__xludf.DUMMYFUNCTION("""COMPUTED_VALUE"""),54300.0)</f>
        <v>54300</v>
      </c>
      <c r="E455" s="1">
        <f>IFERROR(__xludf.DUMMYFUNCTION("""COMPUTED_VALUE"""),55000.0)</f>
        <v>55000</v>
      </c>
      <c r="F455" s="1">
        <f>IFERROR(__xludf.DUMMYFUNCTION("""COMPUTED_VALUE"""),3199.0)</f>
        <v>3199</v>
      </c>
    </row>
    <row r="456">
      <c r="A456" s="2">
        <f>IFERROR(__xludf.DUMMYFUNCTION("""COMPUTED_VALUE"""),41579.645833333336)</f>
        <v>41579.64583</v>
      </c>
      <c r="B456" s="1">
        <f>IFERROR(__xludf.DUMMYFUNCTION("""COMPUTED_VALUE"""),55000.0)</f>
        <v>55000</v>
      </c>
      <c r="C456" s="1">
        <f>IFERROR(__xludf.DUMMYFUNCTION("""COMPUTED_VALUE"""),55600.0)</f>
        <v>55600</v>
      </c>
      <c r="D456" s="1">
        <f>IFERROR(__xludf.DUMMYFUNCTION("""COMPUTED_VALUE"""),54500.0)</f>
        <v>54500</v>
      </c>
      <c r="E456" s="1">
        <f>IFERROR(__xludf.DUMMYFUNCTION("""COMPUTED_VALUE"""),55600.0)</f>
        <v>55600</v>
      </c>
      <c r="F456" s="1">
        <f>IFERROR(__xludf.DUMMYFUNCTION("""COMPUTED_VALUE"""),4619.0)</f>
        <v>4619</v>
      </c>
    </row>
    <row r="457">
      <c r="A457" s="2">
        <f>IFERROR(__xludf.DUMMYFUNCTION("""COMPUTED_VALUE"""),41582.645833333336)</f>
        <v>41582.64583</v>
      </c>
      <c r="B457" s="1">
        <f>IFERROR(__xludf.DUMMYFUNCTION("""COMPUTED_VALUE"""),55100.0)</f>
        <v>55100</v>
      </c>
      <c r="C457" s="1">
        <f>IFERROR(__xludf.DUMMYFUNCTION("""COMPUTED_VALUE"""),55500.0)</f>
        <v>55500</v>
      </c>
      <c r="D457" s="1">
        <f>IFERROR(__xludf.DUMMYFUNCTION("""COMPUTED_VALUE"""),54800.0)</f>
        <v>54800</v>
      </c>
      <c r="E457" s="1">
        <f>IFERROR(__xludf.DUMMYFUNCTION("""COMPUTED_VALUE"""),55300.0)</f>
        <v>55300</v>
      </c>
      <c r="F457" s="1">
        <f>IFERROR(__xludf.DUMMYFUNCTION("""COMPUTED_VALUE"""),2343.0)</f>
        <v>2343</v>
      </c>
    </row>
    <row r="458">
      <c r="A458" s="2">
        <f>IFERROR(__xludf.DUMMYFUNCTION("""COMPUTED_VALUE"""),41583.645833333336)</f>
        <v>41583.64583</v>
      </c>
      <c r="B458" s="1">
        <f>IFERROR(__xludf.DUMMYFUNCTION("""COMPUTED_VALUE"""),55500.0)</f>
        <v>55500</v>
      </c>
      <c r="C458" s="1">
        <f>IFERROR(__xludf.DUMMYFUNCTION("""COMPUTED_VALUE"""),55500.0)</f>
        <v>55500</v>
      </c>
      <c r="D458" s="1">
        <f>IFERROR(__xludf.DUMMYFUNCTION("""COMPUTED_VALUE"""),54500.0)</f>
        <v>54500</v>
      </c>
      <c r="E458" s="1">
        <f>IFERROR(__xludf.DUMMYFUNCTION("""COMPUTED_VALUE"""),54900.0)</f>
        <v>54900</v>
      </c>
      <c r="F458" s="1">
        <f>IFERROR(__xludf.DUMMYFUNCTION("""COMPUTED_VALUE"""),3308.0)</f>
        <v>3308</v>
      </c>
    </row>
    <row r="459">
      <c r="A459" s="2">
        <f>IFERROR(__xludf.DUMMYFUNCTION("""COMPUTED_VALUE"""),41584.645833333336)</f>
        <v>41584.64583</v>
      </c>
      <c r="B459" s="1">
        <f>IFERROR(__xludf.DUMMYFUNCTION("""COMPUTED_VALUE"""),55000.0)</f>
        <v>55000</v>
      </c>
      <c r="C459" s="1">
        <f>IFERROR(__xludf.DUMMYFUNCTION("""COMPUTED_VALUE"""),55000.0)</f>
        <v>55000</v>
      </c>
      <c r="D459" s="1">
        <f>IFERROR(__xludf.DUMMYFUNCTION("""COMPUTED_VALUE"""),54200.0)</f>
        <v>54200</v>
      </c>
      <c r="E459" s="1">
        <f>IFERROR(__xludf.DUMMYFUNCTION("""COMPUTED_VALUE"""),54600.0)</f>
        <v>54600</v>
      </c>
      <c r="F459" s="1">
        <f>IFERROR(__xludf.DUMMYFUNCTION("""COMPUTED_VALUE"""),4463.0)</f>
        <v>4463</v>
      </c>
    </row>
    <row r="460">
      <c r="A460" s="2">
        <f>IFERROR(__xludf.DUMMYFUNCTION("""COMPUTED_VALUE"""),41585.645833333336)</f>
        <v>41585.64583</v>
      </c>
      <c r="B460" s="1">
        <f>IFERROR(__xludf.DUMMYFUNCTION("""COMPUTED_VALUE"""),55000.0)</f>
        <v>55000</v>
      </c>
      <c r="C460" s="1">
        <f>IFERROR(__xludf.DUMMYFUNCTION("""COMPUTED_VALUE"""),55000.0)</f>
        <v>55000</v>
      </c>
      <c r="D460" s="1">
        <f>IFERROR(__xludf.DUMMYFUNCTION("""COMPUTED_VALUE"""),54100.0)</f>
        <v>54100</v>
      </c>
      <c r="E460" s="1">
        <f>IFERROR(__xludf.DUMMYFUNCTION("""COMPUTED_VALUE"""),54300.0)</f>
        <v>54300</v>
      </c>
      <c r="F460" s="1">
        <f>IFERROR(__xludf.DUMMYFUNCTION("""COMPUTED_VALUE"""),3232.0)</f>
        <v>3232</v>
      </c>
    </row>
    <row r="461">
      <c r="A461" s="2">
        <f>IFERROR(__xludf.DUMMYFUNCTION("""COMPUTED_VALUE"""),41586.645833333336)</f>
        <v>41586.64583</v>
      </c>
      <c r="B461" s="1">
        <f>IFERROR(__xludf.DUMMYFUNCTION("""COMPUTED_VALUE"""),54500.0)</f>
        <v>54500</v>
      </c>
      <c r="C461" s="1">
        <f>IFERROR(__xludf.DUMMYFUNCTION("""COMPUTED_VALUE"""),54500.0)</f>
        <v>54500</v>
      </c>
      <c r="D461" s="1">
        <f>IFERROR(__xludf.DUMMYFUNCTION("""COMPUTED_VALUE"""),53900.0)</f>
        <v>53900</v>
      </c>
      <c r="E461" s="1">
        <f>IFERROR(__xludf.DUMMYFUNCTION("""COMPUTED_VALUE"""),53900.0)</f>
        <v>53900</v>
      </c>
      <c r="F461" s="1">
        <f>IFERROR(__xludf.DUMMYFUNCTION("""COMPUTED_VALUE"""),5416.0)</f>
        <v>5416</v>
      </c>
    </row>
    <row r="462">
      <c r="A462" s="2">
        <f>IFERROR(__xludf.DUMMYFUNCTION("""COMPUTED_VALUE"""),41589.645833333336)</f>
        <v>41589.64583</v>
      </c>
      <c r="B462" s="1">
        <f>IFERROR(__xludf.DUMMYFUNCTION("""COMPUTED_VALUE"""),53900.0)</f>
        <v>53900</v>
      </c>
      <c r="C462" s="1">
        <f>IFERROR(__xludf.DUMMYFUNCTION("""COMPUTED_VALUE"""),54400.0)</f>
        <v>54400</v>
      </c>
      <c r="D462" s="1">
        <f>IFERROR(__xludf.DUMMYFUNCTION("""COMPUTED_VALUE"""),53700.0)</f>
        <v>53700</v>
      </c>
      <c r="E462" s="1">
        <f>IFERROR(__xludf.DUMMYFUNCTION("""COMPUTED_VALUE"""),54300.0)</f>
        <v>54300</v>
      </c>
      <c r="F462" s="1">
        <f>IFERROR(__xludf.DUMMYFUNCTION("""COMPUTED_VALUE"""),1329.0)</f>
        <v>1329</v>
      </c>
    </row>
    <row r="463">
      <c r="A463" s="2">
        <f>IFERROR(__xludf.DUMMYFUNCTION("""COMPUTED_VALUE"""),41590.645833333336)</f>
        <v>41590.64583</v>
      </c>
      <c r="B463" s="1">
        <f>IFERROR(__xludf.DUMMYFUNCTION("""COMPUTED_VALUE"""),54700.0)</f>
        <v>54700</v>
      </c>
      <c r="C463" s="1">
        <f>IFERROR(__xludf.DUMMYFUNCTION("""COMPUTED_VALUE"""),54700.0)</f>
        <v>54700</v>
      </c>
      <c r="D463" s="1">
        <f>IFERROR(__xludf.DUMMYFUNCTION("""COMPUTED_VALUE"""),54300.0)</f>
        <v>54300</v>
      </c>
      <c r="E463" s="1">
        <f>IFERROR(__xludf.DUMMYFUNCTION("""COMPUTED_VALUE"""),54400.0)</f>
        <v>54400</v>
      </c>
      <c r="F463" s="1">
        <f>IFERROR(__xludf.DUMMYFUNCTION("""COMPUTED_VALUE"""),895.0)</f>
        <v>895</v>
      </c>
    </row>
    <row r="464">
      <c r="A464" s="2">
        <f>IFERROR(__xludf.DUMMYFUNCTION("""COMPUTED_VALUE"""),41591.645833333336)</f>
        <v>41591.64583</v>
      </c>
      <c r="B464" s="1">
        <f>IFERROR(__xludf.DUMMYFUNCTION("""COMPUTED_VALUE"""),54800.0)</f>
        <v>54800</v>
      </c>
      <c r="C464" s="1">
        <f>IFERROR(__xludf.DUMMYFUNCTION("""COMPUTED_VALUE"""),54800.0)</f>
        <v>54800</v>
      </c>
      <c r="D464" s="1">
        <f>IFERROR(__xludf.DUMMYFUNCTION("""COMPUTED_VALUE"""),53400.0)</f>
        <v>53400</v>
      </c>
      <c r="E464" s="1">
        <f>IFERROR(__xludf.DUMMYFUNCTION("""COMPUTED_VALUE"""),53600.0)</f>
        <v>53600</v>
      </c>
      <c r="F464" s="1">
        <f>IFERROR(__xludf.DUMMYFUNCTION("""COMPUTED_VALUE"""),6744.0)</f>
        <v>6744</v>
      </c>
    </row>
    <row r="465">
      <c r="A465" s="2">
        <f>IFERROR(__xludf.DUMMYFUNCTION("""COMPUTED_VALUE"""),41592.645833333336)</f>
        <v>41592.64583</v>
      </c>
      <c r="B465" s="1">
        <f>IFERROR(__xludf.DUMMYFUNCTION("""COMPUTED_VALUE"""),53600.0)</f>
        <v>53600</v>
      </c>
      <c r="C465" s="1">
        <f>IFERROR(__xludf.DUMMYFUNCTION("""COMPUTED_VALUE"""),53700.0)</f>
        <v>53700</v>
      </c>
      <c r="D465" s="1">
        <f>IFERROR(__xludf.DUMMYFUNCTION("""COMPUTED_VALUE"""),52900.0)</f>
        <v>52900</v>
      </c>
      <c r="E465" s="1">
        <f>IFERROR(__xludf.DUMMYFUNCTION("""COMPUTED_VALUE"""),53200.0)</f>
        <v>53200</v>
      </c>
      <c r="F465" s="1">
        <f>IFERROR(__xludf.DUMMYFUNCTION("""COMPUTED_VALUE"""),12297.0)</f>
        <v>12297</v>
      </c>
    </row>
    <row r="466">
      <c r="A466" s="2">
        <f>IFERROR(__xludf.DUMMYFUNCTION("""COMPUTED_VALUE"""),41593.645833333336)</f>
        <v>41593.64583</v>
      </c>
      <c r="B466" s="1">
        <f>IFERROR(__xludf.DUMMYFUNCTION("""COMPUTED_VALUE"""),53300.0)</f>
        <v>53300</v>
      </c>
      <c r="C466" s="1">
        <f>IFERROR(__xludf.DUMMYFUNCTION("""COMPUTED_VALUE"""),53300.0)</f>
        <v>53300</v>
      </c>
      <c r="D466" s="1">
        <f>IFERROR(__xludf.DUMMYFUNCTION("""COMPUTED_VALUE"""),53000.0)</f>
        <v>53000</v>
      </c>
      <c r="E466" s="1">
        <f>IFERROR(__xludf.DUMMYFUNCTION("""COMPUTED_VALUE"""),53200.0)</f>
        <v>53200</v>
      </c>
      <c r="F466" s="1">
        <f>IFERROR(__xludf.DUMMYFUNCTION("""COMPUTED_VALUE"""),11943.0)</f>
        <v>11943</v>
      </c>
    </row>
    <row r="467">
      <c r="A467" s="2">
        <f>IFERROR(__xludf.DUMMYFUNCTION("""COMPUTED_VALUE"""),41596.645833333336)</f>
        <v>41596.64583</v>
      </c>
      <c r="B467" s="1">
        <f>IFERROR(__xludf.DUMMYFUNCTION("""COMPUTED_VALUE"""),52800.0)</f>
        <v>52800</v>
      </c>
      <c r="C467" s="1">
        <f>IFERROR(__xludf.DUMMYFUNCTION("""COMPUTED_VALUE"""),53300.0)</f>
        <v>53300</v>
      </c>
      <c r="D467" s="1">
        <f>IFERROR(__xludf.DUMMYFUNCTION("""COMPUTED_VALUE"""),52800.0)</f>
        <v>52800</v>
      </c>
      <c r="E467" s="1">
        <f>IFERROR(__xludf.DUMMYFUNCTION("""COMPUTED_VALUE"""),53200.0)</f>
        <v>53200</v>
      </c>
      <c r="F467" s="1">
        <f>IFERROR(__xludf.DUMMYFUNCTION("""COMPUTED_VALUE"""),23142.0)</f>
        <v>23142</v>
      </c>
    </row>
    <row r="468">
      <c r="A468" s="2">
        <f>IFERROR(__xludf.DUMMYFUNCTION("""COMPUTED_VALUE"""),41597.645833333336)</f>
        <v>41597.64583</v>
      </c>
      <c r="B468" s="1">
        <f>IFERROR(__xludf.DUMMYFUNCTION("""COMPUTED_VALUE"""),53000.0)</f>
        <v>53000</v>
      </c>
      <c r="C468" s="1">
        <f>IFERROR(__xludf.DUMMYFUNCTION("""COMPUTED_VALUE"""),53200.0)</f>
        <v>53200</v>
      </c>
      <c r="D468" s="1">
        <f>IFERROR(__xludf.DUMMYFUNCTION("""COMPUTED_VALUE"""),52700.0)</f>
        <v>52700</v>
      </c>
      <c r="E468" s="1">
        <f>IFERROR(__xludf.DUMMYFUNCTION("""COMPUTED_VALUE"""),52800.0)</f>
        <v>52800</v>
      </c>
      <c r="F468" s="1">
        <f>IFERROR(__xludf.DUMMYFUNCTION("""COMPUTED_VALUE"""),9500.0)</f>
        <v>9500</v>
      </c>
    </row>
    <row r="469">
      <c r="A469" s="2">
        <f>IFERROR(__xludf.DUMMYFUNCTION("""COMPUTED_VALUE"""),41598.645833333336)</f>
        <v>41598.64583</v>
      </c>
      <c r="B469" s="1">
        <f>IFERROR(__xludf.DUMMYFUNCTION("""COMPUTED_VALUE"""),52800.0)</f>
        <v>52800</v>
      </c>
      <c r="C469" s="1">
        <f>IFERROR(__xludf.DUMMYFUNCTION("""COMPUTED_VALUE"""),53200.0)</f>
        <v>53200</v>
      </c>
      <c r="D469" s="1">
        <f>IFERROR(__xludf.DUMMYFUNCTION("""COMPUTED_VALUE"""),52800.0)</f>
        <v>52800</v>
      </c>
      <c r="E469" s="1">
        <f>IFERROR(__xludf.DUMMYFUNCTION("""COMPUTED_VALUE"""),53200.0)</f>
        <v>53200</v>
      </c>
      <c r="F469" s="1">
        <f>IFERROR(__xludf.DUMMYFUNCTION("""COMPUTED_VALUE"""),2269.0)</f>
        <v>2269</v>
      </c>
    </row>
    <row r="470">
      <c r="A470" s="2">
        <f>IFERROR(__xludf.DUMMYFUNCTION("""COMPUTED_VALUE"""),41599.645833333336)</f>
        <v>41599.64583</v>
      </c>
      <c r="B470" s="1">
        <f>IFERROR(__xludf.DUMMYFUNCTION("""COMPUTED_VALUE"""),53200.0)</f>
        <v>53200</v>
      </c>
      <c r="C470" s="1">
        <f>IFERROR(__xludf.DUMMYFUNCTION("""COMPUTED_VALUE"""),53200.0)</f>
        <v>53200</v>
      </c>
      <c r="D470" s="1">
        <f>IFERROR(__xludf.DUMMYFUNCTION("""COMPUTED_VALUE"""),52600.0)</f>
        <v>52600</v>
      </c>
      <c r="E470" s="1">
        <f>IFERROR(__xludf.DUMMYFUNCTION("""COMPUTED_VALUE"""),52700.0)</f>
        <v>52700</v>
      </c>
      <c r="F470" s="1">
        <f>IFERROR(__xludf.DUMMYFUNCTION("""COMPUTED_VALUE"""),4379.0)</f>
        <v>4379</v>
      </c>
    </row>
    <row r="471">
      <c r="A471" s="2">
        <f>IFERROR(__xludf.DUMMYFUNCTION("""COMPUTED_VALUE"""),41600.645833333336)</f>
        <v>41600.64583</v>
      </c>
      <c r="B471" s="1">
        <f>IFERROR(__xludf.DUMMYFUNCTION("""COMPUTED_VALUE"""),52800.0)</f>
        <v>52800</v>
      </c>
      <c r="C471" s="1">
        <f>IFERROR(__xludf.DUMMYFUNCTION("""COMPUTED_VALUE"""),52800.0)</f>
        <v>52800</v>
      </c>
      <c r="D471" s="1">
        <f>IFERROR(__xludf.DUMMYFUNCTION("""COMPUTED_VALUE"""),52400.0)</f>
        <v>52400</v>
      </c>
      <c r="E471" s="1">
        <f>IFERROR(__xludf.DUMMYFUNCTION("""COMPUTED_VALUE"""),52500.0)</f>
        <v>52500</v>
      </c>
      <c r="F471" s="1">
        <f>IFERROR(__xludf.DUMMYFUNCTION("""COMPUTED_VALUE"""),15473.0)</f>
        <v>15473</v>
      </c>
    </row>
    <row r="472">
      <c r="A472" s="2">
        <f>IFERROR(__xludf.DUMMYFUNCTION("""COMPUTED_VALUE"""),41603.645833333336)</f>
        <v>41603.64583</v>
      </c>
      <c r="B472" s="1">
        <f>IFERROR(__xludf.DUMMYFUNCTION("""COMPUTED_VALUE"""),52600.0)</f>
        <v>52600</v>
      </c>
      <c r="C472" s="1">
        <f>IFERROR(__xludf.DUMMYFUNCTION("""COMPUTED_VALUE"""),52800.0)</f>
        <v>52800</v>
      </c>
      <c r="D472" s="1">
        <f>IFERROR(__xludf.DUMMYFUNCTION("""COMPUTED_VALUE"""),52300.0)</f>
        <v>52300</v>
      </c>
      <c r="E472" s="1">
        <f>IFERROR(__xludf.DUMMYFUNCTION("""COMPUTED_VALUE"""),52800.0)</f>
        <v>52800</v>
      </c>
      <c r="F472" s="1">
        <f>IFERROR(__xludf.DUMMYFUNCTION("""COMPUTED_VALUE"""),3343.0)</f>
        <v>3343</v>
      </c>
    </row>
    <row r="473">
      <c r="A473" s="2">
        <f>IFERROR(__xludf.DUMMYFUNCTION("""COMPUTED_VALUE"""),41604.645833333336)</f>
        <v>41604.64583</v>
      </c>
      <c r="B473" s="1">
        <f>IFERROR(__xludf.DUMMYFUNCTION("""COMPUTED_VALUE"""),52800.0)</f>
        <v>52800</v>
      </c>
      <c r="C473" s="1">
        <f>IFERROR(__xludf.DUMMYFUNCTION("""COMPUTED_VALUE"""),52800.0)</f>
        <v>52800</v>
      </c>
      <c r="D473" s="1">
        <f>IFERROR(__xludf.DUMMYFUNCTION("""COMPUTED_VALUE"""),52300.0)</f>
        <v>52300</v>
      </c>
      <c r="E473" s="1">
        <f>IFERROR(__xludf.DUMMYFUNCTION("""COMPUTED_VALUE"""),52700.0)</f>
        <v>52700</v>
      </c>
      <c r="F473" s="1">
        <f>IFERROR(__xludf.DUMMYFUNCTION("""COMPUTED_VALUE"""),4681.0)</f>
        <v>4681</v>
      </c>
    </row>
    <row r="474">
      <c r="A474" s="2">
        <f>IFERROR(__xludf.DUMMYFUNCTION("""COMPUTED_VALUE"""),41605.645833333336)</f>
        <v>41605.64583</v>
      </c>
      <c r="B474" s="1">
        <f>IFERROR(__xludf.DUMMYFUNCTION("""COMPUTED_VALUE"""),52600.0)</f>
        <v>52600</v>
      </c>
      <c r="C474" s="1">
        <f>IFERROR(__xludf.DUMMYFUNCTION("""COMPUTED_VALUE"""),52700.0)</f>
        <v>52700</v>
      </c>
      <c r="D474" s="1">
        <f>IFERROR(__xludf.DUMMYFUNCTION("""COMPUTED_VALUE"""),52100.0)</f>
        <v>52100</v>
      </c>
      <c r="E474" s="1">
        <f>IFERROR(__xludf.DUMMYFUNCTION("""COMPUTED_VALUE"""),52700.0)</f>
        <v>52700</v>
      </c>
      <c r="F474" s="1">
        <f>IFERROR(__xludf.DUMMYFUNCTION("""COMPUTED_VALUE"""),24585.0)</f>
        <v>24585</v>
      </c>
    </row>
    <row r="475">
      <c r="A475" s="2">
        <f>IFERROR(__xludf.DUMMYFUNCTION("""COMPUTED_VALUE"""),41606.645833333336)</f>
        <v>41606.64583</v>
      </c>
      <c r="B475" s="1">
        <f>IFERROR(__xludf.DUMMYFUNCTION("""COMPUTED_VALUE"""),52600.0)</f>
        <v>52600</v>
      </c>
      <c r="C475" s="1">
        <f>IFERROR(__xludf.DUMMYFUNCTION("""COMPUTED_VALUE"""),53100.0)</f>
        <v>53100</v>
      </c>
      <c r="D475" s="1">
        <f>IFERROR(__xludf.DUMMYFUNCTION("""COMPUTED_VALUE"""),52500.0)</f>
        <v>52500</v>
      </c>
      <c r="E475" s="1">
        <f>IFERROR(__xludf.DUMMYFUNCTION("""COMPUTED_VALUE"""),53100.0)</f>
        <v>53100</v>
      </c>
      <c r="F475" s="1">
        <f>IFERROR(__xludf.DUMMYFUNCTION("""COMPUTED_VALUE"""),2497.0)</f>
        <v>2497</v>
      </c>
    </row>
    <row r="476">
      <c r="A476" s="2">
        <f>IFERROR(__xludf.DUMMYFUNCTION("""COMPUTED_VALUE"""),41607.645833333336)</f>
        <v>41607.64583</v>
      </c>
      <c r="B476" s="1">
        <f>IFERROR(__xludf.DUMMYFUNCTION("""COMPUTED_VALUE"""),53200.0)</f>
        <v>53200</v>
      </c>
      <c r="C476" s="1">
        <f>IFERROR(__xludf.DUMMYFUNCTION("""COMPUTED_VALUE"""),53300.0)</f>
        <v>53300</v>
      </c>
      <c r="D476" s="1">
        <f>IFERROR(__xludf.DUMMYFUNCTION("""COMPUTED_VALUE"""),52800.0)</f>
        <v>52800</v>
      </c>
      <c r="E476" s="1">
        <f>IFERROR(__xludf.DUMMYFUNCTION("""COMPUTED_VALUE"""),53200.0)</f>
        <v>53200</v>
      </c>
      <c r="F476" s="1">
        <f>IFERROR(__xludf.DUMMYFUNCTION("""COMPUTED_VALUE"""),1729.0)</f>
        <v>1729</v>
      </c>
    </row>
    <row r="477">
      <c r="A477" s="2">
        <f>IFERROR(__xludf.DUMMYFUNCTION("""COMPUTED_VALUE"""),41610.645833333336)</f>
        <v>41610.64583</v>
      </c>
      <c r="B477" s="1">
        <f>IFERROR(__xludf.DUMMYFUNCTION("""COMPUTED_VALUE"""),53300.0)</f>
        <v>53300</v>
      </c>
      <c r="C477" s="1">
        <f>IFERROR(__xludf.DUMMYFUNCTION("""COMPUTED_VALUE"""),53300.0)</f>
        <v>53300</v>
      </c>
      <c r="D477" s="1">
        <f>IFERROR(__xludf.DUMMYFUNCTION("""COMPUTED_VALUE"""),52800.0)</f>
        <v>52800</v>
      </c>
      <c r="E477" s="1">
        <f>IFERROR(__xludf.DUMMYFUNCTION("""COMPUTED_VALUE"""),53000.0)</f>
        <v>53000</v>
      </c>
      <c r="F477" s="1">
        <f>IFERROR(__xludf.DUMMYFUNCTION("""COMPUTED_VALUE"""),2224.0)</f>
        <v>2224</v>
      </c>
    </row>
    <row r="478">
      <c r="A478" s="2">
        <f>IFERROR(__xludf.DUMMYFUNCTION("""COMPUTED_VALUE"""),41611.645833333336)</f>
        <v>41611.64583</v>
      </c>
      <c r="B478" s="1">
        <f>IFERROR(__xludf.DUMMYFUNCTION("""COMPUTED_VALUE"""),53100.0)</f>
        <v>53100</v>
      </c>
      <c r="C478" s="1">
        <f>IFERROR(__xludf.DUMMYFUNCTION("""COMPUTED_VALUE"""),53100.0)</f>
        <v>53100</v>
      </c>
      <c r="D478" s="1">
        <f>IFERROR(__xludf.DUMMYFUNCTION("""COMPUTED_VALUE"""),52600.0)</f>
        <v>52600</v>
      </c>
      <c r="E478" s="1">
        <f>IFERROR(__xludf.DUMMYFUNCTION("""COMPUTED_VALUE"""),52600.0)</f>
        <v>52600</v>
      </c>
      <c r="F478" s="1">
        <f>IFERROR(__xludf.DUMMYFUNCTION("""COMPUTED_VALUE"""),3149.0)</f>
        <v>3149</v>
      </c>
    </row>
    <row r="479">
      <c r="A479" s="2">
        <f>IFERROR(__xludf.DUMMYFUNCTION("""COMPUTED_VALUE"""),41612.645833333336)</f>
        <v>41612.64583</v>
      </c>
      <c r="B479" s="1">
        <f>IFERROR(__xludf.DUMMYFUNCTION("""COMPUTED_VALUE"""),52600.0)</f>
        <v>52600</v>
      </c>
      <c r="C479" s="1">
        <f>IFERROR(__xludf.DUMMYFUNCTION("""COMPUTED_VALUE"""),52800.0)</f>
        <v>52800</v>
      </c>
      <c r="D479" s="1">
        <f>IFERROR(__xludf.DUMMYFUNCTION("""COMPUTED_VALUE"""),52400.0)</f>
        <v>52400</v>
      </c>
      <c r="E479" s="1">
        <f>IFERROR(__xludf.DUMMYFUNCTION("""COMPUTED_VALUE"""),52700.0)</f>
        <v>52700</v>
      </c>
      <c r="F479" s="1">
        <f>IFERROR(__xludf.DUMMYFUNCTION("""COMPUTED_VALUE"""),2019.0)</f>
        <v>2019</v>
      </c>
    </row>
    <row r="480">
      <c r="A480" s="2">
        <f>IFERROR(__xludf.DUMMYFUNCTION("""COMPUTED_VALUE"""),41613.645833333336)</f>
        <v>41613.64583</v>
      </c>
      <c r="B480" s="1">
        <f>IFERROR(__xludf.DUMMYFUNCTION("""COMPUTED_VALUE"""),52700.0)</f>
        <v>52700</v>
      </c>
      <c r="C480" s="1">
        <f>IFERROR(__xludf.DUMMYFUNCTION("""COMPUTED_VALUE"""),52900.0)</f>
        <v>52900</v>
      </c>
      <c r="D480" s="1">
        <f>IFERROR(__xludf.DUMMYFUNCTION("""COMPUTED_VALUE"""),52600.0)</f>
        <v>52600</v>
      </c>
      <c r="E480" s="1">
        <f>IFERROR(__xludf.DUMMYFUNCTION("""COMPUTED_VALUE"""),52700.0)</f>
        <v>52700</v>
      </c>
      <c r="F480" s="1">
        <f>IFERROR(__xludf.DUMMYFUNCTION("""COMPUTED_VALUE"""),1271.0)</f>
        <v>1271</v>
      </c>
    </row>
    <row r="481">
      <c r="A481" s="2">
        <f>IFERROR(__xludf.DUMMYFUNCTION("""COMPUTED_VALUE"""),41614.645833333336)</f>
        <v>41614.64583</v>
      </c>
      <c r="B481" s="1">
        <f>IFERROR(__xludf.DUMMYFUNCTION("""COMPUTED_VALUE"""),52700.0)</f>
        <v>52700</v>
      </c>
      <c r="C481" s="1">
        <f>IFERROR(__xludf.DUMMYFUNCTION("""COMPUTED_VALUE"""),53000.0)</f>
        <v>53000</v>
      </c>
      <c r="D481" s="1">
        <f>IFERROR(__xludf.DUMMYFUNCTION("""COMPUTED_VALUE"""),52600.0)</f>
        <v>52600</v>
      </c>
      <c r="E481" s="1">
        <f>IFERROR(__xludf.DUMMYFUNCTION("""COMPUTED_VALUE"""),53000.0)</f>
        <v>53000</v>
      </c>
      <c r="F481" s="1">
        <f>IFERROR(__xludf.DUMMYFUNCTION("""COMPUTED_VALUE"""),3530.0)</f>
        <v>3530</v>
      </c>
    </row>
    <row r="482">
      <c r="A482" s="2">
        <f>IFERROR(__xludf.DUMMYFUNCTION("""COMPUTED_VALUE"""),41617.645833333336)</f>
        <v>41617.64583</v>
      </c>
      <c r="B482" s="1">
        <f>IFERROR(__xludf.DUMMYFUNCTION("""COMPUTED_VALUE"""),52900.0)</f>
        <v>52900</v>
      </c>
      <c r="C482" s="1">
        <f>IFERROR(__xludf.DUMMYFUNCTION("""COMPUTED_VALUE"""),53000.0)</f>
        <v>53000</v>
      </c>
      <c r="D482" s="1">
        <f>IFERROR(__xludf.DUMMYFUNCTION("""COMPUTED_VALUE"""),52800.0)</f>
        <v>52800</v>
      </c>
      <c r="E482" s="1">
        <f>IFERROR(__xludf.DUMMYFUNCTION("""COMPUTED_VALUE"""),53000.0)</f>
        <v>53000</v>
      </c>
      <c r="F482" s="1">
        <f>IFERROR(__xludf.DUMMYFUNCTION("""COMPUTED_VALUE"""),3370.0)</f>
        <v>3370</v>
      </c>
    </row>
    <row r="483">
      <c r="A483" s="2">
        <f>IFERROR(__xludf.DUMMYFUNCTION("""COMPUTED_VALUE"""),41618.645833333336)</f>
        <v>41618.64583</v>
      </c>
      <c r="B483" s="1">
        <f>IFERROR(__xludf.DUMMYFUNCTION("""COMPUTED_VALUE"""),53000.0)</f>
        <v>53000</v>
      </c>
      <c r="C483" s="1">
        <f>IFERROR(__xludf.DUMMYFUNCTION("""COMPUTED_VALUE"""),53000.0)</f>
        <v>53000</v>
      </c>
      <c r="D483" s="1">
        <f>IFERROR(__xludf.DUMMYFUNCTION("""COMPUTED_VALUE"""),52900.0)</f>
        <v>52900</v>
      </c>
      <c r="E483" s="1">
        <f>IFERROR(__xludf.DUMMYFUNCTION("""COMPUTED_VALUE"""),53000.0)</f>
        <v>53000</v>
      </c>
      <c r="F483" s="1">
        <f>IFERROR(__xludf.DUMMYFUNCTION("""COMPUTED_VALUE"""),3028.0)</f>
        <v>3028</v>
      </c>
    </row>
    <row r="484">
      <c r="A484" s="2">
        <f>IFERROR(__xludf.DUMMYFUNCTION("""COMPUTED_VALUE"""),41619.645833333336)</f>
        <v>41619.64583</v>
      </c>
      <c r="B484" s="1">
        <f>IFERROR(__xludf.DUMMYFUNCTION("""COMPUTED_VALUE"""),53000.0)</f>
        <v>53000</v>
      </c>
      <c r="C484" s="1">
        <f>IFERROR(__xludf.DUMMYFUNCTION("""COMPUTED_VALUE"""),53200.0)</f>
        <v>53200</v>
      </c>
      <c r="D484" s="1">
        <f>IFERROR(__xludf.DUMMYFUNCTION("""COMPUTED_VALUE"""),52900.0)</f>
        <v>52900</v>
      </c>
      <c r="E484" s="1">
        <f>IFERROR(__xludf.DUMMYFUNCTION("""COMPUTED_VALUE"""),53200.0)</f>
        <v>53200</v>
      </c>
      <c r="F484" s="1">
        <f>IFERROR(__xludf.DUMMYFUNCTION("""COMPUTED_VALUE"""),4486.0)</f>
        <v>4486</v>
      </c>
    </row>
    <row r="485">
      <c r="A485" s="2">
        <f>IFERROR(__xludf.DUMMYFUNCTION("""COMPUTED_VALUE"""),41620.645833333336)</f>
        <v>41620.64583</v>
      </c>
      <c r="B485" s="1">
        <f>IFERROR(__xludf.DUMMYFUNCTION("""COMPUTED_VALUE"""),53200.0)</f>
        <v>53200</v>
      </c>
      <c r="C485" s="1">
        <f>IFERROR(__xludf.DUMMYFUNCTION("""COMPUTED_VALUE"""),53900.0)</f>
        <v>53900</v>
      </c>
      <c r="D485" s="1">
        <f>IFERROR(__xludf.DUMMYFUNCTION("""COMPUTED_VALUE"""),53200.0)</f>
        <v>53200</v>
      </c>
      <c r="E485" s="1">
        <f>IFERROR(__xludf.DUMMYFUNCTION("""COMPUTED_VALUE"""),53900.0)</f>
        <v>53900</v>
      </c>
      <c r="F485" s="1">
        <f>IFERROR(__xludf.DUMMYFUNCTION("""COMPUTED_VALUE"""),4978.0)</f>
        <v>4978</v>
      </c>
    </row>
    <row r="486">
      <c r="A486" s="2">
        <f>IFERROR(__xludf.DUMMYFUNCTION("""COMPUTED_VALUE"""),41621.645833333336)</f>
        <v>41621.64583</v>
      </c>
      <c r="B486" s="1">
        <f>IFERROR(__xludf.DUMMYFUNCTION("""COMPUTED_VALUE"""),53700.0)</f>
        <v>53700</v>
      </c>
      <c r="C486" s="1">
        <f>IFERROR(__xludf.DUMMYFUNCTION("""COMPUTED_VALUE"""),54200.0)</f>
        <v>54200</v>
      </c>
      <c r="D486" s="1">
        <f>IFERROR(__xludf.DUMMYFUNCTION("""COMPUTED_VALUE"""),53400.0)</f>
        <v>53400</v>
      </c>
      <c r="E486" s="1">
        <f>IFERROR(__xludf.DUMMYFUNCTION("""COMPUTED_VALUE"""),54200.0)</f>
        <v>54200</v>
      </c>
      <c r="F486" s="1">
        <f>IFERROR(__xludf.DUMMYFUNCTION("""COMPUTED_VALUE"""),3461.0)</f>
        <v>3461</v>
      </c>
    </row>
    <row r="487">
      <c r="A487" s="2">
        <f>IFERROR(__xludf.DUMMYFUNCTION("""COMPUTED_VALUE"""),41624.645833333336)</f>
        <v>41624.64583</v>
      </c>
      <c r="B487" s="1">
        <f>IFERROR(__xludf.DUMMYFUNCTION("""COMPUTED_VALUE"""),54200.0)</f>
        <v>54200</v>
      </c>
      <c r="C487" s="1">
        <f>IFERROR(__xludf.DUMMYFUNCTION("""COMPUTED_VALUE"""),54200.0)</f>
        <v>54200</v>
      </c>
      <c r="D487" s="1">
        <f>IFERROR(__xludf.DUMMYFUNCTION("""COMPUTED_VALUE"""),53900.0)</f>
        <v>53900</v>
      </c>
      <c r="E487" s="1">
        <f>IFERROR(__xludf.DUMMYFUNCTION("""COMPUTED_VALUE"""),54000.0)</f>
        <v>54000</v>
      </c>
      <c r="F487" s="1">
        <f>IFERROR(__xludf.DUMMYFUNCTION("""COMPUTED_VALUE"""),3892.0)</f>
        <v>3892</v>
      </c>
    </row>
    <row r="488">
      <c r="A488" s="2">
        <f>IFERROR(__xludf.DUMMYFUNCTION("""COMPUTED_VALUE"""),41625.645833333336)</f>
        <v>41625.64583</v>
      </c>
      <c r="B488" s="1">
        <f>IFERROR(__xludf.DUMMYFUNCTION("""COMPUTED_VALUE"""),54000.0)</f>
        <v>54000</v>
      </c>
      <c r="C488" s="1">
        <f>IFERROR(__xludf.DUMMYFUNCTION("""COMPUTED_VALUE"""),54000.0)</f>
        <v>54000</v>
      </c>
      <c r="D488" s="1">
        <f>IFERROR(__xludf.DUMMYFUNCTION("""COMPUTED_VALUE"""),53500.0)</f>
        <v>53500</v>
      </c>
      <c r="E488" s="1">
        <f>IFERROR(__xludf.DUMMYFUNCTION("""COMPUTED_VALUE"""),53600.0)</f>
        <v>53600</v>
      </c>
      <c r="F488" s="1">
        <f>IFERROR(__xludf.DUMMYFUNCTION("""COMPUTED_VALUE"""),1975.0)</f>
        <v>1975</v>
      </c>
    </row>
    <row r="489">
      <c r="A489" s="2">
        <f>IFERROR(__xludf.DUMMYFUNCTION("""COMPUTED_VALUE"""),41626.645833333336)</f>
        <v>41626.64583</v>
      </c>
      <c r="B489" s="1">
        <f>IFERROR(__xludf.DUMMYFUNCTION("""COMPUTED_VALUE"""),53400.0)</f>
        <v>53400</v>
      </c>
      <c r="C489" s="1">
        <f>IFERROR(__xludf.DUMMYFUNCTION("""COMPUTED_VALUE"""),53500.0)</f>
        <v>53500</v>
      </c>
      <c r="D489" s="1">
        <f>IFERROR(__xludf.DUMMYFUNCTION("""COMPUTED_VALUE"""),53100.0)</f>
        <v>53100</v>
      </c>
      <c r="E489" s="1">
        <f>IFERROR(__xludf.DUMMYFUNCTION("""COMPUTED_VALUE"""),53100.0)</f>
        <v>53100</v>
      </c>
      <c r="F489" s="1">
        <f>IFERROR(__xludf.DUMMYFUNCTION("""COMPUTED_VALUE"""),3145.0)</f>
        <v>3145</v>
      </c>
    </row>
    <row r="490">
      <c r="A490" s="2">
        <f>IFERROR(__xludf.DUMMYFUNCTION("""COMPUTED_VALUE"""),41627.645833333336)</f>
        <v>41627.64583</v>
      </c>
      <c r="B490" s="1">
        <f>IFERROR(__xludf.DUMMYFUNCTION("""COMPUTED_VALUE"""),53400.0)</f>
        <v>53400</v>
      </c>
      <c r="C490" s="1">
        <f>IFERROR(__xludf.DUMMYFUNCTION("""COMPUTED_VALUE"""),53600.0)</f>
        <v>53600</v>
      </c>
      <c r="D490" s="1">
        <f>IFERROR(__xludf.DUMMYFUNCTION("""COMPUTED_VALUE"""),53000.0)</f>
        <v>53000</v>
      </c>
      <c r="E490" s="1">
        <f>IFERROR(__xludf.DUMMYFUNCTION("""COMPUTED_VALUE"""),53400.0)</f>
        <v>53400</v>
      </c>
      <c r="F490" s="1">
        <f>IFERROR(__xludf.DUMMYFUNCTION("""COMPUTED_VALUE"""),3757.0)</f>
        <v>3757</v>
      </c>
    </row>
    <row r="491">
      <c r="A491" s="2">
        <f>IFERROR(__xludf.DUMMYFUNCTION("""COMPUTED_VALUE"""),41628.645833333336)</f>
        <v>41628.64583</v>
      </c>
      <c r="B491" s="1">
        <f>IFERROR(__xludf.DUMMYFUNCTION("""COMPUTED_VALUE"""),53300.0)</f>
        <v>53300</v>
      </c>
      <c r="C491" s="1">
        <f>IFERROR(__xludf.DUMMYFUNCTION("""COMPUTED_VALUE"""),53700.0)</f>
        <v>53700</v>
      </c>
      <c r="D491" s="1">
        <f>IFERROR(__xludf.DUMMYFUNCTION("""COMPUTED_VALUE"""),53000.0)</f>
        <v>53000</v>
      </c>
      <c r="E491" s="1">
        <f>IFERROR(__xludf.DUMMYFUNCTION("""COMPUTED_VALUE"""),53700.0)</f>
        <v>53700</v>
      </c>
      <c r="F491" s="1">
        <f>IFERROR(__xludf.DUMMYFUNCTION("""COMPUTED_VALUE"""),4168.0)</f>
        <v>4168</v>
      </c>
    </row>
    <row r="492">
      <c r="A492" s="2">
        <f>IFERROR(__xludf.DUMMYFUNCTION("""COMPUTED_VALUE"""),41631.645833333336)</f>
        <v>41631.64583</v>
      </c>
      <c r="B492" s="1">
        <f>IFERROR(__xludf.DUMMYFUNCTION("""COMPUTED_VALUE"""),53700.0)</f>
        <v>53700</v>
      </c>
      <c r="C492" s="1">
        <f>IFERROR(__xludf.DUMMYFUNCTION("""COMPUTED_VALUE"""),53900.0)</f>
        <v>53900</v>
      </c>
      <c r="D492" s="1">
        <f>IFERROR(__xludf.DUMMYFUNCTION("""COMPUTED_VALUE"""),53300.0)</f>
        <v>53300</v>
      </c>
      <c r="E492" s="1">
        <f>IFERROR(__xludf.DUMMYFUNCTION("""COMPUTED_VALUE"""),53700.0)</f>
        <v>53700</v>
      </c>
      <c r="F492" s="1">
        <f>IFERROR(__xludf.DUMMYFUNCTION("""COMPUTED_VALUE"""),3228.0)</f>
        <v>3228</v>
      </c>
    </row>
    <row r="493">
      <c r="A493" s="2">
        <f>IFERROR(__xludf.DUMMYFUNCTION("""COMPUTED_VALUE"""),41632.645833333336)</f>
        <v>41632.64583</v>
      </c>
      <c r="B493" s="1">
        <f>IFERROR(__xludf.DUMMYFUNCTION("""COMPUTED_VALUE"""),53900.0)</f>
        <v>53900</v>
      </c>
      <c r="C493" s="1">
        <f>IFERROR(__xludf.DUMMYFUNCTION("""COMPUTED_VALUE"""),54100.0)</f>
        <v>54100</v>
      </c>
      <c r="D493" s="1">
        <f>IFERROR(__xludf.DUMMYFUNCTION("""COMPUTED_VALUE"""),53500.0)</f>
        <v>53500</v>
      </c>
      <c r="E493" s="1">
        <f>IFERROR(__xludf.DUMMYFUNCTION("""COMPUTED_VALUE"""),53800.0)</f>
        <v>53800</v>
      </c>
      <c r="F493" s="1">
        <f>IFERROR(__xludf.DUMMYFUNCTION("""COMPUTED_VALUE"""),8032.0)</f>
        <v>8032</v>
      </c>
    </row>
    <row r="494">
      <c r="A494" s="2">
        <f>IFERROR(__xludf.DUMMYFUNCTION("""COMPUTED_VALUE"""),41634.645833333336)</f>
        <v>41634.64583</v>
      </c>
      <c r="B494" s="1">
        <f>IFERROR(__xludf.DUMMYFUNCTION("""COMPUTED_VALUE"""),54000.0)</f>
        <v>54000</v>
      </c>
      <c r="C494" s="1">
        <f>IFERROR(__xludf.DUMMYFUNCTION("""COMPUTED_VALUE"""),54200.0)</f>
        <v>54200</v>
      </c>
      <c r="D494" s="1">
        <f>IFERROR(__xludf.DUMMYFUNCTION("""COMPUTED_VALUE"""),53500.0)</f>
        <v>53500</v>
      </c>
      <c r="E494" s="1">
        <f>IFERROR(__xludf.DUMMYFUNCTION("""COMPUTED_VALUE"""),54100.0)</f>
        <v>54100</v>
      </c>
      <c r="F494" s="1">
        <f>IFERROR(__xludf.DUMMYFUNCTION("""COMPUTED_VALUE"""),7490.0)</f>
        <v>7490</v>
      </c>
    </row>
    <row r="495">
      <c r="A495" s="2">
        <f>IFERROR(__xludf.DUMMYFUNCTION("""COMPUTED_VALUE"""),41635.645833333336)</f>
        <v>41635.64583</v>
      </c>
      <c r="B495" s="1">
        <f>IFERROR(__xludf.DUMMYFUNCTION("""COMPUTED_VALUE"""),53100.0)</f>
        <v>53100</v>
      </c>
      <c r="C495" s="1">
        <f>IFERROR(__xludf.DUMMYFUNCTION("""COMPUTED_VALUE"""),53100.0)</f>
        <v>53100</v>
      </c>
      <c r="D495" s="1">
        <f>IFERROR(__xludf.DUMMYFUNCTION("""COMPUTED_VALUE"""),52100.0)</f>
        <v>52100</v>
      </c>
      <c r="E495" s="1">
        <f>IFERROR(__xludf.DUMMYFUNCTION("""COMPUTED_VALUE"""),52700.0)</f>
        <v>52700</v>
      </c>
      <c r="F495" s="1">
        <f>IFERROR(__xludf.DUMMYFUNCTION("""COMPUTED_VALUE"""),3885.0)</f>
        <v>3885</v>
      </c>
    </row>
    <row r="496">
      <c r="A496" s="2">
        <f>IFERROR(__xludf.DUMMYFUNCTION("""COMPUTED_VALUE"""),41638.645833333336)</f>
        <v>41638.64583</v>
      </c>
      <c r="B496" s="1">
        <f>IFERROR(__xludf.DUMMYFUNCTION("""COMPUTED_VALUE"""),52500.0)</f>
        <v>52500</v>
      </c>
      <c r="C496" s="1">
        <f>IFERROR(__xludf.DUMMYFUNCTION("""COMPUTED_VALUE"""),53000.0)</f>
        <v>53000</v>
      </c>
      <c r="D496" s="1">
        <f>IFERROR(__xludf.DUMMYFUNCTION("""COMPUTED_VALUE"""),52000.0)</f>
        <v>52000</v>
      </c>
      <c r="E496" s="1">
        <f>IFERROR(__xludf.DUMMYFUNCTION("""COMPUTED_VALUE"""),52700.0)</f>
        <v>52700</v>
      </c>
      <c r="F496" s="1">
        <f>IFERROR(__xludf.DUMMYFUNCTION("""COMPUTED_VALUE"""),6008.0)</f>
        <v>6008</v>
      </c>
    </row>
    <row r="497">
      <c r="A497" s="2">
        <f>IFERROR(__xludf.DUMMYFUNCTION("""COMPUTED_VALUE"""),41641.645833333336)</f>
        <v>41641.64583</v>
      </c>
      <c r="B497" s="1">
        <f>IFERROR(__xludf.DUMMYFUNCTION("""COMPUTED_VALUE"""),52300.0)</f>
        <v>52300</v>
      </c>
      <c r="C497" s="1">
        <f>IFERROR(__xludf.DUMMYFUNCTION("""COMPUTED_VALUE"""),52700.0)</f>
        <v>52700</v>
      </c>
      <c r="D497" s="1">
        <f>IFERROR(__xludf.DUMMYFUNCTION("""COMPUTED_VALUE"""),51900.0)</f>
        <v>51900</v>
      </c>
      <c r="E497" s="1">
        <f>IFERROR(__xludf.DUMMYFUNCTION("""COMPUTED_VALUE"""),51900.0)</f>
        <v>51900</v>
      </c>
      <c r="F497" s="1">
        <f>IFERROR(__xludf.DUMMYFUNCTION("""COMPUTED_VALUE"""),3843.0)</f>
        <v>3843</v>
      </c>
    </row>
    <row r="498">
      <c r="A498" s="2">
        <f>IFERROR(__xludf.DUMMYFUNCTION("""COMPUTED_VALUE"""),41642.645833333336)</f>
        <v>41642.64583</v>
      </c>
      <c r="B498" s="1">
        <f>IFERROR(__xludf.DUMMYFUNCTION("""COMPUTED_VALUE"""),52000.0)</f>
        <v>52000</v>
      </c>
      <c r="C498" s="1">
        <f>IFERROR(__xludf.DUMMYFUNCTION("""COMPUTED_VALUE"""),52000.0)</f>
        <v>52000</v>
      </c>
      <c r="D498" s="1">
        <f>IFERROR(__xludf.DUMMYFUNCTION("""COMPUTED_VALUE"""),51100.0)</f>
        <v>51100</v>
      </c>
      <c r="E498" s="1">
        <f>IFERROR(__xludf.DUMMYFUNCTION("""COMPUTED_VALUE"""),51200.0)</f>
        <v>51200</v>
      </c>
      <c r="F498" s="1">
        <f>IFERROR(__xludf.DUMMYFUNCTION("""COMPUTED_VALUE"""),4001.0)</f>
        <v>4001</v>
      </c>
    </row>
    <row r="499">
      <c r="A499" s="2">
        <f>IFERROR(__xludf.DUMMYFUNCTION("""COMPUTED_VALUE"""),41645.645833333336)</f>
        <v>41645.64583</v>
      </c>
      <c r="B499" s="1">
        <f>IFERROR(__xludf.DUMMYFUNCTION("""COMPUTED_VALUE"""),51200.0)</f>
        <v>51200</v>
      </c>
      <c r="C499" s="1">
        <f>IFERROR(__xludf.DUMMYFUNCTION("""COMPUTED_VALUE"""),51200.0)</f>
        <v>51200</v>
      </c>
      <c r="D499" s="1">
        <f>IFERROR(__xludf.DUMMYFUNCTION("""COMPUTED_VALUE"""),50500.0)</f>
        <v>50500</v>
      </c>
      <c r="E499" s="1">
        <f>IFERROR(__xludf.DUMMYFUNCTION("""COMPUTED_VALUE"""),50600.0)</f>
        <v>50600</v>
      </c>
      <c r="F499" s="1">
        <f>IFERROR(__xludf.DUMMYFUNCTION("""COMPUTED_VALUE"""),1859.0)</f>
        <v>1859</v>
      </c>
    </row>
    <row r="500">
      <c r="A500" s="2">
        <f>IFERROR(__xludf.DUMMYFUNCTION("""COMPUTED_VALUE"""),41646.645833333336)</f>
        <v>41646.64583</v>
      </c>
      <c r="B500" s="1">
        <f>IFERROR(__xludf.DUMMYFUNCTION("""COMPUTED_VALUE"""),50600.0)</f>
        <v>50600</v>
      </c>
      <c r="C500" s="1">
        <f>IFERROR(__xludf.DUMMYFUNCTION("""COMPUTED_VALUE"""),50800.0)</f>
        <v>50800</v>
      </c>
      <c r="D500" s="1">
        <f>IFERROR(__xludf.DUMMYFUNCTION("""COMPUTED_VALUE"""),50300.0)</f>
        <v>50300</v>
      </c>
      <c r="E500" s="1">
        <f>IFERROR(__xludf.DUMMYFUNCTION("""COMPUTED_VALUE"""),50500.0)</f>
        <v>50500</v>
      </c>
      <c r="F500" s="1">
        <f>IFERROR(__xludf.DUMMYFUNCTION("""COMPUTED_VALUE"""),741.0)</f>
        <v>741</v>
      </c>
    </row>
    <row r="501">
      <c r="A501" s="2">
        <f>IFERROR(__xludf.DUMMYFUNCTION("""COMPUTED_VALUE"""),41647.645833333336)</f>
        <v>41647.64583</v>
      </c>
      <c r="B501" s="1">
        <f>IFERROR(__xludf.DUMMYFUNCTION("""COMPUTED_VALUE"""),50600.0)</f>
        <v>50600</v>
      </c>
      <c r="C501" s="1">
        <f>IFERROR(__xludf.DUMMYFUNCTION("""COMPUTED_VALUE"""),50800.0)</f>
        <v>50800</v>
      </c>
      <c r="D501" s="1">
        <f>IFERROR(__xludf.DUMMYFUNCTION("""COMPUTED_VALUE"""),50000.0)</f>
        <v>50000</v>
      </c>
      <c r="E501" s="1">
        <f>IFERROR(__xludf.DUMMYFUNCTION("""COMPUTED_VALUE"""),50200.0)</f>
        <v>50200</v>
      </c>
      <c r="F501" s="1">
        <f>IFERROR(__xludf.DUMMYFUNCTION("""COMPUTED_VALUE"""),3893.0)</f>
        <v>3893</v>
      </c>
    </row>
    <row r="502">
      <c r="A502" s="2">
        <f>IFERROR(__xludf.DUMMYFUNCTION("""COMPUTED_VALUE"""),41648.645833333336)</f>
        <v>41648.64583</v>
      </c>
      <c r="B502" s="1">
        <f>IFERROR(__xludf.DUMMYFUNCTION("""COMPUTED_VALUE"""),50200.0)</f>
        <v>50200</v>
      </c>
      <c r="C502" s="1">
        <f>IFERROR(__xludf.DUMMYFUNCTION("""COMPUTED_VALUE"""),50400.0)</f>
        <v>50400</v>
      </c>
      <c r="D502" s="1">
        <f>IFERROR(__xludf.DUMMYFUNCTION("""COMPUTED_VALUE"""),49900.0)</f>
        <v>49900</v>
      </c>
      <c r="E502" s="1">
        <f>IFERROR(__xludf.DUMMYFUNCTION("""COMPUTED_VALUE"""),49950.0)</f>
        <v>49950</v>
      </c>
      <c r="F502" s="1">
        <f>IFERROR(__xludf.DUMMYFUNCTION("""COMPUTED_VALUE"""),3141.0)</f>
        <v>3141</v>
      </c>
    </row>
    <row r="503">
      <c r="A503" s="2">
        <f>IFERROR(__xludf.DUMMYFUNCTION("""COMPUTED_VALUE"""),41649.645833333336)</f>
        <v>41649.64583</v>
      </c>
      <c r="B503" s="1">
        <f>IFERROR(__xludf.DUMMYFUNCTION("""COMPUTED_VALUE"""),50200.0)</f>
        <v>50200</v>
      </c>
      <c r="C503" s="1">
        <f>IFERROR(__xludf.DUMMYFUNCTION("""COMPUTED_VALUE"""),52400.0)</f>
        <v>52400</v>
      </c>
      <c r="D503" s="1">
        <f>IFERROR(__xludf.DUMMYFUNCTION("""COMPUTED_VALUE"""),50200.0)</f>
        <v>50200</v>
      </c>
      <c r="E503" s="1">
        <f>IFERROR(__xludf.DUMMYFUNCTION("""COMPUTED_VALUE"""),51800.0)</f>
        <v>51800</v>
      </c>
      <c r="F503" s="1">
        <f>IFERROR(__xludf.DUMMYFUNCTION("""COMPUTED_VALUE"""),9145.0)</f>
        <v>9145</v>
      </c>
    </row>
    <row r="504">
      <c r="A504" s="2">
        <f>IFERROR(__xludf.DUMMYFUNCTION("""COMPUTED_VALUE"""),41652.645833333336)</f>
        <v>41652.64583</v>
      </c>
      <c r="B504" s="1">
        <f>IFERROR(__xludf.DUMMYFUNCTION("""COMPUTED_VALUE"""),51800.0)</f>
        <v>51800</v>
      </c>
      <c r="C504" s="1">
        <f>IFERROR(__xludf.DUMMYFUNCTION("""COMPUTED_VALUE"""),53400.0)</f>
        <v>53400</v>
      </c>
      <c r="D504" s="1">
        <f>IFERROR(__xludf.DUMMYFUNCTION("""COMPUTED_VALUE"""),51500.0)</f>
        <v>51500</v>
      </c>
      <c r="E504" s="1">
        <f>IFERROR(__xludf.DUMMYFUNCTION("""COMPUTED_VALUE"""),53200.0)</f>
        <v>53200</v>
      </c>
      <c r="F504" s="1">
        <f>IFERROR(__xludf.DUMMYFUNCTION("""COMPUTED_VALUE"""),17907.0)</f>
        <v>17907</v>
      </c>
    </row>
    <row r="505">
      <c r="A505" s="2">
        <f>IFERROR(__xludf.DUMMYFUNCTION("""COMPUTED_VALUE"""),41653.645833333336)</f>
        <v>41653.64583</v>
      </c>
      <c r="B505" s="1">
        <f>IFERROR(__xludf.DUMMYFUNCTION("""COMPUTED_VALUE"""),53000.0)</f>
        <v>53000</v>
      </c>
      <c r="C505" s="1">
        <f>IFERROR(__xludf.DUMMYFUNCTION("""COMPUTED_VALUE"""),53500.0)</f>
        <v>53500</v>
      </c>
      <c r="D505" s="1">
        <f>IFERROR(__xludf.DUMMYFUNCTION("""COMPUTED_VALUE"""),52400.0)</f>
        <v>52400</v>
      </c>
      <c r="E505" s="1">
        <f>IFERROR(__xludf.DUMMYFUNCTION("""COMPUTED_VALUE"""),53200.0)</f>
        <v>53200</v>
      </c>
      <c r="F505" s="1">
        <f>IFERROR(__xludf.DUMMYFUNCTION("""COMPUTED_VALUE"""),9541.0)</f>
        <v>9541</v>
      </c>
    </row>
    <row r="506">
      <c r="A506" s="2">
        <f>IFERROR(__xludf.DUMMYFUNCTION("""COMPUTED_VALUE"""),41654.645833333336)</f>
        <v>41654.64583</v>
      </c>
      <c r="B506" s="1">
        <f>IFERROR(__xludf.DUMMYFUNCTION("""COMPUTED_VALUE"""),53200.0)</f>
        <v>53200</v>
      </c>
      <c r="C506" s="1">
        <f>IFERROR(__xludf.DUMMYFUNCTION("""COMPUTED_VALUE"""),53300.0)</f>
        <v>53300</v>
      </c>
      <c r="D506" s="1">
        <f>IFERROR(__xludf.DUMMYFUNCTION("""COMPUTED_VALUE"""),52600.0)</f>
        <v>52600</v>
      </c>
      <c r="E506" s="1">
        <f>IFERROR(__xludf.DUMMYFUNCTION("""COMPUTED_VALUE"""),53200.0)</f>
        <v>53200</v>
      </c>
      <c r="F506" s="1">
        <f>IFERROR(__xludf.DUMMYFUNCTION("""COMPUTED_VALUE"""),4658.0)</f>
        <v>4658</v>
      </c>
    </row>
    <row r="507">
      <c r="A507" s="2">
        <f>IFERROR(__xludf.DUMMYFUNCTION("""COMPUTED_VALUE"""),41655.645833333336)</f>
        <v>41655.64583</v>
      </c>
      <c r="B507" s="1">
        <f>IFERROR(__xludf.DUMMYFUNCTION("""COMPUTED_VALUE"""),53000.0)</f>
        <v>53000</v>
      </c>
      <c r="C507" s="1">
        <f>IFERROR(__xludf.DUMMYFUNCTION("""COMPUTED_VALUE"""),53500.0)</f>
        <v>53500</v>
      </c>
      <c r="D507" s="1">
        <f>IFERROR(__xludf.DUMMYFUNCTION("""COMPUTED_VALUE"""),52600.0)</f>
        <v>52600</v>
      </c>
      <c r="E507" s="1">
        <f>IFERROR(__xludf.DUMMYFUNCTION("""COMPUTED_VALUE"""),53400.0)</f>
        <v>53400</v>
      </c>
      <c r="F507" s="1">
        <f>IFERROR(__xludf.DUMMYFUNCTION("""COMPUTED_VALUE"""),6337.0)</f>
        <v>6337</v>
      </c>
    </row>
    <row r="508">
      <c r="A508" s="2">
        <f>IFERROR(__xludf.DUMMYFUNCTION("""COMPUTED_VALUE"""),41656.645833333336)</f>
        <v>41656.64583</v>
      </c>
      <c r="B508" s="1">
        <f>IFERROR(__xludf.DUMMYFUNCTION("""COMPUTED_VALUE"""),53200.0)</f>
        <v>53200</v>
      </c>
      <c r="C508" s="1">
        <f>IFERROR(__xludf.DUMMYFUNCTION("""COMPUTED_VALUE"""),53500.0)</f>
        <v>53500</v>
      </c>
      <c r="D508" s="1">
        <f>IFERROR(__xludf.DUMMYFUNCTION("""COMPUTED_VALUE"""),52600.0)</f>
        <v>52600</v>
      </c>
      <c r="E508" s="1">
        <f>IFERROR(__xludf.DUMMYFUNCTION("""COMPUTED_VALUE"""),53300.0)</f>
        <v>53300</v>
      </c>
      <c r="F508" s="1">
        <f>IFERROR(__xludf.DUMMYFUNCTION("""COMPUTED_VALUE"""),5854.0)</f>
        <v>5854</v>
      </c>
    </row>
    <row r="509">
      <c r="A509" s="2">
        <f>IFERROR(__xludf.DUMMYFUNCTION("""COMPUTED_VALUE"""),41659.645833333336)</f>
        <v>41659.64583</v>
      </c>
      <c r="B509" s="1">
        <f>IFERROR(__xludf.DUMMYFUNCTION("""COMPUTED_VALUE"""),53500.0)</f>
        <v>53500</v>
      </c>
      <c r="C509" s="1">
        <f>IFERROR(__xludf.DUMMYFUNCTION("""COMPUTED_VALUE"""),53500.0)</f>
        <v>53500</v>
      </c>
      <c r="D509" s="1">
        <f>IFERROR(__xludf.DUMMYFUNCTION("""COMPUTED_VALUE"""),53000.0)</f>
        <v>53000</v>
      </c>
      <c r="E509" s="1">
        <f>IFERROR(__xludf.DUMMYFUNCTION("""COMPUTED_VALUE"""),53000.0)</f>
        <v>53000</v>
      </c>
      <c r="F509" s="1">
        <f>IFERROR(__xludf.DUMMYFUNCTION("""COMPUTED_VALUE"""),1294.0)</f>
        <v>1294</v>
      </c>
    </row>
    <row r="510">
      <c r="A510" s="2">
        <f>IFERROR(__xludf.DUMMYFUNCTION("""COMPUTED_VALUE"""),41660.645833333336)</f>
        <v>41660.64583</v>
      </c>
      <c r="B510" s="1">
        <f>IFERROR(__xludf.DUMMYFUNCTION("""COMPUTED_VALUE"""),53000.0)</f>
        <v>53000</v>
      </c>
      <c r="C510" s="1">
        <f>IFERROR(__xludf.DUMMYFUNCTION("""COMPUTED_VALUE"""),53300.0)</f>
        <v>53300</v>
      </c>
      <c r="D510" s="1">
        <f>IFERROR(__xludf.DUMMYFUNCTION("""COMPUTED_VALUE"""),52600.0)</f>
        <v>52600</v>
      </c>
      <c r="E510" s="1">
        <f>IFERROR(__xludf.DUMMYFUNCTION("""COMPUTED_VALUE"""),53000.0)</f>
        <v>53000</v>
      </c>
      <c r="F510" s="1">
        <f>IFERROR(__xludf.DUMMYFUNCTION("""COMPUTED_VALUE"""),1948.0)</f>
        <v>1948</v>
      </c>
    </row>
    <row r="511">
      <c r="A511" s="2">
        <f>IFERROR(__xludf.DUMMYFUNCTION("""COMPUTED_VALUE"""),41661.645833333336)</f>
        <v>41661.64583</v>
      </c>
      <c r="B511" s="1">
        <f>IFERROR(__xludf.DUMMYFUNCTION("""COMPUTED_VALUE"""),53300.0)</f>
        <v>53300</v>
      </c>
      <c r="C511" s="1">
        <f>IFERROR(__xludf.DUMMYFUNCTION("""COMPUTED_VALUE"""),53400.0)</f>
        <v>53400</v>
      </c>
      <c r="D511" s="1">
        <f>IFERROR(__xludf.DUMMYFUNCTION("""COMPUTED_VALUE"""),53000.0)</f>
        <v>53000</v>
      </c>
      <c r="E511" s="1">
        <f>IFERROR(__xludf.DUMMYFUNCTION("""COMPUTED_VALUE"""),53300.0)</f>
        <v>53300</v>
      </c>
      <c r="F511" s="1">
        <f>IFERROR(__xludf.DUMMYFUNCTION("""COMPUTED_VALUE"""),2276.0)</f>
        <v>2276</v>
      </c>
    </row>
    <row r="512">
      <c r="A512" s="2">
        <f>IFERROR(__xludf.DUMMYFUNCTION("""COMPUTED_VALUE"""),41662.645833333336)</f>
        <v>41662.64583</v>
      </c>
      <c r="B512" s="1">
        <f>IFERROR(__xludf.DUMMYFUNCTION("""COMPUTED_VALUE"""),53100.0)</f>
        <v>53100</v>
      </c>
      <c r="C512" s="1">
        <f>IFERROR(__xludf.DUMMYFUNCTION("""COMPUTED_VALUE"""),53400.0)</f>
        <v>53400</v>
      </c>
      <c r="D512" s="1">
        <f>IFERROR(__xludf.DUMMYFUNCTION("""COMPUTED_VALUE"""),52900.0)</f>
        <v>52900</v>
      </c>
      <c r="E512" s="1">
        <f>IFERROR(__xludf.DUMMYFUNCTION("""COMPUTED_VALUE"""),53400.0)</f>
        <v>53400</v>
      </c>
      <c r="F512" s="1">
        <f>IFERROR(__xludf.DUMMYFUNCTION("""COMPUTED_VALUE"""),1234.0)</f>
        <v>1234</v>
      </c>
    </row>
    <row r="513">
      <c r="A513" s="2">
        <f>IFERROR(__xludf.DUMMYFUNCTION("""COMPUTED_VALUE"""),41663.645833333336)</f>
        <v>41663.64583</v>
      </c>
      <c r="B513" s="1">
        <f>IFERROR(__xludf.DUMMYFUNCTION("""COMPUTED_VALUE"""),53500.0)</f>
        <v>53500</v>
      </c>
      <c r="C513" s="1">
        <f>IFERROR(__xludf.DUMMYFUNCTION("""COMPUTED_VALUE"""),53500.0)</f>
        <v>53500</v>
      </c>
      <c r="D513" s="1">
        <f>IFERROR(__xludf.DUMMYFUNCTION("""COMPUTED_VALUE"""),52800.0)</f>
        <v>52800</v>
      </c>
      <c r="E513" s="1">
        <f>IFERROR(__xludf.DUMMYFUNCTION("""COMPUTED_VALUE"""),53000.0)</f>
        <v>53000</v>
      </c>
      <c r="F513" s="1">
        <f>IFERROR(__xludf.DUMMYFUNCTION("""COMPUTED_VALUE"""),1356.0)</f>
        <v>1356</v>
      </c>
    </row>
    <row r="514">
      <c r="A514" s="2">
        <f>IFERROR(__xludf.DUMMYFUNCTION("""COMPUTED_VALUE"""),41666.645833333336)</f>
        <v>41666.64583</v>
      </c>
      <c r="B514" s="1">
        <f>IFERROR(__xludf.DUMMYFUNCTION("""COMPUTED_VALUE"""),53000.0)</f>
        <v>53000</v>
      </c>
      <c r="C514" s="1">
        <f>IFERROR(__xludf.DUMMYFUNCTION("""COMPUTED_VALUE"""),53000.0)</f>
        <v>53000</v>
      </c>
      <c r="D514" s="1">
        <f>IFERROR(__xludf.DUMMYFUNCTION("""COMPUTED_VALUE"""),51900.0)</f>
        <v>51900</v>
      </c>
      <c r="E514" s="1">
        <f>IFERROR(__xludf.DUMMYFUNCTION("""COMPUTED_VALUE"""),52200.0)</f>
        <v>52200</v>
      </c>
      <c r="F514" s="1">
        <f>IFERROR(__xludf.DUMMYFUNCTION("""COMPUTED_VALUE"""),1930.0)</f>
        <v>1930</v>
      </c>
    </row>
    <row r="515">
      <c r="A515" s="2">
        <f>IFERROR(__xludf.DUMMYFUNCTION("""COMPUTED_VALUE"""),41667.645833333336)</f>
        <v>41667.64583</v>
      </c>
      <c r="B515" s="1">
        <f>IFERROR(__xludf.DUMMYFUNCTION("""COMPUTED_VALUE"""),51700.0)</f>
        <v>51700</v>
      </c>
      <c r="C515" s="1">
        <f>IFERROR(__xludf.DUMMYFUNCTION("""COMPUTED_VALUE"""),51700.0)</f>
        <v>51700</v>
      </c>
      <c r="D515" s="1">
        <f>IFERROR(__xludf.DUMMYFUNCTION("""COMPUTED_VALUE"""),50500.0)</f>
        <v>50500</v>
      </c>
      <c r="E515" s="1">
        <f>IFERROR(__xludf.DUMMYFUNCTION("""COMPUTED_VALUE"""),51500.0)</f>
        <v>51500</v>
      </c>
      <c r="F515" s="1">
        <f>IFERROR(__xludf.DUMMYFUNCTION("""COMPUTED_VALUE"""),11980.0)</f>
        <v>11980</v>
      </c>
    </row>
    <row r="516">
      <c r="A516" s="2">
        <f>IFERROR(__xludf.DUMMYFUNCTION("""COMPUTED_VALUE"""),41668.645833333336)</f>
        <v>41668.64583</v>
      </c>
      <c r="B516" s="1">
        <f>IFERROR(__xludf.DUMMYFUNCTION("""COMPUTED_VALUE"""),51600.0)</f>
        <v>51600</v>
      </c>
      <c r="C516" s="1">
        <f>IFERROR(__xludf.DUMMYFUNCTION("""COMPUTED_VALUE"""),52100.0)</f>
        <v>52100</v>
      </c>
      <c r="D516" s="1">
        <f>IFERROR(__xludf.DUMMYFUNCTION("""COMPUTED_VALUE"""),51100.0)</f>
        <v>51100</v>
      </c>
      <c r="E516" s="1">
        <f>IFERROR(__xludf.DUMMYFUNCTION("""COMPUTED_VALUE"""),51800.0)</f>
        <v>51800</v>
      </c>
      <c r="F516" s="1">
        <f>IFERROR(__xludf.DUMMYFUNCTION("""COMPUTED_VALUE"""),17007.0)</f>
        <v>17007</v>
      </c>
    </row>
    <row r="517">
      <c r="A517" s="2">
        <f>IFERROR(__xludf.DUMMYFUNCTION("""COMPUTED_VALUE"""),41673.645833333336)</f>
        <v>41673.64583</v>
      </c>
      <c r="B517" s="1">
        <f>IFERROR(__xludf.DUMMYFUNCTION("""COMPUTED_VALUE"""),51800.0)</f>
        <v>51800</v>
      </c>
      <c r="C517" s="1">
        <f>IFERROR(__xludf.DUMMYFUNCTION("""COMPUTED_VALUE"""),52400.0)</f>
        <v>52400</v>
      </c>
      <c r="D517" s="1">
        <f>IFERROR(__xludf.DUMMYFUNCTION("""COMPUTED_VALUE"""),51300.0)</f>
        <v>51300</v>
      </c>
      <c r="E517" s="1">
        <f>IFERROR(__xludf.DUMMYFUNCTION("""COMPUTED_VALUE"""),52400.0)</f>
        <v>52400</v>
      </c>
      <c r="F517" s="1">
        <f>IFERROR(__xludf.DUMMYFUNCTION("""COMPUTED_VALUE"""),4751.0)</f>
        <v>4751</v>
      </c>
    </row>
    <row r="518">
      <c r="A518" s="2">
        <f>IFERROR(__xludf.DUMMYFUNCTION("""COMPUTED_VALUE"""),41674.645833333336)</f>
        <v>41674.64583</v>
      </c>
      <c r="B518" s="1">
        <f>IFERROR(__xludf.DUMMYFUNCTION("""COMPUTED_VALUE"""),52300.0)</f>
        <v>52300</v>
      </c>
      <c r="C518" s="1">
        <f>IFERROR(__xludf.DUMMYFUNCTION("""COMPUTED_VALUE"""),52300.0)</f>
        <v>52300</v>
      </c>
      <c r="D518" s="1">
        <f>IFERROR(__xludf.DUMMYFUNCTION("""COMPUTED_VALUE"""),51200.0)</f>
        <v>51200</v>
      </c>
      <c r="E518" s="1">
        <f>IFERROR(__xludf.DUMMYFUNCTION("""COMPUTED_VALUE"""),51900.0)</f>
        <v>51900</v>
      </c>
      <c r="F518" s="1">
        <f>IFERROR(__xludf.DUMMYFUNCTION("""COMPUTED_VALUE"""),13873.0)</f>
        <v>13873</v>
      </c>
    </row>
    <row r="519">
      <c r="A519" s="2">
        <f>IFERROR(__xludf.DUMMYFUNCTION("""COMPUTED_VALUE"""),41675.645833333336)</f>
        <v>41675.64583</v>
      </c>
      <c r="B519" s="1">
        <f>IFERROR(__xludf.DUMMYFUNCTION("""COMPUTED_VALUE"""),51900.0)</f>
        <v>51900</v>
      </c>
      <c r="C519" s="1">
        <f>IFERROR(__xludf.DUMMYFUNCTION("""COMPUTED_VALUE"""),52000.0)</f>
        <v>52000</v>
      </c>
      <c r="D519" s="1">
        <f>IFERROR(__xludf.DUMMYFUNCTION("""COMPUTED_VALUE"""),50700.0)</f>
        <v>50700</v>
      </c>
      <c r="E519" s="1">
        <f>IFERROR(__xludf.DUMMYFUNCTION("""COMPUTED_VALUE"""),50700.0)</f>
        <v>50700</v>
      </c>
      <c r="F519" s="1">
        <f>IFERROR(__xludf.DUMMYFUNCTION("""COMPUTED_VALUE"""),4590.0)</f>
        <v>4590</v>
      </c>
    </row>
    <row r="520">
      <c r="A520" s="2">
        <f>IFERROR(__xludf.DUMMYFUNCTION("""COMPUTED_VALUE"""),41676.645833333336)</f>
        <v>41676.64583</v>
      </c>
      <c r="B520" s="1">
        <f>IFERROR(__xludf.DUMMYFUNCTION("""COMPUTED_VALUE"""),51000.0)</f>
        <v>51000</v>
      </c>
      <c r="C520" s="1">
        <f>IFERROR(__xludf.DUMMYFUNCTION("""COMPUTED_VALUE"""),51800.0)</f>
        <v>51800</v>
      </c>
      <c r="D520" s="1">
        <f>IFERROR(__xludf.DUMMYFUNCTION("""COMPUTED_VALUE"""),50700.0)</f>
        <v>50700</v>
      </c>
      <c r="E520" s="1">
        <f>IFERROR(__xludf.DUMMYFUNCTION("""COMPUTED_VALUE"""),51300.0)</f>
        <v>51300</v>
      </c>
      <c r="F520" s="1">
        <f>IFERROR(__xludf.DUMMYFUNCTION("""COMPUTED_VALUE"""),3965.0)</f>
        <v>3965</v>
      </c>
    </row>
    <row r="521">
      <c r="A521" s="2">
        <f>IFERROR(__xludf.DUMMYFUNCTION("""COMPUTED_VALUE"""),41677.645833333336)</f>
        <v>41677.64583</v>
      </c>
      <c r="B521" s="1">
        <f>IFERROR(__xludf.DUMMYFUNCTION("""COMPUTED_VALUE"""),51400.0)</f>
        <v>51400</v>
      </c>
      <c r="C521" s="1">
        <f>IFERROR(__xludf.DUMMYFUNCTION("""COMPUTED_VALUE"""),51600.0)</f>
        <v>51600</v>
      </c>
      <c r="D521" s="1">
        <f>IFERROR(__xludf.DUMMYFUNCTION("""COMPUTED_VALUE"""),50900.0)</f>
        <v>50900</v>
      </c>
      <c r="E521" s="1">
        <f>IFERROR(__xludf.DUMMYFUNCTION("""COMPUTED_VALUE"""),51300.0)</f>
        <v>51300</v>
      </c>
      <c r="F521" s="1">
        <f>IFERROR(__xludf.DUMMYFUNCTION("""COMPUTED_VALUE"""),7448.0)</f>
        <v>7448</v>
      </c>
    </row>
    <row r="522">
      <c r="A522" s="2">
        <f>IFERROR(__xludf.DUMMYFUNCTION("""COMPUTED_VALUE"""),41680.645833333336)</f>
        <v>41680.64583</v>
      </c>
      <c r="B522" s="1">
        <f>IFERROR(__xludf.DUMMYFUNCTION("""COMPUTED_VALUE"""),51500.0)</f>
        <v>51500</v>
      </c>
      <c r="C522" s="1">
        <f>IFERROR(__xludf.DUMMYFUNCTION("""COMPUTED_VALUE"""),52100.0)</f>
        <v>52100</v>
      </c>
      <c r="D522" s="1">
        <f>IFERROR(__xludf.DUMMYFUNCTION("""COMPUTED_VALUE"""),51300.0)</f>
        <v>51300</v>
      </c>
      <c r="E522" s="1">
        <f>IFERROR(__xludf.DUMMYFUNCTION("""COMPUTED_VALUE"""),51800.0)</f>
        <v>51800</v>
      </c>
      <c r="F522" s="1">
        <f>IFERROR(__xludf.DUMMYFUNCTION("""COMPUTED_VALUE"""),2655.0)</f>
        <v>2655</v>
      </c>
    </row>
    <row r="523">
      <c r="A523" s="2">
        <f>IFERROR(__xludf.DUMMYFUNCTION("""COMPUTED_VALUE"""),41681.645833333336)</f>
        <v>41681.64583</v>
      </c>
      <c r="B523" s="1">
        <f>IFERROR(__xludf.DUMMYFUNCTION("""COMPUTED_VALUE"""),51800.0)</f>
        <v>51800</v>
      </c>
      <c r="C523" s="1">
        <f>IFERROR(__xludf.DUMMYFUNCTION("""COMPUTED_VALUE"""),52000.0)</f>
        <v>52000</v>
      </c>
      <c r="D523" s="1">
        <f>IFERROR(__xludf.DUMMYFUNCTION("""COMPUTED_VALUE"""),51200.0)</f>
        <v>51200</v>
      </c>
      <c r="E523" s="1">
        <f>IFERROR(__xludf.DUMMYFUNCTION("""COMPUTED_VALUE"""),51900.0)</f>
        <v>51900</v>
      </c>
      <c r="F523" s="1">
        <f>IFERROR(__xludf.DUMMYFUNCTION("""COMPUTED_VALUE"""),3597.0)</f>
        <v>3597</v>
      </c>
    </row>
    <row r="524">
      <c r="A524" s="2">
        <f>IFERROR(__xludf.DUMMYFUNCTION("""COMPUTED_VALUE"""),41682.645833333336)</f>
        <v>41682.64583</v>
      </c>
      <c r="B524" s="1">
        <f>IFERROR(__xludf.DUMMYFUNCTION("""COMPUTED_VALUE"""),51900.0)</f>
        <v>51900</v>
      </c>
      <c r="C524" s="1">
        <f>IFERROR(__xludf.DUMMYFUNCTION("""COMPUTED_VALUE"""),52500.0)</f>
        <v>52500</v>
      </c>
      <c r="D524" s="1">
        <f>IFERROR(__xludf.DUMMYFUNCTION("""COMPUTED_VALUE"""),51900.0)</f>
        <v>51900</v>
      </c>
      <c r="E524" s="1">
        <f>IFERROR(__xludf.DUMMYFUNCTION("""COMPUTED_VALUE"""),52400.0)</f>
        <v>52400</v>
      </c>
      <c r="F524" s="1">
        <f>IFERROR(__xludf.DUMMYFUNCTION("""COMPUTED_VALUE"""),3388.0)</f>
        <v>3388</v>
      </c>
    </row>
    <row r="525">
      <c r="A525" s="2">
        <f>IFERROR(__xludf.DUMMYFUNCTION("""COMPUTED_VALUE"""),41683.645833333336)</f>
        <v>41683.64583</v>
      </c>
      <c r="B525" s="1">
        <f>IFERROR(__xludf.DUMMYFUNCTION("""COMPUTED_VALUE"""),51900.0)</f>
        <v>51900</v>
      </c>
      <c r="C525" s="1">
        <f>IFERROR(__xludf.DUMMYFUNCTION("""COMPUTED_VALUE"""),52500.0)</f>
        <v>52500</v>
      </c>
      <c r="D525" s="1">
        <f>IFERROR(__xludf.DUMMYFUNCTION("""COMPUTED_VALUE"""),51900.0)</f>
        <v>51900</v>
      </c>
      <c r="E525" s="1">
        <f>IFERROR(__xludf.DUMMYFUNCTION("""COMPUTED_VALUE"""),52500.0)</f>
        <v>52500</v>
      </c>
      <c r="F525" s="1">
        <f>IFERROR(__xludf.DUMMYFUNCTION("""COMPUTED_VALUE"""),2666.0)</f>
        <v>2666</v>
      </c>
    </row>
    <row r="526">
      <c r="A526" s="2">
        <f>IFERROR(__xludf.DUMMYFUNCTION("""COMPUTED_VALUE"""),41684.645833333336)</f>
        <v>41684.64583</v>
      </c>
      <c r="B526" s="1">
        <f>IFERROR(__xludf.DUMMYFUNCTION("""COMPUTED_VALUE"""),52500.0)</f>
        <v>52500</v>
      </c>
      <c r="C526" s="1">
        <f>IFERROR(__xludf.DUMMYFUNCTION("""COMPUTED_VALUE"""),52600.0)</f>
        <v>52600</v>
      </c>
      <c r="D526" s="1">
        <f>IFERROR(__xludf.DUMMYFUNCTION("""COMPUTED_VALUE"""),52000.0)</f>
        <v>52000</v>
      </c>
      <c r="E526" s="1">
        <f>IFERROR(__xludf.DUMMYFUNCTION("""COMPUTED_VALUE"""),52600.0)</f>
        <v>52600</v>
      </c>
      <c r="F526" s="1">
        <f>IFERROR(__xludf.DUMMYFUNCTION("""COMPUTED_VALUE"""),1810.0)</f>
        <v>1810</v>
      </c>
    </row>
    <row r="527">
      <c r="A527" s="2">
        <f>IFERROR(__xludf.DUMMYFUNCTION("""COMPUTED_VALUE"""),41687.645833333336)</f>
        <v>41687.64583</v>
      </c>
      <c r="B527" s="1">
        <f>IFERROR(__xludf.DUMMYFUNCTION("""COMPUTED_VALUE"""),52600.0)</f>
        <v>52600</v>
      </c>
      <c r="C527" s="1">
        <f>IFERROR(__xludf.DUMMYFUNCTION("""COMPUTED_VALUE"""),52700.0)</f>
        <v>52700</v>
      </c>
      <c r="D527" s="1">
        <f>IFERROR(__xludf.DUMMYFUNCTION("""COMPUTED_VALUE"""),51600.0)</f>
        <v>51600</v>
      </c>
      <c r="E527" s="1">
        <f>IFERROR(__xludf.DUMMYFUNCTION("""COMPUTED_VALUE"""),52600.0)</f>
        <v>52600</v>
      </c>
      <c r="F527" s="1">
        <f>IFERROR(__xludf.DUMMYFUNCTION("""COMPUTED_VALUE"""),1834.0)</f>
        <v>1834</v>
      </c>
    </row>
    <row r="528">
      <c r="A528" s="2">
        <f>IFERROR(__xludf.DUMMYFUNCTION("""COMPUTED_VALUE"""),41688.645833333336)</f>
        <v>41688.64583</v>
      </c>
      <c r="B528" s="1">
        <f>IFERROR(__xludf.DUMMYFUNCTION("""COMPUTED_VALUE"""),52700.0)</f>
        <v>52700</v>
      </c>
      <c r="C528" s="1">
        <f>IFERROR(__xludf.DUMMYFUNCTION("""COMPUTED_VALUE"""),52700.0)</f>
        <v>52700</v>
      </c>
      <c r="D528" s="1">
        <f>IFERROR(__xludf.DUMMYFUNCTION("""COMPUTED_VALUE"""),51600.0)</f>
        <v>51600</v>
      </c>
      <c r="E528" s="1">
        <f>IFERROR(__xludf.DUMMYFUNCTION("""COMPUTED_VALUE"""),52400.0)</f>
        <v>52400</v>
      </c>
      <c r="F528" s="1">
        <f>IFERROR(__xludf.DUMMYFUNCTION("""COMPUTED_VALUE"""),3111.0)</f>
        <v>3111</v>
      </c>
    </row>
    <row r="529">
      <c r="A529" s="2">
        <f>IFERROR(__xludf.DUMMYFUNCTION("""COMPUTED_VALUE"""),41690.645833333336)</f>
        <v>41690.64583</v>
      </c>
      <c r="B529" s="1">
        <f>IFERROR(__xludf.DUMMYFUNCTION("""COMPUTED_VALUE"""),52500.0)</f>
        <v>52500</v>
      </c>
      <c r="C529" s="1">
        <f>IFERROR(__xludf.DUMMYFUNCTION("""COMPUTED_VALUE"""),52500.0)</f>
        <v>52500</v>
      </c>
      <c r="D529" s="1">
        <f>IFERROR(__xludf.DUMMYFUNCTION("""COMPUTED_VALUE"""),51800.0)</f>
        <v>51800</v>
      </c>
      <c r="E529" s="1">
        <f>IFERROR(__xludf.DUMMYFUNCTION("""COMPUTED_VALUE"""),52000.0)</f>
        <v>52000</v>
      </c>
      <c r="F529" s="1">
        <f>IFERROR(__xludf.DUMMYFUNCTION("""COMPUTED_VALUE"""),1311.0)</f>
        <v>1311</v>
      </c>
    </row>
    <row r="530">
      <c r="A530" s="2">
        <f>IFERROR(__xludf.DUMMYFUNCTION("""COMPUTED_VALUE"""),41691.645833333336)</f>
        <v>41691.64583</v>
      </c>
      <c r="B530" s="1">
        <f>IFERROR(__xludf.DUMMYFUNCTION("""COMPUTED_VALUE"""),52200.0)</f>
        <v>52200</v>
      </c>
      <c r="C530" s="1">
        <f>IFERROR(__xludf.DUMMYFUNCTION("""COMPUTED_VALUE"""),52200.0)</f>
        <v>52200</v>
      </c>
      <c r="D530" s="1">
        <f>IFERROR(__xludf.DUMMYFUNCTION("""COMPUTED_VALUE"""),51100.0)</f>
        <v>51100</v>
      </c>
      <c r="E530" s="1">
        <f>IFERROR(__xludf.DUMMYFUNCTION("""COMPUTED_VALUE"""),51500.0)</f>
        <v>51500</v>
      </c>
      <c r="F530" s="1">
        <f>IFERROR(__xludf.DUMMYFUNCTION("""COMPUTED_VALUE"""),1649.0)</f>
        <v>1649</v>
      </c>
    </row>
    <row r="531">
      <c r="A531" s="2">
        <f>IFERROR(__xludf.DUMMYFUNCTION("""COMPUTED_VALUE"""),41694.645833333336)</f>
        <v>41694.64583</v>
      </c>
      <c r="B531" s="1">
        <f>IFERROR(__xludf.DUMMYFUNCTION("""COMPUTED_VALUE"""),51900.0)</f>
        <v>51900</v>
      </c>
      <c r="C531" s="1">
        <f>IFERROR(__xludf.DUMMYFUNCTION("""COMPUTED_VALUE"""),52000.0)</f>
        <v>52000</v>
      </c>
      <c r="D531" s="1">
        <f>IFERROR(__xludf.DUMMYFUNCTION("""COMPUTED_VALUE"""),50500.0)</f>
        <v>50500</v>
      </c>
      <c r="E531" s="1">
        <f>IFERROR(__xludf.DUMMYFUNCTION("""COMPUTED_VALUE"""),51500.0)</f>
        <v>51500</v>
      </c>
      <c r="F531" s="1">
        <f>IFERROR(__xludf.DUMMYFUNCTION("""COMPUTED_VALUE"""),2323.0)</f>
        <v>2323</v>
      </c>
    </row>
    <row r="532">
      <c r="A532" s="2">
        <f>IFERROR(__xludf.DUMMYFUNCTION("""COMPUTED_VALUE"""),41695.645833333336)</f>
        <v>41695.64583</v>
      </c>
      <c r="B532" s="1">
        <f>IFERROR(__xludf.DUMMYFUNCTION("""COMPUTED_VALUE"""),51500.0)</f>
        <v>51500</v>
      </c>
      <c r="C532" s="1">
        <f>IFERROR(__xludf.DUMMYFUNCTION("""COMPUTED_VALUE"""),51600.0)</f>
        <v>51600</v>
      </c>
      <c r="D532" s="1">
        <f>IFERROR(__xludf.DUMMYFUNCTION("""COMPUTED_VALUE"""),51100.0)</f>
        <v>51100</v>
      </c>
      <c r="E532" s="1">
        <f>IFERROR(__xludf.DUMMYFUNCTION("""COMPUTED_VALUE"""),51300.0)</f>
        <v>51300</v>
      </c>
      <c r="F532" s="1">
        <f>IFERROR(__xludf.DUMMYFUNCTION("""COMPUTED_VALUE"""),1032.0)</f>
        <v>1032</v>
      </c>
    </row>
    <row r="533">
      <c r="A533" s="2">
        <f>IFERROR(__xludf.DUMMYFUNCTION("""COMPUTED_VALUE"""),41696.645833333336)</f>
        <v>41696.64583</v>
      </c>
      <c r="B533" s="1">
        <f>IFERROR(__xludf.DUMMYFUNCTION("""COMPUTED_VALUE"""),51500.0)</f>
        <v>51500</v>
      </c>
      <c r="C533" s="1">
        <f>IFERROR(__xludf.DUMMYFUNCTION("""COMPUTED_VALUE"""),52000.0)</f>
        <v>52000</v>
      </c>
      <c r="D533" s="1">
        <f>IFERROR(__xludf.DUMMYFUNCTION("""COMPUTED_VALUE"""),51200.0)</f>
        <v>51200</v>
      </c>
      <c r="E533" s="1">
        <f>IFERROR(__xludf.DUMMYFUNCTION("""COMPUTED_VALUE"""),51900.0)</f>
        <v>51900</v>
      </c>
      <c r="F533" s="1">
        <f>IFERROR(__xludf.DUMMYFUNCTION("""COMPUTED_VALUE"""),2041.0)</f>
        <v>2041</v>
      </c>
    </row>
    <row r="534">
      <c r="A534" s="2">
        <f>IFERROR(__xludf.DUMMYFUNCTION("""COMPUTED_VALUE"""),41697.645833333336)</f>
        <v>41697.64583</v>
      </c>
      <c r="B534" s="1">
        <f>IFERROR(__xludf.DUMMYFUNCTION("""COMPUTED_VALUE"""),51900.0)</f>
        <v>51900</v>
      </c>
      <c r="C534" s="1">
        <f>IFERROR(__xludf.DUMMYFUNCTION("""COMPUTED_VALUE"""),52300.0)</f>
        <v>52300</v>
      </c>
      <c r="D534" s="1">
        <f>IFERROR(__xludf.DUMMYFUNCTION("""COMPUTED_VALUE"""),51700.0)</f>
        <v>51700</v>
      </c>
      <c r="E534" s="1">
        <f>IFERROR(__xludf.DUMMYFUNCTION("""COMPUTED_VALUE"""),52300.0)</f>
        <v>52300</v>
      </c>
      <c r="F534" s="1">
        <f>IFERROR(__xludf.DUMMYFUNCTION("""COMPUTED_VALUE"""),1891.0)</f>
        <v>1891</v>
      </c>
    </row>
    <row r="535">
      <c r="A535" s="2">
        <f>IFERROR(__xludf.DUMMYFUNCTION("""COMPUTED_VALUE"""),41698.645833333336)</f>
        <v>41698.64583</v>
      </c>
      <c r="B535" s="1">
        <f>IFERROR(__xludf.DUMMYFUNCTION("""COMPUTED_VALUE"""),52300.0)</f>
        <v>52300</v>
      </c>
      <c r="C535" s="1">
        <f>IFERROR(__xludf.DUMMYFUNCTION("""COMPUTED_VALUE"""),52300.0)</f>
        <v>52300</v>
      </c>
      <c r="D535" s="1">
        <f>IFERROR(__xludf.DUMMYFUNCTION("""COMPUTED_VALUE"""),51000.0)</f>
        <v>51000</v>
      </c>
      <c r="E535" s="1">
        <f>IFERROR(__xludf.DUMMYFUNCTION("""COMPUTED_VALUE"""),52300.0)</f>
        <v>52300</v>
      </c>
      <c r="F535" s="1">
        <f>IFERROR(__xludf.DUMMYFUNCTION("""COMPUTED_VALUE"""),2311.0)</f>
        <v>2311</v>
      </c>
    </row>
    <row r="536">
      <c r="A536" s="2">
        <f>IFERROR(__xludf.DUMMYFUNCTION("""COMPUTED_VALUE"""),41701.645833333336)</f>
        <v>41701.64583</v>
      </c>
      <c r="B536" s="1">
        <f>IFERROR(__xludf.DUMMYFUNCTION("""COMPUTED_VALUE"""),51500.0)</f>
        <v>51500</v>
      </c>
      <c r="C536" s="1">
        <f>IFERROR(__xludf.DUMMYFUNCTION("""COMPUTED_VALUE"""),52100.0)</f>
        <v>52100</v>
      </c>
      <c r="D536" s="1">
        <f>IFERROR(__xludf.DUMMYFUNCTION("""COMPUTED_VALUE"""),51000.0)</f>
        <v>51000</v>
      </c>
      <c r="E536" s="1">
        <f>IFERROR(__xludf.DUMMYFUNCTION("""COMPUTED_VALUE"""),51900.0)</f>
        <v>51900</v>
      </c>
      <c r="F536" s="1">
        <f>IFERROR(__xludf.DUMMYFUNCTION("""COMPUTED_VALUE"""),1842.0)</f>
        <v>1842</v>
      </c>
    </row>
    <row r="537">
      <c r="A537" s="2">
        <f>IFERROR(__xludf.DUMMYFUNCTION("""COMPUTED_VALUE"""),41702.645833333336)</f>
        <v>41702.64583</v>
      </c>
      <c r="B537" s="1">
        <f>IFERROR(__xludf.DUMMYFUNCTION("""COMPUTED_VALUE"""),51300.0)</f>
        <v>51300</v>
      </c>
      <c r="C537" s="1">
        <f>IFERROR(__xludf.DUMMYFUNCTION("""COMPUTED_VALUE"""),51800.0)</f>
        <v>51800</v>
      </c>
      <c r="D537" s="1">
        <f>IFERROR(__xludf.DUMMYFUNCTION("""COMPUTED_VALUE"""),50900.0)</f>
        <v>50900</v>
      </c>
      <c r="E537" s="1">
        <f>IFERROR(__xludf.DUMMYFUNCTION("""COMPUTED_VALUE"""),51200.0)</f>
        <v>51200</v>
      </c>
      <c r="F537" s="1">
        <f>IFERROR(__xludf.DUMMYFUNCTION("""COMPUTED_VALUE"""),4156.0)</f>
        <v>4156</v>
      </c>
    </row>
    <row r="538">
      <c r="A538" s="2">
        <f>IFERROR(__xludf.DUMMYFUNCTION("""COMPUTED_VALUE"""),41703.645833333336)</f>
        <v>41703.64583</v>
      </c>
      <c r="B538" s="1">
        <f>IFERROR(__xludf.DUMMYFUNCTION("""COMPUTED_VALUE"""),51400.0)</f>
        <v>51400</v>
      </c>
      <c r="C538" s="1">
        <f>IFERROR(__xludf.DUMMYFUNCTION("""COMPUTED_VALUE"""),51400.0)</f>
        <v>51400</v>
      </c>
      <c r="D538" s="1">
        <f>IFERROR(__xludf.DUMMYFUNCTION("""COMPUTED_VALUE"""),50500.0)</f>
        <v>50500</v>
      </c>
      <c r="E538" s="1">
        <f>IFERROR(__xludf.DUMMYFUNCTION("""COMPUTED_VALUE"""),51000.0)</f>
        <v>51000</v>
      </c>
      <c r="F538" s="1">
        <f>IFERROR(__xludf.DUMMYFUNCTION("""COMPUTED_VALUE"""),6017.0)</f>
        <v>6017</v>
      </c>
    </row>
    <row r="539">
      <c r="A539" s="2">
        <f>IFERROR(__xludf.DUMMYFUNCTION("""COMPUTED_VALUE"""),41704.645833333336)</f>
        <v>41704.64583</v>
      </c>
      <c r="B539" s="1">
        <f>IFERROR(__xludf.DUMMYFUNCTION("""COMPUTED_VALUE"""),51100.0)</f>
        <v>51100</v>
      </c>
      <c r="C539" s="1">
        <f>IFERROR(__xludf.DUMMYFUNCTION("""COMPUTED_VALUE"""),51200.0)</f>
        <v>51200</v>
      </c>
      <c r="D539" s="1">
        <f>IFERROR(__xludf.DUMMYFUNCTION("""COMPUTED_VALUE"""),50400.0)</f>
        <v>50400</v>
      </c>
      <c r="E539" s="1">
        <f>IFERROR(__xludf.DUMMYFUNCTION("""COMPUTED_VALUE"""),50600.0)</f>
        <v>50600</v>
      </c>
      <c r="F539" s="1">
        <f>IFERROR(__xludf.DUMMYFUNCTION("""COMPUTED_VALUE"""),2773.0)</f>
        <v>2773</v>
      </c>
    </row>
    <row r="540">
      <c r="A540" s="2">
        <f>IFERROR(__xludf.DUMMYFUNCTION("""COMPUTED_VALUE"""),41705.645833333336)</f>
        <v>41705.64583</v>
      </c>
      <c r="B540" s="1">
        <f>IFERROR(__xludf.DUMMYFUNCTION("""COMPUTED_VALUE"""),50400.0)</f>
        <v>50400</v>
      </c>
      <c r="C540" s="1">
        <f>IFERROR(__xludf.DUMMYFUNCTION("""COMPUTED_VALUE"""),51000.0)</f>
        <v>51000</v>
      </c>
      <c r="D540" s="1">
        <f>IFERROR(__xludf.DUMMYFUNCTION("""COMPUTED_VALUE"""),50200.0)</f>
        <v>50200</v>
      </c>
      <c r="E540" s="1">
        <f>IFERROR(__xludf.DUMMYFUNCTION("""COMPUTED_VALUE"""),50800.0)</f>
        <v>50800</v>
      </c>
      <c r="F540" s="1">
        <f>IFERROR(__xludf.DUMMYFUNCTION("""COMPUTED_VALUE"""),4786.0)</f>
        <v>4786</v>
      </c>
    </row>
    <row r="541">
      <c r="A541" s="2">
        <f>IFERROR(__xludf.DUMMYFUNCTION("""COMPUTED_VALUE"""),41708.645833333336)</f>
        <v>41708.64583</v>
      </c>
      <c r="B541" s="1">
        <f>IFERROR(__xludf.DUMMYFUNCTION("""COMPUTED_VALUE"""),50800.0)</f>
        <v>50800</v>
      </c>
      <c r="C541" s="1">
        <f>IFERROR(__xludf.DUMMYFUNCTION("""COMPUTED_VALUE"""),50800.0)</f>
        <v>50800</v>
      </c>
      <c r="D541" s="1">
        <f>IFERROR(__xludf.DUMMYFUNCTION("""COMPUTED_VALUE"""),50000.0)</f>
        <v>50000</v>
      </c>
      <c r="E541" s="1">
        <f>IFERROR(__xludf.DUMMYFUNCTION("""COMPUTED_VALUE"""),50200.0)</f>
        <v>50200</v>
      </c>
      <c r="F541" s="1">
        <f>IFERROR(__xludf.DUMMYFUNCTION("""COMPUTED_VALUE"""),3433.0)</f>
        <v>3433</v>
      </c>
    </row>
    <row r="542">
      <c r="A542" s="2">
        <f>IFERROR(__xludf.DUMMYFUNCTION("""COMPUTED_VALUE"""),41709.645833333336)</f>
        <v>41709.64583</v>
      </c>
      <c r="B542" s="1">
        <f>IFERROR(__xludf.DUMMYFUNCTION("""COMPUTED_VALUE"""),50400.0)</f>
        <v>50400</v>
      </c>
      <c r="C542" s="1">
        <f>IFERROR(__xludf.DUMMYFUNCTION("""COMPUTED_VALUE"""),50800.0)</f>
        <v>50800</v>
      </c>
      <c r="D542" s="1">
        <f>IFERROR(__xludf.DUMMYFUNCTION("""COMPUTED_VALUE"""),50200.0)</f>
        <v>50200</v>
      </c>
      <c r="E542" s="1">
        <f>IFERROR(__xludf.DUMMYFUNCTION("""COMPUTED_VALUE"""),50600.0)</f>
        <v>50600</v>
      </c>
      <c r="F542" s="1">
        <f>IFERROR(__xludf.DUMMYFUNCTION("""COMPUTED_VALUE"""),1167.0)</f>
        <v>1167</v>
      </c>
    </row>
    <row r="543">
      <c r="A543" s="2">
        <f>IFERROR(__xludf.DUMMYFUNCTION("""COMPUTED_VALUE"""),41710.645833333336)</f>
        <v>41710.64583</v>
      </c>
      <c r="B543" s="1">
        <f>IFERROR(__xludf.DUMMYFUNCTION("""COMPUTED_VALUE"""),50400.0)</f>
        <v>50400</v>
      </c>
      <c r="C543" s="1">
        <f>IFERROR(__xludf.DUMMYFUNCTION("""COMPUTED_VALUE"""),50900.0)</f>
        <v>50900</v>
      </c>
      <c r="D543" s="1">
        <f>IFERROR(__xludf.DUMMYFUNCTION("""COMPUTED_VALUE"""),49550.0)</f>
        <v>49550</v>
      </c>
      <c r="E543" s="1">
        <f>IFERROR(__xludf.DUMMYFUNCTION("""COMPUTED_VALUE"""),50400.0)</f>
        <v>50400</v>
      </c>
      <c r="F543" s="1">
        <f>IFERROR(__xludf.DUMMYFUNCTION("""COMPUTED_VALUE"""),4365.0)</f>
        <v>4365</v>
      </c>
    </row>
    <row r="544">
      <c r="A544" s="2">
        <f>IFERROR(__xludf.DUMMYFUNCTION("""COMPUTED_VALUE"""),41711.645833333336)</f>
        <v>41711.64583</v>
      </c>
      <c r="B544" s="1">
        <f>IFERROR(__xludf.DUMMYFUNCTION("""COMPUTED_VALUE"""),50400.0)</f>
        <v>50400</v>
      </c>
      <c r="C544" s="1">
        <f>IFERROR(__xludf.DUMMYFUNCTION("""COMPUTED_VALUE"""),50500.0)</f>
        <v>50500</v>
      </c>
      <c r="D544" s="1">
        <f>IFERROR(__xludf.DUMMYFUNCTION("""COMPUTED_VALUE"""),49750.0)</f>
        <v>49750</v>
      </c>
      <c r="E544" s="1">
        <f>IFERROR(__xludf.DUMMYFUNCTION("""COMPUTED_VALUE"""),50500.0)</f>
        <v>50500</v>
      </c>
      <c r="F544" s="1">
        <f>IFERROR(__xludf.DUMMYFUNCTION("""COMPUTED_VALUE"""),4083.0)</f>
        <v>4083</v>
      </c>
    </row>
    <row r="545">
      <c r="A545" s="2">
        <f>IFERROR(__xludf.DUMMYFUNCTION("""COMPUTED_VALUE"""),41712.645833333336)</f>
        <v>41712.64583</v>
      </c>
      <c r="B545" s="1">
        <f>IFERROR(__xludf.DUMMYFUNCTION("""COMPUTED_VALUE"""),50100.0)</f>
        <v>50100</v>
      </c>
      <c r="C545" s="1">
        <f>IFERROR(__xludf.DUMMYFUNCTION("""COMPUTED_VALUE"""),50400.0)</f>
        <v>50400</v>
      </c>
      <c r="D545" s="1">
        <f>IFERROR(__xludf.DUMMYFUNCTION("""COMPUTED_VALUE"""),50000.0)</f>
        <v>50000</v>
      </c>
      <c r="E545" s="1">
        <f>IFERROR(__xludf.DUMMYFUNCTION("""COMPUTED_VALUE"""),50000.0)</f>
        <v>50000</v>
      </c>
      <c r="F545" s="1">
        <f>IFERROR(__xludf.DUMMYFUNCTION("""COMPUTED_VALUE"""),4128.0)</f>
        <v>4128</v>
      </c>
    </row>
    <row r="546">
      <c r="A546" s="2">
        <f>IFERROR(__xludf.DUMMYFUNCTION("""COMPUTED_VALUE"""),41715.645833333336)</f>
        <v>41715.64583</v>
      </c>
      <c r="B546" s="1">
        <f>IFERROR(__xludf.DUMMYFUNCTION("""COMPUTED_VALUE"""),50200.0)</f>
        <v>50200</v>
      </c>
      <c r="C546" s="1">
        <f>IFERROR(__xludf.DUMMYFUNCTION("""COMPUTED_VALUE"""),50200.0)</f>
        <v>50200</v>
      </c>
      <c r="D546" s="1">
        <f>IFERROR(__xludf.DUMMYFUNCTION("""COMPUTED_VALUE"""),49750.0)</f>
        <v>49750</v>
      </c>
      <c r="E546" s="1">
        <f>IFERROR(__xludf.DUMMYFUNCTION("""COMPUTED_VALUE"""),50000.0)</f>
        <v>50000</v>
      </c>
      <c r="F546" s="1">
        <f>IFERROR(__xludf.DUMMYFUNCTION("""COMPUTED_VALUE"""),1231.0)</f>
        <v>1231</v>
      </c>
    </row>
    <row r="547">
      <c r="A547" s="2">
        <f>IFERROR(__xludf.DUMMYFUNCTION("""COMPUTED_VALUE"""),41716.645833333336)</f>
        <v>41716.64583</v>
      </c>
      <c r="B547" s="1">
        <f>IFERROR(__xludf.DUMMYFUNCTION("""COMPUTED_VALUE"""),50000.0)</f>
        <v>50000</v>
      </c>
      <c r="C547" s="1">
        <f>IFERROR(__xludf.DUMMYFUNCTION("""COMPUTED_VALUE"""),50500.0)</f>
        <v>50500</v>
      </c>
      <c r="D547" s="1">
        <f>IFERROR(__xludf.DUMMYFUNCTION("""COMPUTED_VALUE"""),49800.0)</f>
        <v>49800</v>
      </c>
      <c r="E547" s="1">
        <f>IFERROR(__xludf.DUMMYFUNCTION("""COMPUTED_VALUE"""),50200.0)</f>
        <v>50200</v>
      </c>
      <c r="F547" s="1">
        <f>IFERROR(__xludf.DUMMYFUNCTION("""COMPUTED_VALUE"""),2858.0)</f>
        <v>2858</v>
      </c>
    </row>
    <row r="548">
      <c r="A548" s="2">
        <f>IFERROR(__xludf.DUMMYFUNCTION("""COMPUTED_VALUE"""),41717.645833333336)</f>
        <v>41717.64583</v>
      </c>
      <c r="B548" s="1">
        <f>IFERROR(__xludf.DUMMYFUNCTION("""COMPUTED_VALUE"""),50000.0)</f>
        <v>50000</v>
      </c>
      <c r="C548" s="1">
        <f>IFERROR(__xludf.DUMMYFUNCTION("""COMPUTED_VALUE"""),50500.0)</f>
        <v>50500</v>
      </c>
      <c r="D548" s="1">
        <f>IFERROR(__xludf.DUMMYFUNCTION("""COMPUTED_VALUE"""),50000.0)</f>
        <v>50000</v>
      </c>
      <c r="E548" s="1">
        <f>IFERROR(__xludf.DUMMYFUNCTION("""COMPUTED_VALUE"""),50400.0)</f>
        <v>50400</v>
      </c>
      <c r="F548" s="1">
        <f>IFERROR(__xludf.DUMMYFUNCTION("""COMPUTED_VALUE"""),2874.0)</f>
        <v>2874</v>
      </c>
    </row>
    <row r="549">
      <c r="A549" s="2">
        <f>IFERROR(__xludf.DUMMYFUNCTION("""COMPUTED_VALUE"""),41718.645833333336)</f>
        <v>41718.64583</v>
      </c>
      <c r="B549" s="1">
        <f>IFERROR(__xludf.DUMMYFUNCTION("""COMPUTED_VALUE"""),50200.0)</f>
        <v>50200</v>
      </c>
      <c r="C549" s="1">
        <f>IFERROR(__xludf.DUMMYFUNCTION("""COMPUTED_VALUE"""),50200.0)</f>
        <v>50200</v>
      </c>
      <c r="D549" s="1">
        <f>IFERROR(__xludf.DUMMYFUNCTION("""COMPUTED_VALUE"""),49200.0)</f>
        <v>49200</v>
      </c>
      <c r="E549" s="1">
        <f>IFERROR(__xludf.DUMMYFUNCTION("""COMPUTED_VALUE"""),49450.0)</f>
        <v>49450</v>
      </c>
      <c r="F549" s="1">
        <f>IFERROR(__xludf.DUMMYFUNCTION("""COMPUTED_VALUE"""),6966.0)</f>
        <v>6966</v>
      </c>
    </row>
    <row r="550">
      <c r="A550" s="2">
        <f>IFERROR(__xludf.DUMMYFUNCTION("""COMPUTED_VALUE"""),41719.645833333336)</f>
        <v>41719.64583</v>
      </c>
      <c r="B550" s="1">
        <f>IFERROR(__xludf.DUMMYFUNCTION("""COMPUTED_VALUE"""),49800.0)</f>
        <v>49800</v>
      </c>
      <c r="C550" s="1">
        <f>IFERROR(__xludf.DUMMYFUNCTION("""COMPUTED_VALUE"""),49800.0)</f>
        <v>49800</v>
      </c>
      <c r="D550" s="1">
        <f>IFERROR(__xludf.DUMMYFUNCTION("""COMPUTED_VALUE"""),49150.0)</f>
        <v>49150</v>
      </c>
      <c r="E550" s="1">
        <f>IFERROR(__xludf.DUMMYFUNCTION("""COMPUTED_VALUE"""),49450.0)</f>
        <v>49450</v>
      </c>
      <c r="F550" s="1">
        <f>IFERROR(__xludf.DUMMYFUNCTION("""COMPUTED_VALUE"""),3339.0)</f>
        <v>3339</v>
      </c>
    </row>
    <row r="551">
      <c r="A551" s="2">
        <f>IFERROR(__xludf.DUMMYFUNCTION("""COMPUTED_VALUE"""),41722.645833333336)</f>
        <v>41722.64583</v>
      </c>
      <c r="B551" s="1">
        <f>IFERROR(__xludf.DUMMYFUNCTION("""COMPUTED_VALUE"""),49400.0)</f>
        <v>49400</v>
      </c>
      <c r="C551" s="1">
        <f>IFERROR(__xludf.DUMMYFUNCTION("""COMPUTED_VALUE"""),49400.0)</f>
        <v>49400</v>
      </c>
      <c r="D551" s="1">
        <f>IFERROR(__xludf.DUMMYFUNCTION("""COMPUTED_VALUE"""),48800.0)</f>
        <v>48800</v>
      </c>
      <c r="E551" s="1">
        <f>IFERROR(__xludf.DUMMYFUNCTION("""COMPUTED_VALUE"""),49100.0)</f>
        <v>49100</v>
      </c>
      <c r="F551" s="1">
        <f>IFERROR(__xludf.DUMMYFUNCTION("""COMPUTED_VALUE"""),10022.0)</f>
        <v>10022</v>
      </c>
    </row>
    <row r="552">
      <c r="A552" s="2">
        <f>IFERROR(__xludf.DUMMYFUNCTION("""COMPUTED_VALUE"""),41723.645833333336)</f>
        <v>41723.64583</v>
      </c>
      <c r="B552" s="1">
        <f>IFERROR(__xludf.DUMMYFUNCTION("""COMPUTED_VALUE"""),49100.0)</f>
        <v>49100</v>
      </c>
      <c r="C552" s="1">
        <f>IFERROR(__xludf.DUMMYFUNCTION("""COMPUTED_VALUE"""),49200.0)</f>
        <v>49200</v>
      </c>
      <c r="D552" s="1">
        <f>IFERROR(__xludf.DUMMYFUNCTION("""COMPUTED_VALUE"""),48050.0)</f>
        <v>48050</v>
      </c>
      <c r="E552" s="1">
        <f>IFERROR(__xludf.DUMMYFUNCTION("""COMPUTED_VALUE"""),48150.0)</f>
        <v>48150</v>
      </c>
      <c r="F552" s="1">
        <f>IFERROR(__xludf.DUMMYFUNCTION("""COMPUTED_VALUE"""),9458.0)</f>
        <v>9458</v>
      </c>
    </row>
    <row r="553">
      <c r="A553" s="2">
        <f>IFERROR(__xludf.DUMMYFUNCTION("""COMPUTED_VALUE"""),41724.645833333336)</f>
        <v>41724.64583</v>
      </c>
      <c r="B553" s="1">
        <f>IFERROR(__xludf.DUMMYFUNCTION("""COMPUTED_VALUE"""),48050.0)</f>
        <v>48050</v>
      </c>
      <c r="C553" s="1">
        <f>IFERROR(__xludf.DUMMYFUNCTION("""COMPUTED_VALUE"""),48400.0)</f>
        <v>48400</v>
      </c>
      <c r="D553" s="1">
        <f>IFERROR(__xludf.DUMMYFUNCTION("""COMPUTED_VALUE"""),48050.0)</f>
        <v>48050</v>
      </c>
      <c r="E553" s="1">
        <f>IFERROR(__xludf.DUMMYFUNCTION("""COMPUTED_VALUE"""),48400.0)</f>
        <v>48400</v>
      </c>
      <c r="F553" s="1">
        <f>IFERROR(__xludf.DUMMYFUNCTION("""COMPUTED_VALUE"""),3845.0)</f>
        <v>3845</v>
      </c>
    </row>
    <row r="554">
      <c r="A554" s="2">
        <f>IFERROR(__xludf.DUMMYFUNCTION("""COMPUTED_VALUE"""),41725.645833333336)</f>
        <v>41725.64583</v>
      </c>
      <c r="B554" s="1">
        <f>IFERROR(__xludf.DUMMYFUNCTION("""COMPUTED_VALUE"""),48200.0)</f>
        <v>48200</v>
      </c>
      <c r="C554" s="1">
        <f>IFERROR(__xludf.DUMMYFUNCTION("""COMPUTED_VALUE"""),48750.0)</f>
        <v>48750</v>
      </c>
      <c r="D554" s="1">
        <f>IFERROR(__xludf.DUMMYFUNCTION("""COMPUTED_VALUE"""),48200.0)</f>
        <v>48200</v>
      </c>
      <c r="E554" s="1">
        <f>IFERROR(__xludf.DUMMYFUNCTION("""COMPUTED_VALUE"""),48750.0)</f>
        <v>48750</v>
      </c>
      <c r="F554" s="1">
        <f>IFERROR(__xludf.DUMMYFUNCTION("""COMPUTED_VALUE"""),2107.0)</f>
        <v>2107</v>
      </c>
    </row>
    <row r="555">
      <c r="A555" s="2">
        <f>IFERROR(__xludf.DUMMYFUNCTION("""COMPUTED_VALUE"""),41726.645833333336)</f>
        <v>41726.64583</v>
      </c>
      <c r="B555" s="1">
        <f>IFERROR(__xludf.DUMMYFUNCTION("""COMPUTED_VALUE"""),48750.0)</f>
        <v>48750</v>
      </c>
      <c r="C555" s="1">
        <f>IFERROR(__xludf.DUMMYFUNCTION("""COMPUTED_VALUE"""),48900.0)</f>
        <v>48900</v>
      </c>
      <c r="D555" s="1">
        <f>IFERROR(__xludf.DUMMYFUNCTION("""COMPUTED_VALUE"""),48700.0)</f>
        <v>48700</v>
      </c>
      <c r="E555" s="1">
        <f>IFERROR(__xludf.DUMMYFUNCTION("""COMPUTED_VALUE"""),48900.0)</f>
        <v>48900</v>
      </c>
      <c r="F555" s="1">
        <f>IFERROR(__xludf.DUMMYFUNCTION("""COMPUTED_VALUE"""),1196.0)</f>
        <v>1196</v>
      </c>
    </row>
    <row r="556">
      <c r="A556" s="2">
        <f>IFERROR(__xludf.DUMMYFUNCTION("""COMPUTED_VALUE"""),41729.645833333336)</f>
        <v>41729.64583</v>
      </c>
      <c r="B556" s="1">
        <f>IFERROR(__xludf.DUMMYFUNCTION("""COMPUTED_VALUE"""),48500.0)</f>
        <v>48500</v>
      </c>
      <c r="C556" s="1">
        <f>IFERROR(__xludf.DUMMYFUNCTION("""COMPUTED_VALUE"""),48950.0)</f>
        <v>48950</v>
      </c>
      <c r="D556" s="1">
        <f>IFERROR(__xludf.DUMMYFUNCTION("""COMPUTED_VALUE"""),48400.0)</f>
        <v>48400</v>
      </c>
      <c r="E556" s="1">
        <f>IFERROR(__xludf.DUMMYFUNCTION("""COMPUTED_VALUE"""),48850.0)</f>
        <v>48850</v>
      </c>
      <c r="F556" s="1">
        <f>IFERROR(__xludf.DUMMYFUNCTION("""COMPUTED_VALUE"""),4201.0)</f>
        <v>4201</v>
      </c>
    </row>
    <row r="557">
      <c r="A557" s="2">
        <f>IFERROR(__xludf.DUMMYFUNCTION("""COMPUTED_VALUE"""),41730.645833333336)</f>
        <v>41730.64583</v>
      </c>
      <c r="B557" s="1">
        <f>IFERROR(__xludf.DUMMYFUNCTION("""COMPUTED_VALUE"""),49000.0)</f>
        <v>49000</v>
      </c>
      <c r="C557" s="1">
        <f>IFERROR(__xludf.DUMMYFUNCTION("""COMPUTED_VALUE"""),49000.0)</f>
        <v>49000</v>
      </c>
      <c r="D557" s="1">
        <f>IFERROR(__xludf.DUMMYFUNCTION("""COMPUTED_VALUE"""),48550.0)</f>
        <v>48550</v>
      </c>
      <c r="E557" s="1">
        <f>IFERROR(__xludf.DUMMYFUNCTION("""COMPUTED_VALUE"""),48900.0)</f>
        <v>48900</v>
      </c>
      <c r="F557" s="1">
        <f>IFERROR(__xludf.DUMMYFUNCTION("""COMPUTED_VALUE"""),2562.0)</f>
        <v>2562</v>
      </c>
    </row>
    <row r="558">
      <c r="A558" s="2">
        <f>IFERROR(__xludf.DUMMYFUNCTION("""COMPUTED_VALUE"""),41731.645833333336)</f>
        <v>41731.64583</v>
      </c>
      <c r="B558" s="1">
        <f>IFERROR(__xludf.DUMMYFUNCTION("""COMPUTED_VALUE"""),48900.0)</f>
        <v>48900</v>
      </c>
      <c r="C558" s="1">
        <f>IFERROR(__xludf.DUMMYFUNCTION("""COMPUTED_VALUE"""),49200.0)</f>
        <v>49200</v>
      </c>
      <c r="D558" s="1">
        <f>IFERROR(__xludf.DUMMYFUNCTION("""COMPUTED_VALUE"""),48500.0)</f>
        <v>48500</v>
      </c>
      <c r="E558" s="1">
        <f>IFERROR(__xludf.DUMMYFUNCTION("""COMPUTED_VALUE"""),48700.0)</f>
        <v>48700</v>
      </c>
      <c r="F558" s="1">
        <f>IFERROR(__xludf.DUMMYFUNCTION("""COMPUTED_VALUE"""),3267.0)</f>
        <v>3267</v>
      </c>
    </row>
    <row r="559">
      <c r="A559" s="2">
        <f>IFERROR(__xludf.DUMMYFUNCTION("""COMPUTED_VALUE"""),41732.645833333336)</f>
        <v>41732.64583</v>
      </c>
      <c r="B559" s="1">
        <f>IFERROR(__xludf.DUMMYFUNCTION("""COMPUTED_VALUE"""),48900.0)</f>
        <v>48900</v>
      </c>
      <c r="C559" s="1">
        <f>IFERROR(__xludf.DUMMYFUNCTION("""COMPUTED_VALUE"""),48900.0)</f>
        <v>48900</v>
      </c>
      <c r="D559" s="1">
        <f>IFERROR(__xludf.DUMMYFUNCTION("""COMPUTED_VALUE"""),48450.0)</f>
        <v>48450</v>
      </c>
      <c r="E559" s="1">
        <f>IFERROR(__xludf.DUMMYFUNCTION("""COMPUTED_VALUE"""),48700.0)</f>
        <v>48700</v>
      </c>
      <c r="F559" s="1">
        <f>IFERROR(__xludf.DUMMYFUNCTION("""COMPUTED_VALUE"""),2575.0)</f>
        <v>2575</v>
      </c>
    </row>
    <row r="560">
      <c r="A560" s="2">
        <f>IFERROR(__xludf.DUMMYFUNCTION("""COMPUTED_VALUE"""),41733.645833333336)</f>
        <v>41733.64583</v>
      </c>
      <c r="B560" s="1">
        <f>IFERROR(__xludf.DUMMYFUNCTION("""COMPUTED_VALUE"""),48500.0)</f>
        <v>48500</v>
      </c>
      <c r="C560" s="1">
        <f>IFERROR(__xludf.DUMMYFUNCTION("""COMPUTED_VALUE"""),48700.0)</f>
        <v>48700</v>
      </c>
      <c r="D560" s="1">
        <f>IFERROR(__xludf.DUMMYFUNCTION("""COMPUTED_VALUE"""),48400.0)</f>
        <v>48400</v>
      </c>
      <c r="E560" s="1">
        <f>IFERROR(__xludf.DUMMYFUNCTION("""COMPUTED_VALUE"""),48700.0)</f>
        <v>48700</v>
      </c>
      <c r="F560" s="1">
        <f>IFERROR(__xludf.DUMMYFUNCTION("""COMPUTED_VALUE"""),2306.0)</f>
        <v>2306</v>
      </c>
    </row>
    <row r="561">
      <c r="A561" s="2">
        <f>IFERROR(__xludf.DUMMYFUNCTION("""COMPUTED_VALUE"""),41736.645833333336)</f>
        <v>41736.64583</v>
      </c>
      <c r="B561" s="1">
        <f>IFERROR(__xludf.DUMMYFUNCTION("""COMPUTED_VALUE"""),48500.0)</f>
        <v>48500</v>
      </c>
      <c r="C561" s="1">
        <f>IFERROR(__xludf.DUMMYFUNCTION("""COMPUTED_VALUE"""),48700.0)</f>
        <v>48700</v>
      </c>
      <c r="D561" s="1">
        <f>IFERROR(__xludf.DUMMYFUNCTION("""COMPUTED_VALUE"""),48400.0)</f>
        <v>48400</v>
      </c>
      <c r="E561" s="1">
        <f>IFERROR(__xludf.DUMMYFUNCTION("""COMPUTED_VALUE"""),48700.0)</f>
        <v>48700</v>
      </c>
      <c r="F561" s="1">
        <f>IFERROR(__xludf.DUMMYFUNCTION("""COMPUTED_VALUE"""),3839.0)</f>
        <v>3839</v>
      </c>
    </row>
    <row r="562">
      <c r="A562" s="2">
        <f>IFERROR(__xludf.DUMMYFUNCTION("""COMPUTED_VALUE"""),41737.645833333336)</f>
        <v>41737.64583</v>
      </c>
      <c r="B562" s="1">
        <f>IFERROR(__xludf.DUMMYFUNCTION("""COMPUTED_VALUE"""),48700.0)</f>
        <v>48700</v>
      </c>
      <c r="C562" s="1">
        <f>IFERROR(__xludf.DUMMYFUNCTION("""COMPUTED_VALUE"""),48700.0)</f>
        <v>48700</v>
      </c>
      <c r="D562" s="1">
        <f>IFERROR(__xludf.DUMMYFUNCTION("""COMPUTED_VALUE"""),48250.0)</f>
        <v>48250</v>
      </c>
      <c r="E562" s="1">
        <f>IFERROR(__xludf.DUMMYFUNCTION("""COMPUTED_VALUE"""),48700.0)</f>
        <v>48700</v>
      </c>
      <c r="F562" s="1">
        <f>IFERROR(__xludf.DUMMYFUNCTION("""COMPUTED_VALUE"""),4709.0)</f>
        <v>4709</v>
      </c>
    </row>
    <row r="563">
      <c r="A563" s="2">
        <f>IFERROR(__xludf.DUMMYFUNCTION("""COMPUTED_VALUE"""),41738.645833333336)</f>
        <v>41738.64583</v>
      </c>
      <c r="B563" s="1">
        <f>IFERROR(__xludf.DUMMYFUNCTION("""COMPUTED_VALUE"""),48800.0)</f>
        <v>48800</v>
      </c>
      <c r="C563" s="1">
        <f>IFERROR(__xludf.DUMMYFUNCTION("""COMPUTED_VALUE"""),49000.0)</f>
        <v>49000</v>
      </c>
      <c r="D563" s="1">
        <f>IFERROR(__xludf.DUMMYFUNCTION("""COMPUTED_VALUE"""),48150.0)</f>
        <v>48150</v>
      </c>
      <c r="E563" s="1">
        <f>IFERROR(__xludf.DUMMYFUNCTION("""COMPUTED_VALUE"""),48900.0)</f>
        <v>48900</v>
      </c>
      <c r="F563" s="1">
        <f>IFERROR(__xludf.DUMMYFUNCTION("""COMPUTED_VALUE"""),5844.0)</f>
        <v>5844</v>
      </c>
    </row>
    <row r="564">
      <c r="A564" s="2">
        <f>IFERROR(__xludf.DUMMYFUNCTION("""COMPUTED_VALUE"""),41739.645833333336)</f>
        <v>41739.64583</v>
      </c>
      <c r="B564" s="1">
        <f>IFERROR(__xludf.DUMMYFUNCTION("""COMPUTED_VALUE"""),49300.0)</f>
        <v>49300</v>
      </c>
      <c r="C564" s="1">
        <f>IFERROR(__xludf.DUMMYFUNCTION("""COMPUTED_VALUE"""),49300.0)</f>
        <v>49300</v>
      </c>
      <c r="D564" s="1">
        <f>IFERROR(__xludf.DUMMYFUNCTION("""COMPUTED_VALUE"""),48700.0)</f>
        <v>48700</v>
      </c>
      <c r="E564" s="1">
        <f>IFERROR(__xludf.DUMMYFUNCTION("""COMPUTED_VALUE"""),48800.0)</f>
        <v>48800</v>
      </c>
      <c r="F564" s="1">
        <f>IFERROR(__xludf.DUMMYFUNCTION("""COMPUTED_VALUE"""),3302.0)</f>
        <v>3302</v>
      </c>
    </row>
    <row r="565">
      <c r="A565" s="2">
        <f>IFERROR(__xludf.DUMMYFUNCTION("""COMPUTED_VALUE"""),41740.645833333336)</f>
        <v>41740.64583</v>
      </c>
      <c r="B565" s="1">
        <f>IFERROR(__xludf.DUMMYFUNCTION("""COMPUTED_VALUE"""),49200.0)</f>
        <v>49200</v>
      </c>
      <c r="C565" s="1">
        <f>IFERROR(__xludf.DUMMYFUNCTION("""COMPUTED_VALUE"""),49200.0)</f>
        <v>49200</v>
      </c>
      <c r="D565" s="1">
        <f>IFERROR(__xludf.DUMMYFUNCTION("""COMPUTED_VALUE"""),48700.0)</f>
        <v>48700</v>
      </c>
      <c r="E565" s="1">
        <f>IFERROR(__xludf.DUMMYFUNCTION("""COMPUTED_VALUE"""),49000.0)</f>
        <v>49000</v>
      </c>
      <c r="F565" s="1">
        <f>IFERROR(__xludf.DUMMYFUNCTION("""COMPUTED_VALUE"""),1117.0)</f>
        <v>1117</v>
      </c>
    </row>
    <row r="566">
      <c r="A566" s="2">
        <f>IFERROR(__xludf.DUMMYFUNCTION("""COMPUTED_VALUE"""),41743.645833333336)</f>
        <v>41743.64583</v>
      </c>
      <c r="B566" s="1">
        <f>IFERROR(__xludf.DUMMYFUNCTION("""COMPUTED_VALUE"""),49100.0)</f>
        <v>49100</v>
      </c>
      <c r="C566" s="1">
        <f>IFERROR(__xludf.DUMMYFUNCTION("""COMPUTED_VALUE"""),49100.0)</f>
        <v>49100</v>
      </c>
      <c r="D566" s="1">
        <f>IFERROR(__xludf.DUMMYFUNCTION("""COMPUTED_VALUE"""),48600.0)</f>
        <v>48600</v>
      </c>
      <c r="E566" s="1">
        <f>IFERROR(__xludf.DUMMYFUNCTION("""COMPUTED_VALUE"""),49050.0)</f>
        <v>49050</v>
      </c>
      <c r="F566" s="1">
        <f>IFERROR(__xludf.DUMMYFUNCTION("""COMPUTED_VALUE"""),1093.0)</f>
        <v>1093</v>
      </c>
    </row>
    <row r="567">
      <c r="A567" s="2">
        <f>IFERROR(__xludf.DUMMYFUNCTION("""COMPUTED_VALUE"""),41744.645833333336)</f>
        <v>41744.64583</v>
      </c>
      <c r="B567" s="1">
        <f>IFERROR(__xludf.DUMMYFUNCTION("""COMPUTED_VALUE"""),49200.0)</f>
        <v>49200</v>
      </c>
      <c r="C567" s="1">
        <f>IFERROR(__xludf.DUMMYFUNCTION("""COMPUTED_VALUE"""),49200.0)</f>
        <v>49200</v>
      </c>
      <c r="D567" s="1">
        <f>IFERROR(__xludf.DUMMYFUNCTION("""COMPUTED_VALUE"""),48800.0)</f>
        <v>48800</v>
      </c>
      <c r="E567" s="1">
        <f>IFERROR(__xludf.DUMMYFUNCTION("""COMPUTED_VALUE"""),48850.0)</f>
        <v>48850</v>
      </c>
      <c r="F567" s="1">
        <f>IFERROR(__xludf.DUMMYFUNCTION("""COMPUTED_VALUE"""),2431.0)</f>
        <v>2431</v>
      </c>
    </row>
    <row r="568">
      <c r="A568" s="2">
        <f>IFERROR(__xludf.DUMMYFUNCTION("""COMPUTED_VALUE"""),41745.645833333336)</f>
        <v>41745.64583</v>
      </c>
      <c r="B568" s="1">
        <f>IFERROR(__xludf.DUMMYFUNCTION("""COMPUTED_VALUE"""),49050.0)</f>
        <v>49050</v>
      </c>
      <c r="C568" s="1">
        <f>IFERROR(__xludf.DUMMYFUNCTION("""COMPUTED_VALUE"""),49050.0)</f>
        <v>49050</v>
      </c>
      <c r="D568" s="1">
        <f>IFERROR(__xludf.DUMMYFUNCTION("""COMPUTED_VALUE"""),48800.0)</f>
        <v>48800</v>
      </c>
      <c r="E568" s="1">
        <f>IFERROR(__xludf.DUMMYFUNCTION("""COMPUTED_VALUE"""),49000.0)</f>
        <v>49000</v>
      </c>
      <c r="F568" s="1">
        <f>IFERROR(__xludf.DUMMYFUNCTION("""COMPUTED_VALUE"""),2688.0)</f>
        <v>2688</v>
      </c>
    </row>
    <row r="569">
      <c r="A569" s="2">
        <f>IFERROR(__xludf.DUMMYFUNCTION("""COMPUTED_VALUE"""),41746.645833333336)</f>
        <v>41746.64583</v>
      </c>
      <c r="B569" s="1">
        <f>IFERROR(__xludf.DUMMYFUNCTION("""COMPUTED_VALUE"""),49300.0)</f>
        <v>49300</v>
      </c>
      <c r="C569" s="1">
        <f>IFERROR(__xludf.DUMMYFUNCTION("""COMPUTED_VALUE"""),49300.0)</f>
        <v>49300</v>
      </c>
      <c r="D569" s="1">
        <f>IFERROR(__xludf.DUMMYFUNCTION("""COMPUTED_VALUE"""),48800.0)</f>
        <v>48800</v>
      </c>
      <c r="E569" s="1">
        <f>IFERROR(__xludf.DUMMYFUNCTION("""COMPUTED_VALUE"""),49000.0)</f>
        <v>49000</v>
      </c>
      <c r="F569" s="1">
        <f>IFERROR(__xludf.DUMMYFUNCTION("""COMPUTED_VALUE"""),1691.0)</f>
        <v>1691</v>
      </c>
    </row>
    <row r="570">
      <c r="A570" s="2">
        <f>IFERROR(__xludf.DUMMYFUNCTION("""COMPUTED_VALUE"""),41747.645833333336)</f>
        <v>41747.64583</v>
      </c>
      <c r="B570" s="1">
        <f>IFERROR(__xludf.DUMMYFUNCTION("""COMPUTED_VALUE"""),49400.0)</f>
        <v>49400</v>
      </c>
      <c r="C570" s="1">
        <f>IFERROR(__xludf.DUMMYFUNCTION("""COMPUTED_VALUE"""),49400.0)</f>
        <v>49400</v>
      </c>
      <c r="D570" s="1">
        <f>IFERROR(__xludf.DUMMYFUNCTION("""COMPUTED_VALUE"""),49000.0)</f>
        <v>49000</v>
      </c>
      <c r="E570" s="1">
        <f>IFERROR(__xludf.DUMMYFUNCTION("""COMPUTED_VALUE"""),49300.0)</f>
        <v>49300</v>
      </c>
      <c r="F570" s="1">
        <f>IFERROR(__xludf.DUMMYFUNCTION("""COMPUTED_VALUE"""),1535.0)</f>
        <v>1535</v>
      </c>
    </row>
    <row r="571">
      <c r="A571" s="2">
        <f>IFERROR(__xludf.DUMMYFUNCTION("""COMPUTED_VALUE"""),41750.645833333336)</f>
        <v>41750.64583</v>
      </c>
      <c r="B571" s="1">
        <f>IFERROR(__xludf.DUMMYFUNCTION("""COMPUTED_VALUE"""),49350.0)</f>
        <v>49350</v>
      </c>
      <c r="C571" s="1">
        <f>IFERROR(__xludf.DUMMYFUNCTION("""COMPUTED_VALUE"""),49350.0)</f>
        <v>49350</v>
      </c>
      <c r="D571" s="1">
        <f>IFERROR(__xludf.DUMMYFUNCTION("""COMPUTED_VALUE"""),48950.0)</f>
        <v>48950</v>
      </c>
      <c r="E571" s="1">
        <f>IFERROR(__xludf.DUMMYFUNCTION("""COMPUTED_VALUE"""),48950.0)</f>
        <v>48950</v>
      </c>
      <c r="F571" s="1">
        <f>IFERROR(__xludf.DUMMYFUNCTION("""COMPUTED_VALUE"""),1034.0)</f>
        <v>1034</v>
      </c>
    </row>
    <row r="572">
      <c r="A572" s="2">
        <f>IFERROR(__xludf.DUMMYFUNCTION("""COMPUTED_VALUE"""),41751.645833333336)</f>
        <v>41751.64583</v>
      </c>
      <c r="B572" s="1">
        <f>IFERROR(__xludf.DUMMYFUNCTION("""COMPUTED_VALUE"""),49300.0)</f>
        <v>49300</v>
      </c>
      <c r="C572" s="1">
        <f>IFERROR(__xludf.DUMMYFUNCTION("""COMPUTED_VALUE"""),49300.0)</f>
        <v>49300</v>
      </c>
      <c r="D572" s="1">
        <f>IFERROR(__xludf.DUMMYFUNCTION("""COMPUTED_VALUE"""),48900.0)</f>
        <v>48900</v>
      </c>
      <c r="E572" s="1">
        <f>IFERROR(__xludf.DUMMYFUNCTION("""COMPUTED_VALUE"""),49050.0)</f>
        <v>49050</v>
      </c>
      <c r="F572" s="1">
        <f>IFERROR(__xludf.DUMMYFUNCTION("""COMPUTED_VALUE"""),1285.0)</f>
        <v>1285</v>
      </c>
    </row>
    <row r="573">
      <c r="A573" s="2">
        <f>IFERROR(__xludf.DUMMYFUNCTION("""COMPUTED_VALUE"""),41752.645833333336)</f>
        <v>41752.64583</v>
      </c>
      <c r="B573" s="1">
        <f>IFERROR(__xludf.DUMMYFUNCTION("""COMPUTED_VALUE"""),49300.0)</f>
        <v>49300</v>
      </c>
      <c r="C573" s="1">
        <f>IFERROR(__xludf.DUMMYFUNCTION("""COMPUTED_VALUE"""),49300.0)</f>
        <v>49300</v>
      </c>
      <c r="D573" s="1">
        <f>IFERROR(__xludf.DUMMYFUNCTION("""COMPUTED_VALUE"""),48700.0)</f>
        <v>48700</v>
      </c>
      <c r="E573" s="1">
        <f>IFERROR(__xludf.DUMMYFUNCTION("""COMPUTED_VALUE"""),49000.0)</f>
        <v>49000</v>
      </c>
      <c r="F573" s="1">
        <f>IFERROR(__xludf.DUMMYFUNCTION("""COMPUTED_VALUE"""),1031.0)</f>
        <v>1031</v>
      </c>
    </row>
    <row r="574">
      <c r="A574" s="2">
        <f>IFERROR(__xludf.DUMMYFUNCTION("""COMPUTED_VALUE"""),41753.645833333336)</f>
        <v>41753.64583</v>
      </c>
      <c r="B574" s="1">
        <f>IFERROR(__xludf.DUMMYFUNCTION("""COMPUTED_VALUE"""),49250.0)</f>
        <v>49250</v>
      </c>
      <c r="C574" s="1">
        <f>IFERROR(__xludf.DUMMYFUNCTION("""COMPUTED_VALUE"""),49250.0)</f>
        <v>49250</v>
      </c>
      <c r="D574" s="1">
        <f>IFERROR(__xludf.DUMMYFUNCTION("""COMPUTED_VALUE"""),48400.0)</f>
        <v>48400</v>
      </c>
      <c r="E574" s="1">
        <f>IFERROR(__xludf.DUMMYFUNCTION("""COMPUTED_VALUE"""),48850.0)</f>
        <v>48850</v>
      </c>
      <c r="F574" s="1">
        <f>IFERROR(__xludf.DUMMYFUNCTION("""COMPUTED_VALUE"""),1856.0)</f>
        <v>1856</v>
      </c>
    </row>
    <row r="575">
      <c r="A575" s="2">
        <f>IFERROR(__xludf.DUMMYFUNCTION("""COMPUTED_VALUE"""),41754.645833333336)</f>
        <v>41754.64583</v>
      </c>
      <c r="B575" s="1">
        <f>IFERROR(__xludf.DUMMYFUNCTION("""COMPUTED_VALUE"""),48850.0)</f>
        <v>48850</v>
      </c>
      <c r="C575" s="1">
        <f>IFERROR(__xludf.DUMMYFUNCTION("""COMPUTED_VALUE"""),48850.0)</f>
        <v>48850</v>
      </c>
      <c r="D575" s="1">
        <f>IFERROR(__xludf.DUMMYFUNCTION("""COMPUTED_VALUE"""),46750.0)</f>
        <v>46750</v>
      </c>
      <c r="E575" s="1">
        <f>IFERROR(__xludf.DUMMYFUNCTION("""COMPUTED_VALUE"""),47050.0)</f>
        <v>47050</v>
      </c>
      <c r="F575" s="1">
        <f>IFERROR(__xludf.DUMMYFUNCTION("""COMPUTED_VALUE"""),10678.0)</f>
        <v>10678</v>
      </c>
    </row>
    <row r="576">
      <c r="A576" s="2">
        <f>IFERROR(__xludf.DUMMYFUNCTION("""COMPUTED_VALUE"""),41757.645833333336)</f>
        <v>41757.64583</v>
      </c>
      <c r="B576" s="1">
        <f>IFERROR(__xludf.DUMMYFUNCTION("""COMPUTED_VALUE"""),47000.0)</f>
        <v>47000</v>
      </c>
      <c r="C576" s="1">
        <f>IFERROR(__xludf.DUMMYFUNCTION("""COMPUTED_VALUE"""),47550.0)</f>
        <v>47550</v>
      </c>
      <c r="D576" s="1">
        <f>IFERROR(__xludf.DUMMYFUNCTION("""COMPUTED_VALUE"""),46950.0)</f>
        <v>46950</v>
      </c>
      <c r="E576" s="1">
        <f>IFERROR(__xludf.DUMMYFUNCTION("""COMPUTED_VALUE"""),47500.0)</f>
        <v>47500</v>
      </c>
      <c r="F576" s="1">
        <f>IFERROR(__xludf.DUMMYFUNCTION("""COMPUTED_VALUE"""),3217.0)</f>
        <v>3217</v>
      </c>
    </row>
    <row r="577">
      <c r="A577" s="2">
        <f>IFERROR(__xludf.DUMMYFUNCTION("""COMPUTED_VALUE"""),41758.645833333336)</f>
        <v>41758.64583</v>
      </c>
      <c r="B577" s="1">
        <f>IFERROR(__xludf.DUMMYFUNCTION("""COMPUTED_VALUE"""),47550.0)</f>
        <v>47550</v>
      </c>
      <c r="C577" s="1">
        <f>IFERROR(__xludf.DUMMYFUNCTION("""COMPUTED_VALUE"""),47550.0)</f>
        <v>47550</v>
      </c>
      <c r="D577" s="1">
        <f>IFERROR(__xludf.DUMMYFUNCTION("""COMPUTED_VALUE"""),47300.0)</f>
        <v>47300</v>
      </c>
      <c r="E577" s="1">
        <f>IFERROR(__xludf.DUMMYFUNCTION("""COMPUTED_VALUE"""),47500.0)</f>
        <v>47500</v>
      </c>
      <c r="F577" s="1">
        <f>IFERROR(__xludf.DUMMYFUNCTION("""COMPUTED_VALUE"""),399.0)</f>
        <v>399</v>
      </c>
    </row>
    <row r="578">
      <c r="A578" s="2">
        <f>IFERROR(__xludf.DUMMYFUNCTION("""COMPUTED_VALUE"""),41759.645833333336)</f>
        <v>41759.64583</v>
      </c>
      <c r="B578" s="1">
        <f>IFERROR(__xludf.DUMMYFUNCTION("""COMPUTED_VALUE"""),47350.0)</f>
        <v>47350</v>
      </c>
      <c r="C578" s="1">
        <f>IFERROR(__xludf.DUMMYFUNCTION("""COMPUTED_VALUE"""),47550.0)</f>
        <v>47550</v>
      </c>
      <c r="D578" s="1">
        <f>IFERROR(__xludf.DUMMYFUNCTION("""COMPUTED_VALUE"""),47350.0)</f>
        <v>47350</v>
      </c>
      <c r="E578" s="1">
        <f>IFERROR(__xludf.DUMMYFUNCTION("""COMPUTED_VALUE"""),47450.0)</f>
        <v>47450</v>
      </c>
      <c r="F578" s="1">
        <f>IFERROR(__xludf.DUMMYFUNCTION("""COMPUTED_VALUE"""),961.0)</f>
        <v>961</v>
      </c>
    </row>
    <row r="579">
      <c r="A579" s="2">
        <f>IFERROR(__xludf.DUMMYFUNCTION("""COMPUTED_VALUE"""),41761.645833333336)</f>
        <v>41761.64583</v>
      </c>
      <c r="B579" s="1">
        <f>IFERROR(__xludf.DUMMYFUNCTION("""COMPUTED_VALUE"""),47450.0)</f>
        <v>47450</v>
      </c>
      <c r="C579" s="1">
        <f>IFERROR(__xludf.DUMMYFUNCTION("""COMPUTED_VALUE"""),47600.0)</f>
        <v>47600</v>
      </c>
      <c r="D579" s="1">
        <f>IFERROR(__xludf.DUMMYFUNCTION("""COMPUTED_VALUE"""),47400.0)</f>
        <v>47400</v>
      </c>
      <c r="E579" s="1">
        <f>IFERROR(__xludf.DUMMYFUNCTION("""COMPUTED_VALUE"""),47450.0)</f>
        <v>47450</v>
      </c>
      <c r="F579" s="1">
        <f>IFERROR(__xludf.DUMMYFUNCTION("""COMPUTED_VALUE"""),958.0)</f>
        <v>958</v>
      </c>
    </row>
    <row r="580">
      <c r="A580" s="2">
        <f>IFERROR(__xludf.DUMMYFUNCTION("""COMPUTED_VALUE"""),41766.645833333336)</f>
        <v>41766.64583</v>
      </c>
      <c r="B580" s="1">
        <f>IFERROR(__xludf.DUMMYFUNCTION("""COMPUTED_VALUE"""),47500.0)</f>
        <v>47500</v>
      </c>
      <c r="C580" s="1">
        <f>IFERROR(__xludf.DUMMYFUNCTION("""COMPUTED_VALUE"""),47500.0)</f>
        <v>47500</v>
      </c>
      <c r="D580" s="1">
        <f>IFERROR(__xludf.DUMMYFUNCTION("""COMPUTED_VALUE"""),47100.0)</f>
        <v>47100</v>
      </c>
      <c r="E580" s="1">
        <f>IFERROR(__xludf.DUMMYFUNCTION("""COMPUTED_VALUE"""),47400.0)</f>
        <v>47400</v>
      </c>
      <c r="F580" s="1">
        <f>IFERROR(__xludf.DUMMYFUNCTION("""COMPUTED_VALUE"""),1320.0)</f>
        <v>1320</v>
      </c>
    </row>
    <row r="581">
      <c r="A581" s="2">
        <f>IFERROR(__xludf.DUMMYFUNCTION("""COMPUTED_VALUE"""),41767.645833333336)</f>
        <v>41767.64583</v>
      </c>
      <c r="B581" s="1">
        <f>IFERROR(__xludf.DUMMYFUNCTION("""COMPUTED_VALUE"""),47450.0)</f>
        <v>47450</v>
      </c>
      <c r="C581" s="1">
        <f>IFERROR(__xludf.DUMMYFUNCTION("""COMPUTED_VALUE"""),47450.0)</f>
        <v>47450</v>
      </c>
      <c r="D581" s="1">
        <f>IFERROR(__xludf.DUMMYFUNCTION("""COMPUTED_VALUE"""),46500.0)</f>
        <v>46500</v>
      </c>
      <c r="E581" s="1">
        <f>IFERROR(__xludf.DUMMYFUNCTION("""COMPUTED_VALUE"""),47100.0)</f>
        <v>47100</v>
      </c>
      <c r="F581" s="1">
        <f>IFERROR(__xludf.DUMMYFUNCTION("""COMPUTED_VALUE"""),2135.0)</f>
        <v>2135</v>
      </c>
    </row>
    <row r="582">
      <c r="A582" s="2">
        <f>IFERROR(__xludf.DUMMYFUNCTION("""COMPUTED_VALUE"""),41768.645833333336)</f>
        <v>41768.64583</v>
      </c>
      <c r="B582" s="1">
        <f>IFERROR(__xludf.DUMMYFUNCTION("""COMPUTED_VALUE"""),47350.0)</f>
        <v>47350</v>
      </c>
      <c r="C582" s="1">
        <f>IFERROR(__xludf.DUMMYFUNCTION("""COMPUTED_VALUE"""),47350.0)</f>
        <v>47350</v>
      </c>
      <c r="D582" s="1">
        <f>IFERROR(__xludf.DUMMYFUNCTION("""COMPUTED_VALUE"""),46750.0)</f>
        <v>46750</v>
      </c>
      <c r="E582" s="1">
        <f>IFERROR(__xludf.DUMMYFUNCTION("""COMPUTED_VALUE"""),46800.0)</f>
        <v>46800</v>
      </c>
      <c r="F582" s="1">
        <f>IFERROR(__xludf.DUMMYFUNCTION("""COMPUTED_VALUE"""),1830.0)</f>
        <v>1830</v>
      </c>
    </row>
    <row r="583">
      <c r="A583" s="2">
        <f>IFERROR(__xludf.DUMMYFUNCTION("""COMPUTED_VALUE"""),41771.645833333336)</f>
        <v>41771.64583</v>
      </c>
      <c r="B583" s="1">
        <f>IFERROR(__xludf.DUMMYFUNCTION("""COMPUTED_VALUE"""),46800.0)</f>
        <v>46800</v>
      </c>
      <c r="C583" s="1">
        <f>IFERROR(__xludf.DUMMYFUNCTION("""COMPUTED_VALUE"""),46800.0)</f>
        <v>46800</v>
      </c>
      <c r="D583" s="1">
        <f>IFERROR(__xludf.DUMMYFUNCTION("""COMPUTED_VALUE"""),45800.0)</f>
        <v>45800</v>
      </c>
      <c r="E583" s="1">
        <f>IFERROR(__xludf.DUMMYFUNCTION("""COMPUTED_VALUE"""),46150.0)</f>
        <v>46150</v>
      </c>
      <c r="F583" s="1">
        <f>IFERROR(__xludf.DUMMYFUNCTION("""COMPUTED_VALUE"""),3315.0)</f>
        <v>3315</v>
      </c>
    </row>
    <row r="584">
      <c r="A584" s="2">
        <f>IFERROR(__xludf.DUMMYFUNCTION("""COMPUTED_VALUE"""),41772.645833333336)</f>
        <v>41772.64583</v>
      </c>
      <c r="B584" s="1">
        <f>IFERROR(__xludf.DUMMYFUNCTION("""COMPUTED_VALUE"""),46000.0)</f>
        <v>46000</v>
      </c>
      <c r="C584" s="1">
        <f>IFERROR(__xludf.DUMMYFUNCTION("""COMPUTED_VALUE"""),46500.0)</f>
        <v>46500</v>
      </c>
      <c r="D584" s="1">
        <f>IFERROR(__xludf.DUMMYFUNCTION("""COMPUTED_VALUE"""),45900.0)</f>
        <v>45900</v>
      </c>
      <c r="E584" s="1">
        <f>IFERROR(__xludf.DUMMYFUNCTION("""COMPUTED_VALUE"""),46500.0)</f>
        <v>46500</v>
      </c>
      <c r="F584" s="1">
        <f>IFERROR(__xludf.DUMMYFUNCTION("""COMPUTED_VALUE"""),3938.0)</f>
        <v>3938</v>
      </c>
    </row>
    <row r="585">
      <c r="A585" s="2">
        <f>IFERROR(__xludf.DUMMYFUNCTION("""COMPUTED_VALUE"""),41773.645833333336)</f>
        <v>41773.64583</v>
      </c>
      <c r="B585" s="1">
        <f>IFERROR(__xludf.DUMMYFUNCTION("""COMPUTED_VALUE"""),46500.0)</f>
        <v>46500</v>
      </c>
      <c r="C585" s="1">
        <f>IFERROR(__xludf.DUMMYFUNCTION("""COMPUTED_VALUE"""),46500.0)</f>
        <v>46500</v>
      </c>
      <c r="D585" s="1">
        <f>IFERROR(__xludf.DUMMYFUNCTION("""COMPUTED_VALUE"""),46000.0)</f>
        <v>46000</v>
      </c>
      <c r="E585" s="1">
        <f>IFERROR(__xludf.DUMMYFUNCTION("""COMPUTED_VALUE"""),46250.0)</f>
        <v>46250</v>
      </c>
      <c r="F585" s="1">
        <f>IFERROR(__xludf.DUMMYFUNCTION("""COMPUTED_VALUE"""),2247.0)</f>
        <v>2247</v>
      </c>
    </row>
    <row r="586">
      <c r="A586" s="2">
        <f>IFERROR(__xludf.DUMMYFUNCTION("""COMPUTED_VALUE"""),41774.645833333336)</f>
        <v>41774.64583</v>
      </c>
      <c r="B586" s="1">
        <f>IFERROR(__xludf.DUMMYFUNCTION("""COMPUTED_VALUE"""),46200.0)</f>
        <v>46200</v>
      </c>
      <c r="C586" s="1">
        <f>IFERROR(__xludf.DUMMYFUNCTION("""COMPUTED_VALUE"""),46200.0)</f>
        <v>46200</v>
      </c>
      <c r="D586" s="1">
        <f>IFERROR(__xludf.DUMMYFUNCTION("""COMPUTED_VALUE"""),45800.0)</f>
        <v>45800</v>
      </c>
      <c r="E586" s="1">
        <f>IFERROR(__xludf.DUMMYFUNCTION("""COMPUTED_VALUE"""),45900.0)</f>
        <v>45900</v>
      </c>
      <c r="F586" s="1">
        <f>IFERROR(__xludf.DUMMYFUNCTION("""COMPUTED_VALUE"""),1964.0)</f>
        <v>1964</v>
      </c>
    </row>
    <row r="587">
      <c r="A587" s="2">
        <f>IFERROR(__xludf.DUMMYFUNCTION("""COMPUTED_VALUE"""),41775.645833333336)</f>
        <v>41775.64583</v>
      </c>
      <c r="B587" s="1">
        <f>IFERROR(__xludf.DUMMYFUNCTION("""COMPUTED_VALUE"""),45600.0)</f>
        <v>45600</v>
      </c>
      <c r="C587" s="1">
        <f>IFERROR(__xludf.DUMMYFUNCTION("""COMPUTED_VALUE"""),45700.0)</f>
        <v>45700</v>
      </c>
      <c r="D587" s="1">
        <f>IFERROR(__xludf.DUMMYFUNCTION("""COMPUTED_VALUE"""),45200.0)</f>
        <v>45200</v>
      </c>
      <c r="E587" s="1">
        <f>IFERROR(__xludf.DUMMYFUNCTION("""COMPUTED_VALUE"""),45200.0)</f>
        <v>45200</v>
      </c>
      <c r="F587" s="1">
        <f>IFERROR(__xludf.DUMMYFUNCTION("""COMPUTED_VALUE"""),6299.0)</f>
        <v>6299</v>
      </c>
    </row>
    <row r="588">
      <c r="A588" s="2">
        <f>IFERROR(__xludf.DUMMYFUNCTION("""COMPUTED_VALUE"""),41778.645833333336)</f>
        <v>41778.64583</v>
      </c>
      <c r="B588" s="1">
        <f>IFERROR(__xludf.DUMMYFUNCTION("""COMPUTED_VALUE"""),45150.0)</f>
        <v>45150</v>
      </c>
      <c r="C588" s="1">
        <f>IFERROR(__xludf.DUMMYFUNCTION("""COMPUTED_VALUE"""),45200.0)</f>
        <v>45200</v>
      </c>
      <c r="D588" s="1">
        <f>IFERROR(__xludf.DUMMYFUNCTION("""COMPUTED_VALUE"""),44500.0)</f>
        <v>44500</v>
      </c>
      <c r="E588" s="1">
        <f>IFERROR(__xludf.DUMMYFUNCTION("""COMPUTED_VALUE"""),44500.0)</f>
        <v>44500</v>
      </c>
      <c r="F588" s="1">
        <f>IFERROR(__xludf.DUMMYFUNCTION("""COMPUTED_VALUE"""),6586.0)</f>
        <v>6586</v>
      </c>
    </row>
    <row r="589">
      <c r="A589" s="2">
        <f>IFERROR(__xludf.DUMMYFUNCTION("""COMPUTED_VALUE"""),41779.645833333336)</f>
        <v>41779.64583</v>
      </c>
      <c r="B589" s="1">
        <f>IFERROR(__xludf.DUMMYFUNCTION("""COMPUTED_VALUE"""),44500.0)</f>
        <v>44500</v>
      </c>
      <c r="C589" s="1">
        <f>IFERROR(__xludf.DUMMYFUNCTION("""COMPUTED_VALUE"""),44650.0)</f>
        <v>44650</v>
      </c>
      <c r="D589" s="1">
        <f>IFERROR(__xludf.DUMMYFUNCTION("""COMPUTED_VALUE"""),43600.0)</f>
        <v>43600</v>
      </c>
      <c r="E589" s="1">
        <f>IFERROR(__xludf.DUMMYFUNCTION("""COMPUTED_VALUE"""),44250.0)</f>
        <v>44250</v>
      </c>
      <c r="F589" s="1">
        <f>IFERROR(__xludf.DUMMYFUNCTION("""COMPUTED_VALUE"""),5783.0)</f>
        <v>5783</v>
      </c>
    </row>
    <row r="590">
      <c r="A590" s="2">
        <f>IFERROR(__xludf.DUMMYFUNCTION("""COMPUTED_VALUE"""),41780.645833333336)</f>
        <v>41780.64583</v>
      </c>
      <c r="B590" s="1">
        <f>IFERROR(__xludf.DUMMYFUNCTION("""COMPUTED_VALUE"""),44000.0)</f>
        <v>44000</v>
      </c>
      <c r="C590" s="1">
        <f>IFERROR(__xludf.DUMMYFUNCTION("""COMPUTED_VALUE"""),44100.0)</f>
        <v>44100</v>
      </c>
      <c r="D590" s="1">
        <f>IFERROR(__xludf.DUMMYFUNCTION("""COMPUTED_VALUE"""),43700.0)</f>
        <v>43700</v>
      </c>
      <c r="E590" s="1">
        <f>IFERROR(__xludf.DUMMYFUNCTION("""COMPUTED_VALUE"""),43800.0)</f>
        <v>43800</v>
      </c>
      <c r="F590" s="1">
        <f>IFERROR(__xludf.DUMMYFUNCTION("""COMPUTED_VALUE"""),3724.0)</f>
        <v>3724</v>
      </c>
    </row>
    <row r="591">
      <c r="A591" s="2">
        <f>IFERROR(__xludf.DUMMYFUNCTION("""COMPUTED_VALUE"""),41781.645833333336)</f>
        <v>41781.64583</v>
      </c>
      <c r="B591" s="1">
        <f>IFERROR(__xludf.DUMMYFUNCTION("""COMPUTED_VALUE"""),43800.0)</f>
        <v>43800</v>
      </c>
      <c r="C591" s="1">
        <f>IFERROR(__xludf.DUMMYFUNCTION("""COMPUTED_VALUE"""),44300.0)</f>
        <v>44300</v>
      </c>
      <c r="D591" s="1">
        <f>IFERROR(__xludf.DUMMYFUNCTION("""COMPUTED_VALUE"""),43800.0)</f>
        <v>43800</v>
      </c>
      <c r="E591" s="1">
        <f>IFERROR(__xludf.DUMMYFUNCTION("""COMPUTED_VALUE"""),44300.0)</f>
        <v>44300</v>
      </c>
      <c r="F591" s="1">
        <f>IFERROR(__xludf.DUMMYFUNCTION("""COMPUTED_VALUE"""),3665.0)</f>
        <v>3665</v>
      </c>
    </row>
    <row r="592">
      <c r="A592" s="2">
        <f>IFERROR(__xludf.DUMMYFUNCTION("""COMPUTED_VALUE"""),41782.645833333336)</f>
        <v>41782.64583</v>
      </c>
      <c r="B592" s="1">
        <f>IFERROR(__xludf.DUMMYFUNCTION("""COMPUTED_VALUE"""),44000.0)</f>
        <v>44000</v>
      </c>
      <c r="C592" s="1">
        <f>IFERROR(__xludf.DUMMYFUNCTION("""COMPUTED_VALUE"""),44300.0)</f>
        <v>44300</v>
      </c>
      <c r="D592" s="1">
        <f>IFERROR(__xludf.DUMMYFUNCTION("""COMPUTED_VALUE"""),43850.0)</f>
        <v>43850</v>
      </c>
      <c r="E592" s="1">
        <f>IFERROR(__xludf.DUMMYFUNCTION("""COMPUTED_VALUE"""),44050.0)</f>
        <v>44050</v>
      </c>
      <c r="F592" s="1">
        <f>IFERROR(__xludf.DUMMYFUNCTION("""COMPUTED_VALUE"""),6116.0)</f>
        <v>6116</v>
      </c>
    </row>
    <row r="593">
      <c r="A593" s="2">
        <f>IFERROR(__xludf.DUMMYFUNCTION("""COMPUTED_VALUE"""),41785.645833333336)</f>
        <v>41785.64583</v>
      </c>
      <c r="B593" s="1">
        <f>IFERROR(__xludf.DUMMYFUNCTION("""COMPUTED_VALUE"""),43900.0)</f>
        <v>43900</v>
      </c>
      <c r="C593" s="1">
        <f>IFERROR(__xludf.DUMMYFUNCTION("""COMPUTED_VALUE"""),44400.0)</f>
        <v>44400</v>
      </c>
      <c r="D593" s="1">
        <f>IFERROR(__xludf.DUMMYFUNCTION("""COMPUTED_VALUE"""),43600.0)</f>
        <v>43600</v>
      </c>
      <c r="E593" s="1">
        <f>IFERROR(__xludf.DUMMYFUNCTION("""COMPUTED_VALUE"""),43800.0)</f>
        <v>43800</v>
      </c>
      <c r="F593" s="1">
        <f>IFERROR(__xludf.DUMMYFUNCTION("""COMPUTED_VALUE"""),4063.0)</f>
        <v>4063</v>
      </c>
    </row>
    <row r="594">
      <c r="A594" s="2">
        <f>IFERROR(__xludf.DUMMYFUNCTION("""COMPUTED_VALUE"""),41786.645833333336)</f>
        <v>41786.64583</v>
      </c>
      <c r="B594" s="1">
        <f>IFERROR(__xludf.DUMMYFUNCTION("""COMPUTED_VALUE"""),43850.0)</f>
        <v>43850</v>
      </c>
      <c r="C594" s="1">
        <f>IFERROR(__xludf.DUMMYFUNCTION("""COMPUTED_VALUE"""),44000.0)</f>
        <v>44000</v>
      </c>
      <c r="D594" s="1">
        <f>IFERROR(__xludf.DUMMYFUNCTION("""COMPUTED_VALUE"""),43050.0)</f>
        <v>43050</v>
      </c>
      <c r="E594" s="1">
        <f>IFERROR(__xludf.DUMMYFUNCTION("""COMPUTED_VALUE"""),43100.0)</f>
        <v>43100</v>
      </c>
      <c r="F594" s="1">
        <f>IFERROR(__xludf.DUMMYFUNCTION("""COMPUTED_VALUE"""),6157.0)</f>
        <v>6157</v>
      </c>
    </row>
    <row r="595">
      <c r="A595" s="2">
        <f>IFERROR(__xludf.DUMMYFUNCTION("""COMPUTED_VALUE"""),41787.645833333336)</f>
        <v>41787.64583</v>
      </c>
      <c r="B595" s="1">
        <f>IFERROR(__xludf.DUMMYFUNCTION("""COMPUTED_VALUE"""),43100.0)</f>
        <v>43100</v>
      </c>
      <c r="C595" s="1">
        <f>IFERROR(__xludf.DUMMYFUNCTION("""COMPUTED_VALUE"""),43200.0)</f>
        <v>43200</v>
      </c>
      <c r="D595" s="1">
        <f>IFERROR(__xludf.DUMMYFUNCTION("""COMPUTED_VALUE"""),42750.0)</f>
        <v>42750</v>
      </c>
      <c r="E595" s="1">
        <f>IFERROR(__xludf.DUMMYFUNCTION("""COMPUTED_VALUE"""),43000.0)</f>
        <v>43000</v>
      </c>
      <c r="F595" s="1">
        <f>IFERROR(__xludf.DUMMYFUNCTION("""COMPUTED_VALUE"""),5310.0)</f>
        <v>5310</v>
      </c>
    </row>
    <row r="596">
      <c r="A596" s="2">
        <f>IFERROR(__xludf.DUMMYFUNCTION("""COMPUTED_VALUE"""),41788.645833333336)</f>
        <v>41788.64583</v>
      </c>
      <c r="B596" s="1">
        <f>IFERROR(__xludf.DUMMYFUNCTION("""COMPUTED_VALUE"""),43000.0)</f>
        <v>43000</v>
      </c>
      <c r="C596" s="1">
        <f>IFERROR(__xludf.DUMMYFUNCTION("""COMPUTED_VALUE"""),43000.0)</f>
        <v>43000</v>
      </c>
      <c r="D596" s="1">
        <f>IFERROR(__xludf.DUMMYFUNCTION("""COMPUTED_VALUE"""),42050.0)</f>
        <v>42050</v>
      </c>
      <c r="E596" s="1">
        <f>IFERROR(__xludf.DUMMYFUNCTION("""COMPUTED_VALUE"""),42100.0)</f>
        <v>42100</v>
      </c>
      <c r="F596" s="1">
        <f>IFERROR(__xludf.DUMMYFUNCTION("""COMPUTED_VALUE"""),4971.0)</f>
        <v>4971</v>
      </c>
    </row>
    <row r="597">
      <c r="A597" s="2">
        <f>IFERROR(__xludf.DUMMYFUNCTION("""COMPUTED_VALUE"""),41789.645833333336)</f>
        <v>41789.64583</v>
      </c>
      <c r="B597" s="1">
        <f>IFERROR(__xludf.DUMMYFUNCTION("""COMPUTED_VALUE"""),41550.0)</f>
        <v>41550</v>
      </c>
      <c r="C597" s="1">
        <f>IFERROR(__xludf.DUMMYFUNCTION("""COMPUTED_VALUE"""),41800.0)</f>
        <v>41800</v>
      </c>
      <c r="D597" s="1">
        <f>IFERROR(__xludf.DUMMYFUNCTION("""COMPUTED_VALUE"""),40400.0)</f>
        <v>40400</v>
      </c>
      <c r="E597" s="1">
        <f>IFERROR(__xludf.DUMMYFUNCTION("""COMPUTED_VALUE"""),41000.0)</f>
        <v>41000</v>
      </c>
      <c r="F597" s="1">
        <f>IFERROR(__xludf.DUMMYFUNCTION("""COMPUTED_VALUE"""),20781.0)</f>
        <v>20781</v>
      </c>
    </row>
    <row r="598">
      <c r="A598" s="2">
        <f>IFERROR(__xludf.DUMMYFUNCTION("""COMPUTED_VALUE"""),41792.645833333336)</f>
        <v>41792.64583</v>
      </c>
      <c r="B598" s="1">
        <f>IFERROR(__xludf.DUMMYFUNCTION("""COMPUTED_VALUE"""),41000.0)</f>
        <v>41000</v>
      </c>
      <c r="C598" s="1">
        <f>IFERROR(__xludf.DUMMYFUNCTION("""COMPUTED_VALUE"""),41000.0)</f>
        <v>41000</v>
      </c>
      <c r="D598" s="1">
        <f>IFERROR(__xludf.DUMMYFUNCTION("""COMPUTED_VALUE"""),39750.0)</f>
        <v>39750</v>
      </c>
      <c r="E598" s="1">
        <f>IFERROR(__xludf.DUMMYFUNCTION("""COMPUTED_VALUE"""),40650.0)</f>
        <v>40650</v>
      </c>
      <c r="F598" s="1">
        <f>IFERROR(__xludf.DUMMYFUNCTION("""COMPUTED_VALUE"""),18409.0)</f>
        <v>18409</v>
      </c>
    </row>
    <row r="599">
      <c r="A599" s="2">
        <f>IFERROR(__xludf.DUMMYFUNCTION("""COMPUTED_VALUE"""),41793.645833333336)</f>
        <v>41793.64583</v>
      </c>
      <c r="B599" s="1">
        <f>IFERROR(__xludf.DUMMYFUNCTION("""COMPUTED_VALUE"""),39850.0)</f>
        <v>39850</v>
      </c>
      <c r="C599" s="1">
        <f>IFERROR(__xludf.DUMMYFUNCTION("""COMPUTED_VALUE"""),40650.0)</f>
        <v>40650</v>
      </c>
      <c r="D599" s="1">
        <f>IFERROR(__xludf.DUMMYFUNCTION("""COMPUTED_VALUE"""),38950.0)</f>
        <v>38950</v>
      </c>
      <c r="E599" s="1">
        <f>IFERROR(__xludf.DUMMYFUNCTION("""COMPUTED_VALUE"""),39000.0)</f>
        <v>39000</v>
      </c>
      <c r="F599" s="1">
        <f>IFERROR(__xludf.DUMMYFUNCTION("""COMPUTED_VALUE"""),23929.0)</f>
        <v>23929</v>
      </c>
    </row>
    <row r="600">
      <c r="A600" s="2">
        <f>IFERROR(__xludf.DUMMYFUNCTION("""COMPUTED_VALUE"""),41795.645833333336)</f>
        <v>41795.64583</v>
      </c>
      <c r="B600" s="1">
        <f>IFERROR(__xludf.DUMMYFUNCTION("""COMPUTED_VALUE"""),39000.0)</f>
        <v>39000</v>
      </c>
      <c r="C600" s="1">
        <f>IFERROR(__xludf.DUMMYFUNCTION("""COMPUTED_VALUE"""),39000.0)</f>
        <v>39000</v>
      </c>
      <c r="D600" s="1">
        <f>IFERROR(__xludf.DUMMYFUNCTION("""COMPUTED_VALUE"""),37400.0)</f>
        <v>37400</v>
      </c>
      <c r="E600" s="1">
        <f>IFERROR(__xludf.DUMMYFUNCTION("""COMPUTED_VALUE"""),37900.0)</f>
        <v>37900</v>
      </c>
      <c r="F600" s="1">
        <f>IFERROR(__xludf.DUMMYFUNCTION("""COMPUTED_VALUE"""),24068.0)</f>
        <v>24068</v>
      </c>
    </row>
    <row r="601">
      <c r="A601" s="2">
        <f>IFERROR(__xludf.DUMMYFUNCTION("""COMPUTED_VALUE"""),41799.645833333336)</f>
        <v>41799.64583</v>
      </c>
      <c r="B601" s="1">
        <f>IFERROR(__xludf.DUMMYFUNCTION("""COMPUTED_VALUE"""),38000.0)</f>
        <v>38000</v>
      </c>
      <c r="C601" s="1">
        <f>IFERROR(__xludf.DUMMYFUNCTION("""COMPUTED_VALUE"""),39150.0)</f>
        <v>39150</v>
      </c>
      <c r="D601" s="1">
        <f>IFERROR(__xludf.DUMMYFUNCTION("""COMPUTED_VALUE"""),37850.0)</f>
        <v>37850</v>
      </c>
      <c r="E601" s="1">
        <f>IFERROR(__xludf.DUMMYFUNCTION("""COMPUTED_VALUE"""),39000.0)</f>
        <v>39000</v>
      </c>
      <c r="F601" s="1">
        <f>IFERROR(__xludf.DUMMYFUNCTION("""COMPUTED_VALUE"""),13461.0)</f>
        <v>13461</v>
      </c>
    </row>
    <row r="602">
      <c r="A602" s="2">
        <f>IFERROR(__xludf.DUMMYFUNCTION("""COMPUTED_VALUE"""),41800.645833333336)</f>
        <v>41800.64583</v>
      </c>
      <c r="B602" s="1">
        <f>IFERROR(__xludf.DUMMYFUNCTION("""COMPUTED_VALUE"""),39000.0)</f>
        <v>39000</v>
      </c>
      <c r="C602" s="1">
        <f>IFERROR(__xludf.DUMMYFUNCTION("""COMPUTED_VALUE"""),39250.0)</f>
        <v>39250</v>
      </c>
      <c r="D602" s="1">
        <f>IFERROR(__xludf.DUMMYFUNCTION("""COMPUTED_VALUE"""),38600.0)</f>
        <v>38600</v>
      </c>
      <c r="E602" s="1">
        <f>IFERROR(__xludf.DUMMYFUNCTION("""COMPUTED_VALUE"""),38950.0)</f>
        <v>38950</v>
      </c>
      <c r="F602" s="1">
        <f>IFERROR(__xludf.DUMMYFUNCTION("""COMPUTED_VALUE"""),7772.0)</f>
        <v>7772</v>
      </c>
    </row>
    <row r="603">
      <c r="A603" s="2">
        <f>IFERROR(__xludf.DUMMYFUNCTION("""COMPUTED_VALUE"""),41801.645833333336)</f>
        <v>41801.64583</v>
      </c>
      <c r="B603" s="1">
        <f>IFERROR(__xludf.DUMMYFUNCTION("""COMPUTED_VALUE"""),38950.0)</f>
        <v>38950</v>
      </c>
      <c r="C603" s="1">
        <f>IFERROR(__xludf.DUMMYFUNCTION("""COMPUTED_VALUE"""),39700.0)</f>
        <v>39700</v>
      </c>
      <c r="D603" s="1">
        <f>IFERROR(__xludf.DUMMYFUNCTION("""COMPUTED_VALUE"""),38950.0)</f>
        <v>38950</v>
      </c>
      <c r="E603" s="1">
        <f>IFERROR(__xludf.DUMMYFUNCTION("""COMPUTED_VALUE"""),39400.0)</f>
        <v>39400</v>
      </c>
      <c r="F603" s="1">
        <f>IFERROR(__xludf.DUMMYFUNCTION("""COMPUTED_VALUE"""),4900.0)</f>
        <v>4900</v>
      </c>
    </row>
    <row r="604">
      <c r="A604" s="2">
        <f>IFERROR(__xludf.DUMMYFUNCTION("""COMPUTED_VALUE"""),41802.645833333336)</f>
        <v>41802.64583</v>
      </c>
      <c r="B604" s="1">
        <f>IFERROR(__xludf.DUMMYFUNCTION("""COMPUTED_VALUE"""),39600.0)</f>
        <v>39600</v>
      </c>
      <c r="C604" s="1">
        <f>IFERROR(__xludf.DUMMYFUNCTION("""COMPUTED_VALUE"""),39750.0)</f>
        <v>39750</v>
      </c>
      <c r="D604" s="1">
        <f>IFERROR(__xludf.DUMMYFUNCTION("""COMPUTED_VALUE"""),39000.0)</f>
        <v>39000</v>
      </c>
      <c r="E604" s="1">
        <f>IFERROR(__xludf.DUMMYFUNCTION("""COMPUTED_VALUE"""),39450.0)</f>
        <v>39450</v>
      </c>
      <c r="F604" s="1">
        <f>IFERROR(__xludf.DUMMYFUNCTION("""COMPUTED_VALUE"""),4870.0)</f>
        <v>4870</v>
      </c>
    </row>
    <row r="605">
      <c r="A605" s="2">
        <f>IFERROR(__xludf.DUMMYFUNCTION("""COMPUTED_VALUE"""),41803.645833333336)</f>
        <v>41803.64583</v>
      </c>
      <c r="B605" s="1">
        <f>IFERROR(__xludf.DUMMYFUNCTION("""COMPUTED_VALUE"""),39500.0)</f>
        <v>39500</v>
      </c>
      <c r="C605" s="1">
        <f>IFERROR(__xludf.DUMMYFUNCTION("""COMPUTED_VALUE"""),40200.0)</f>
        <v>40200</v>
      </c>
      <c r="D605" s="1">
        <f>IFERROR(__xludf.DUMMYFUNCTION("""COMPUTED_VALUE"""),39450.0)</f>
        <v>39450</v>
      </c>
      <c r="E605" s="1">
        <f>IFERROR(__xludf.DUMMYFUNCTION("""COMPUTED_VALUE"""),39500.0)</f>
        <v>39500</v>
      </c>
      <c r="F605" s="1">
        <f>IFERROR(__xludf.DUMMYFUNCTION("""COMPUTED_VALUE"""),5485.0)</f>
        <v>5485</v>
      </c>
    </row>
    <row r="606">
      <c r="A606" s="2">
        <f>IFERROR(__xludf.DUMMYFUNCTION("""COMPUTED_VALUE"""),41806.645833333336)</f>
        <v>41806.64583</v>
      </c>
      <c r="B606" s="1">
        <f>IFERROR(__xludf.DUMMYFUNCTION("""COMPUTED_VALUE"""),39400.0)</f>
        <v>39400</v>
      </c>
      <c r="C606" s="1">
        <f>IFERROR(__xludf.DUMMYFUNCTION("""COMPUTED_VALUE"""),40400.0)</f>
        <v>40400</v>
      </c>
      <c r="D606" s="1">
        <f>IFERROR(__xludf.DUMMYFUNCTION("""COMPUTED_VALUE"""),39400.0)</f>
        <v>39400</v>
      </c>
      <c r="E606" s="1">
        <f>IFERROR(__xludf.DUMMYFUNCTION("""COMPUTED_VALUE"""),40300.0)</f>
        <v>40300</v>
      </c>
      <c r="F606" s="1">
        <f>IFERROR(__xludf.DUMMYFUNCTION("""COMPUTED_VALUE"""),10627.0)</f>
        <v>10627</v>
      </c>
    </row>
    <row r="607">
      <c r="A607" s="2">
        <f>IFERROR(__xludf.DUMMYFUNCTION("""COMPUTED_VALUE"""),41807.645833333336)</f>
        <v>41807.64583</v>
      </c>
      <c r="B607" s="1">
        <f>IFERROR(__xludf.DUMMYFUNCTION("""COMPUTED_VALUE"""),40300.0)</f>
        <v>40300</v>
      </c>
      <c r="C607" s="1">
        <f>IFERROR(__xludf.DUMMYFUNCTION("""COMPUTED_VALUE"""),40300.0)</f>
        <v>40300</v>
      </c>
      <c r="D607" s="1">
        <f>IFERROR(__xludf.DUMMYFUNCTION("""COMPUTED_VALUE"""),39700.0)</f>
        <v>39700</v>
      </c>
      <c r="E607" s="1">
        <f>IFERROR(__xludf.DUMMYFUNCTION("""COMPUTED_VALUE"""),40250.0)</f>
        <v>40250</v>
      </c>
      <c r="F607" s="1">
        <f>IFERROR(__xludf.DUMMYFUNCTION("""COMPUTED_VALUE"""),3095.0)</f>
        <v>3095</v>
      </c>
    </row>
    <row r="608">
      <c r="A608" s="2">
        <f>IFERROR(__xludf.DUMMYFUNCTION("""COMPUTED_VALUE"""),41808.645833333336)</f>
        <v>41808.64583</v>
      </c>
      <c r="B608" s="1">
        <f>IFERROR(__xludf.DUMMYFUNCTION("""COMPUTED_VALUE"""),40250.0)</f>
        <v>40250</v>
      </c>
      <c r="C608" s="1">
        <f>IFERROR(__xludf.DUMMYFUNCTION("""COMPUTED_VALUE"""),40300.0)</f>
        <v>40300</v>
      </c>
      <c r="D608" s="1">
        <f>IFERROR(__xludf.DUMMYFUNCTION("""COMPUTED_VALUE"""),40100.0)</f>
        <v>40100</v>
      </c>
      <c r="E608" s="1">
        <f>IFERROR(__xludf.DUMMYFUNCTION("""COMPUTED_VALUE"""),40200.0)</f>
        <v>40200</v>
      </c>
      <c r="F608" s="1">
        <f>IFERROR(__xludf.DUMMYFUNCTION("""COMPUTED_VALUE"""),4019.0)</f>
        <v>4019</v>
      </c>
    </row>
    <row r="609">
      <c r="A609" s="2">
        <f>IFERROR(__xludf.DUMMYFUNCTION("""COMPUTED_VALUE"""),41809.645833333336)</f>
        <v>41809.64583</v>
      </c>
      <c r="B609" s="1">
        <f>IFERROR(__xludf.DUMMYFUNCTION("""COMPUTED_VALUE"""),40250.0)</f>
        <v>40250</v>
      </c>
      <c r="C609" s="1">
        <f>IFERROR(__xludf.DUMMYFUNCTION("""COMPUTED_VALUE"""),40400.0)</f>
        <v>40400</v>
      </c>
      <c r="D609" s="1">
        <f>IFERROR(__xludf.DUMMYFUNCTION("""COMPUTED_VALUE"""),40200.0)</f>
        <v>40200</v>
      </c>
      <c r="E609" s="1">
        <f>IFERROR(__xludf.DUMMYFUNCTION("""COMPUTED_VALUE"""),40400.0)</f>
        <v>40400</v>
      </c>
      <c r="F609" s="1">
        <f>IFERROR(__xludf.DUMMYFUNCTION("""COMPUTED_VALUE"""),3732.0)</f>
        <v>3732</v>
      </c>
    </row>
    <row r="610">
      <c r="A610" s="2">
        <f>IFERROR(__xludf.DUMMYFUNCTION("""COMPUTED_VALUE"""),41810.645833333336)</f>
        <v>41810.64583</v>
      </c>
      <c r="B610" s="1">
        <f>IFERROR(__xludf.DUMMYFUNCTION("""COMPUTED_VALUE"""),40450.0)</f>
        <v>40450</v>
      </c>
      <c r="C610" s="1">
        <f>IFERROR(__xludf.DUMMYFUNCTION("""COMPUTED_VALUE"""),40450.0)</f>
        <v>40450</v>
      </c>
      <c r="D610" s="1">
        <f>IFERROR(__xludf.DUMMYFUNCTION("""COMPUTED_VALUE"""),39800.0)</f>
        <v>39800</v>
      </c>
      <c r="E610" s="1">
        <f>IFERROR(__xludf.DUMMYFUNCTION("""COMPUTED_VALUE"""),39900.0)</f>
        <v>39900</v>
      </c>
      <c r="F610" s="1">
        <f>IFERROR(__xludf.DUMMYFUNCTION("""COMPUTED_VALUE"""),5412.0)</f>
        <v>5412</v>
      </c>
    </row>
    <row r="611">
      <c r="A611" s="2">
        <f>IFERROR(__xludf.DUMMYFUNCTION("""COMPUTED_VALUE"""),41813.645833333336)</f>
        <v>41813.64583</v>
      </c>
      <c r="B611" s="1">
        <f>IFERROR(__xludf.DUMMYFUNCTION("""COMPUTED_VALUE"""),40250.0)</f>
        <v>40250</v>
      </c>
      <c r="C611" s="1">
        <f>IFERROR(__xludf.DUMMYFUNCTION("""COMPUTED_VALUE"""),40250.0)</f>
        <v>40250</v>
      </c>
      <c r="D611" s="1">
        <f>IFERROR(__xludf.DUMMYFUNCTION("""COMPUTED_VALUE"""),39350.0)</f>
        <v>39350</v>
      </c>
      <c r="E611" s="1">
        <f>IFERROR(__xludf.DUMMYFUNCTION("""COMPUTED_VALUE"""),39550.0)</f>
        <v>39550</v>
      </c>
      <c r="F611" s="1">
        <f>IFERROR(__xludf.DUMMYFUNCTION("""COMPUTED_VALUE"""),3601.0)</f>
        <v>3601</v>
      </c>
    </row>
    <row r="612">
      <c r="A612" s="2">
        <f>IFERROR(__xludf.DUMMYFUNCTION("""COMPUTED_VALUE"""),41814.645833333336)</f>
        <v>41814.64583</v>
      </c>
      <c r="B612" s="1">
        <f>IFERROR(__xludf.DUMMYFUNCTION("""COMPUTED_VALUE"""),39150.0)</f>
        <v>39150</v>
      </c>
      <c r="C612" s="1">
        <f>IFERROR(__xludf.DUMMYFUNCTION("""COMPUTED_VALUE"""),39850.0)</f>
        <v>39850</v>
      </c>
      <c r="D612" s="1">
        <f>IFERROR(__xludf.DUMMYFUNCTION("""COMPUTED_VALUE"""),39150.0)</f>
        <v>39150</v>
      </c>
      <c r="E612" s="1">
        <f>IFERROR(__xludf.DUMMYFUNCTION("""COMPUTED_VALUE"""),39500.0)</f>
        <v>39500</v>
      </c>
      <c r="F612" s="1">
        <f>IFERROR(__xludf.DUMMYFUNCTION("""COMPUTED_VALUE"""),2488.0)</f>
        <v>2488</v>
      </c>
    </row>
    <row r="613">
      <c r="A613" s="2">
        <f>IFERROR(__xludf.DUMMYFUNCTION("""COMPUTED_VALUE"""),41815.645833333336)</f>
        <v>41815.64583</v>
      </c>
      <c r="B613" s="1">
        <f>IFERROR(__xludf.DUMMYFUNCTION("""COMPUTED_VALUE"""),39500.0)</f>
        <v>39500</v>
      </c>
      <c r="C613" s="1">
        <f>IFERROR(__xludf.DUMMYFUNCTION("""COMPUTED_VALUE"""),39500.0)</f>
        <v>39500</v>
      </c>
      <c r="D613" s="1">
        <f>IFERROR(__xludf.DUMMYFUNCTION("""COMPUTED_VALUE"""),39350.0)</f>
        <v>39350</v>
      </c>
      <c r="E613" s="1">
        <f>IFERROR(__xludf.DUMMYFUNCTION("""COMPUTED_VALUE"""),39350.0)</f>
        <v>39350</v>
      </c>
      <c r="F613" s="1">
        <f>IFERROR(__xludf.DUMMYFUNCTION("""COMPUTED_VALUE"""),4841.0)</f>
        <v>4841</v>
      </c>
    </row>
    <row r="614">
      <c r="A614" s="2">
        <f>IFERROR(__xludf.DUMMYFUNCTION("""COMPUTED_VALUE"""),41816.645833333336)</f>
        <v>41816.64583</v>
      </c>
      <c r="B614" s="1">
        <f>IFERROR(__xludf.DUMMYFUNCTION("""COMPUTED_VALUE"""),39500.0)</f>
        <v>39500</v>
      </c>
      <c r="C614" s="1">
        <f>IFERROR(__xludf.DUMMYFUNCTION("""COMPUTED_VALUE"""),39550.0)</f>
        <v>39550</v>
      </c>
      <c r="D614" s="1">
        <f>IFERROR(__xludf.DUMMYFUNCTION("""COMPUTED_VALUE"""),39200.0)</f>
        <v>39200</v>
      </c>
      <c r="E614" s="1">
        <f>IFERROR(__xludf.DUMMYFUNCTION("""COMPUTED_VALUE"""),39350.0)</f>
        <v>39350</v>
      </c>
      <c r="F614" s="1">
        <f>IFERROR(__xludf.DUMMYFUNCTION("""COMPUTED_VALUE"""),7599.0)</f>
        <v>7599</v>
      </c>
    </row>
    <row r="615">
      <c r="A615" s="2">
        <f>IFERROR(__xludf.DUMMYFUNCTION("""COMPUTED_VALUE"""),41817.645833333336)</f>
        <v>41817.64583</v>
      </c>
      <c r="B615" s="1">
        <f>IFERROR(__xludf.DUMMYFUNCTION("""COMPUTED_VALUE"""),39350.0)</f>
        <v>39350</v>
      </c>
      <c r="C615" s="1">
        <f>IFERROR(__xludf.DUMMYFUNCTION("""COMPUTED_VALUE"""),39400.0)</f>
        <v>39400</v>
      </c>
      <c r="D615" s="1">
        <f>IFERROR(__xludf.DUMMYFUNCTION("""COMPUTED_VALUE"""),39100.0)</f>
        <v>39100</v>
      </c>
      <c r="E615" s="1">
        <f>IFERROR(__xludf.DUMMYFUNCTION("""COMPUTED_VALUE"""),39400.0)</f>
        <v>39400</v>
      </c>
      <c r="F615" s="1">
        <f>IFERROR(__xludf.DUMMYFUNCTION("""COMPUTED_VALUE"""),9952.0)</f>
        <v>9952</v>
      </c>
    </row>
    <row r="616">
      <c r="A616" s="2">
        <f>IFERROR(__xludf.DUMMYFUNCTION("""COMPUTED_VALUE"""),41820.645833333336)</f>
        <v>41820.64583</v>
      </c>
      <c r="B616" s="1">
        <f>IFERROR(__xludf.DUMMYFUNCTION("""COMPUTED_VALUE"""),39450.0)</f>
        <v>39450</v>
      </c>
      <c r="C616" s="1">
        <f>IFERROR(__xludf.DUMMYFUNCTION("""COMPUTED_VALUE"""),40000.0)</f>
        <v>40000</v>
      </c>
      <c r="D616" s="1">
        <f>IFERROR(__xludf.DUMMYFUNCTION("""COMPUTED_VALUE"""),39050.0)</f>
        <v>39050</v>
      </c>
      <c r="E616" s="1">
        <f>IFERROR(__xludf.DUMMYFUNCTION("""COMPUTED_VALUE"""),40000.0)</f>
        <v>40000</v>
      </c>
      <c r="F616" s="1">
        <f>IFERROR(__xludf.DUMMYFUNCTION("""COMPUTED_VALUE"""),2294.0)</f>
        <v>2294</v>
      </c>
    </row>
    <row r="617">
      <c r="A617" s="2">
        <f>IFERROR(__xludf.DUMMYFUNCTION("""COMPUTED_VALUE"""),41821.645833333336)</f>
        <v>41821.64583</v>
      </c>
      <c r="B617" s="1">
        <f>IFERROR(__xludf.DUMMYFUNCTION("""COMPUTED_VALUE"""),39300.0)</f>
        <v>39300</v>
      </c>
      <c r="C617" s="1">
        <f>IFERROR(__xludf.DUMMYFUNCTION("""COMPUTED_VALUE"""),40000.0)</f>
        <v>40000</v>
      </c>
      <c r="D617" s="1">
        <f>IFERROR(__xludf.DUMMYFUNCTION("""COMPUTED_VALUE"""),39250.0)</f>
        <v>39250</v>
      </c>
      <c r="E617" s="1">
        <f>IFERROR(__xludf.DUMMYFUNCTION("""COMPUTED_VALUE"""),39900.0)</f>
        <v>39900</v>
      </c>
      <c r="F617" s="1">
        <f>IFERROR(__xludf.DUMMYFUNCTION("""COMPUTED_VALUE"""),1703.0)</f>
        <v>1703</v>
      </c>
    </row>
    <row r="618">
      <c r="A618" s="2">
        <f>IFERROR(__xludf.DUMMYFUNCTION("""COMPUTED_VALUE"""),41822.645833333336)</f>
        <v>41822.64583</v>
      </c>
      <c r="B618" s="1">
        <f>IFERROR(__xludf.DUMMYFUNCTION("""COMPUTED_VALUE"""),39900.0)</f>
        <v>39900</v>
      </c>
      <c r="C618" s="1">
        <f>IFERROR(__xludf.DUMMYFUNCTION("""COMPUTED_VALUE"""),39950.0)</f>
        <v>39950</v>
      </c>
      <c r="D618" s="1">
        <f>IFERROR(__xludf.DUMMYFUNCTION("""COMPUTED_VALUE"""),39600.0)</f>
        <v>39600</v>
      </c>
      <c r="E618" s="1">
        <f>IFERROR(__xludf.DUMMYFUNCTION("""COMPUTED_VALUE"""),39900.0)</f>
        <v>39900</v>
      </c>
      <c r="F618" s="1">
        <f>IFERROR(__xludf.DUMMYFUNCTION("""COMPUTED_VALUE"""),3286.0)</f>
        <v>3286</v>
      </c>
    </row>
    <row r="619">
      <c r="A619" s="2">
        <f>IFERROR(__xludf.DUMMYFUNCTION("""COMPUTED_VALUE"""),41823.645833333336)</f>
        <v>41823.64583</v>
      </c>
      <c r="B619" s="1">
        <f>IFERROR(__xludf.DUMMYFUNCTION("""COMPUTED_VALUE"""),40000.0)</f>
        <v>40000</v>
      </c>
      <c r="C619" s="1">
        <f>IFERROR(__xludf.DUMMYFUNCTION("""COMPUTED_VALUE"""),40550.0)</f>
        <v>40550</v>
      </c>
      <c r="D619" s="1">
        <f>IFERROR(__xludf.DUMMYFUNCTION("""COMPUTED_VALUE"""),39600.0)</f>
        <v>39600</v>
      </c>
      <c r="E619" s="1">
        <f>IFERROR(__xludf.DUMMYFUNCTION("""COMPUTED_VALUE"""),39900.0)</f>
        <v>39900</v>
      </c>
      <c r="F619" s="1">
        <f>IFERROR(__xludf.DUMMYFUNCTION("""COMPUTED_VALUE"""),6654.0)</f>
        <v>6654</v>
      </c>
    </row>
    <row r="620">
      <c r="A620" s="2">
        <f>IFERROR(__xludf.DUMMYFUNCTION("""COMPUTED_VALUE"""),41824.645833333336)</f>
        <v>41824.64583</v>
      </c>
      <c r="B620" s="1">
        <f>IFERROR(__xludf.DUMMYFUNCTION("""COMPUTED_VALUE"""),40200.0)</f>
        <v>40200</v>
      </c>
      <c r="C620" s="1">
        <f>IFERROR(__xludf.DUMMYFUNCTION("""COMPUTED_VALUE"""),40200.0)</f>
        <v>40200</v>
      </c>
      <c r="D620" s="1">
        <f>IFERROR(__xludf.DUMMYFUNCTION("""COMPUTED_VALUE"""),39700.0)</f>
        <v>39700</v>
      </c>
      <c r="E620" s="1">
        <f>IFERROR(__xludf.DUMMYFUNCTION("""COMPUTED_VALUE"""),39900.0)</f>
        <v>39900</v>
      </c>
      <c r="F620" s="1">
        <f>IFERROR(__xludf.DUMMYFUNCTION("""COMPUTED_VALUE"""),3366.0)</f>
        <v>3366</v>
      </c>
    </row>
    <row r="621">
      <c r="A621" s="2">
        <f>IFERROR(__xludf.DUMMYFUNCTION("""COMPUTED_VALUE"""),41827.645833333336)</f>
        <v>41827.64583</v>
      </c>
      <c r="B621" s="1">
        <f>IFERROR(__xludf.DUMMYFUNCTION("""COMPUTED_VALUE"""),40000.0)</f>
        <v>40000</v>
      </c>
      <c r="C621" s="1">
        <f>IFERROR(__xludf.DUMMYFUNCTION("""COMPUTED_VALUE"""),40000.0)</f>
        <v>40000</v>
      </c>
      <c r="D621" s="1">
        <f>IFERROR(__xludf.DUMMYFUNCTION("""COMPUTED_VALUE"""),39350.0)</f>
        <v>39350</v>
      </c>
      <c r="E621" s="1">
        <f>IFERROR(__xludf.DUMMYFUNCTION("""COMPUTED_VALUE"""),39350.0)</f>
        <v>39350</v>
      </c>
      <c r="F621" s="1">
        <f>IFERROR(__xludf.DUMMYFUNCTION("""COMPUTED_VALUE"""),3279.0)</f>
        <v>3279</v>
      </c>
    </row>
    <row r="622">
      <c r="A622" s="2">
        <f>IFERROR(__xludf.DUMMYFUNCTION("""COMPUTED_VALUE"""),41828.645833333336)</f>
        <v>41828.64583</v>
      </c>
      <c r="B622" s="1">
        <f>IFERROR(__xludf.DUMMYFUNCTION("""COMPUTED_VALUE"""),39650.0)</f>
        <v>39650</v>
      </c>
      <c r="C622" s="1">
        <f>IFERROR(__xludf.DUMMYFUNCTION("""COMPUTED_VALUE"""),39750.0)</f>
        <v>39750</v>
      </c>
      <c r="D622" s="1">
        <f>IFERROR(__xludf.DUMMYFUNCTION("""COMPUTED_VALUE"""),38900.0)</f>
        <v>38900</v>
      </c>
      <c r="E622" s="1">
        <f>IFERROR(__xludf.DUMMYFUNCTION("""COMPUTED_VALUE"""),39000.0)</f>
        <v>39000</v>
      </c>
      <c r="F622" s="1">
        <f>IFERROR(__xludf.DUMMYFUNCTION("""COMPUTED_VALUE"""),3591.0)</f>
        <v>3591</v>
      </c>
    </row>
    <row r="623">
      <c r="A623" s="2">
        <f>IFERROR(__xludf.DUMMYFUNCTION("""COMPUTED_VALUE"""),41829.645833333336)</f>
        <v>41829.64583</v>
      </c>
      <c r="B623" s="1">
        <f>IFERROR(__xludf.DUMMYFUNCTION("""COMPUTED_VALUE"""),39700.0)</f>
        <v>39700</v>
      </c>
      <c r="C623" s="1">
        <f>IFERROR(__xludf.DUMMYFUNCTION("""COMPUTED_VALUE"""),39700.0)</f>
        <v>39700</v>
      </c>
      <c r="D623" s="1">
        <f>IFERROR(__xludf.DUMMYFUNCTION("""COMPUTED_VALUE"""),38550.0)</f>
        <v>38550</v>
      </c>
      <c r="E623" s="1">
        <f>IFERROR(__xludf.DUMMYFUNCTION("""COMPUTED_VALUE"""),38650.0)</f>
        <v>38650</v>
      </c>
      <c r="F623" s="1">
        <f>IFERROR(__xludf.DUMMYFUNCTION("""COMPUTED_VALUE"""),6722.0)</f>
        <v>6722</v>
      </c>
    </row>
    <row r="624">
      <c r="A624" s="2">
        <f>IFERROR(__xludf.DUMMYFUNCTION("""COMPUTED_VALUE"""),41830.645833333336)</f>
        <v>41830.64583</v>
      </c>
      <c r="B624" s="1">
        <f>IFERROR(__xludf.DUMMYFUNCTION("""COMPUTED_VALUE"""),38700.0)</f>
        <v>38700</v>
      </c>
      <c r="C624" s="1">
        <f>IFERROR(__xludf.DUMMYFUNCTION("""COMPUTED_VALUE"""),38700.0)</f>
        <v>38700</v>
      </c>
      <c r="D624" s="1">
        <f>IFERROR(__xludf.DUMMYFUNCTION("""COMPUTED_VALUE"""),38300.0)</f>
        <v>38300</v>
      </c>
      <c r="E624" s="1">
        <f>IFERROR(__xludf.DUMMYFUNCTION("""COMPUTED_VALUE"""),38500.0)</f>
        <v>38500</v>
      </c>
      <c r="F624" s="1">
        <f>IFERROR(__xludf.DUMMYFUNCTION("""COMPUTED_VALUE"""),29797.0)</f>
        <v>29797</v>
      </c>
    </row>
    <row r="625">
      <c r="A625" s="2">
        <f>IFERROR(__xludf.DUMMYFUNCTION("""COMPUTED_VALUE"""),41831.645833333336)</f>
        <v>41831.64583</v>
      </c>
      <c r="B625" s="1">
        <f>IFERROR(__xludf.DUMMYFUNCTION("""COMPUTED_VALUE"""),38850.0)</f>
        <v>38850</v>
      </c>
      <c r="C625" s="1">
        <f>IFERROR(__xludf.DUMMYFUNCTION("""COMPUTED_VALUE"""),38850.0)</f>
        <v>38850</v>
      </c>
      <c r="D625" s="1">
        <f>IFERROR(__xludf.DUMMYFUNCTION("""COMPUTED_VALUE"""),37950.0)</f>
        <v>37950</v>
      </c>
      <c r="E625" s="1">
        <f>IFERROR(__xludf.DUMMYFUNCTION("""COMPUTED_VALUE"""),38000.0)</f>
        <v>38000</v>
      </c>
      <c r="F625" s="1">
        <f>IFERROR(__xludf.DUMMYFUNCTION("""COMPUTED_VALUE"""),9926.0)</f>
        <v>9926</v>
      </c>
    </row>
    <row r="626">
      <c r="A626" s="2">
        <f>IFERROR(__xludf.DUMMYFUNCTION("""COMPUTED_VALUE"""),41834.645833333336)</f>
        <v>41834.64583</v>
      </c>
      <c r="B626" s="1">
        <f>IFERROR(__xludf.DUMMYFUNCTION("""COMPUTED_VALUE"""),38000.0)</f>
        <v>38000</v>
      </c>
      <c r="C626" s="1">
        <f>IFERROR(__xludf.DUMMYFUNCTION("""COMPUTED_VALUE"""),38000.0)</f>
        <v>38000</v>
      </c>
      <c r="D626" s="1">
        <f>IFERROR(__xludf.DUMMYFUNCTION("""COMPUTED_VALUE"""),37700.0)</f>
        <v>37700</v>
      </c>
      <c r="E626" s="1">
        <f>IFERROR(__xludf.DUMMYFUNCTION("""COMPUTED_VALUE"""),37700.0)</f>
        <v>37700</v>
      </c>
      <c r="F626" s="1">
        <f>IFERROR(__xludf.DUMMYFUNCTION("""COMPUTED_VALUE"""),5058.0)</f>
        <v>5058</v>
      </c>
    </row>
    <row r="627">
      <c r="A627" s="2">
        <f>IFERROR(__xludf.DUMMYFUNCTION("""COMPUTED_VALUE"""),41835.645833333336)</f>
        <v>41835.64583</v>
      </c>
      <c r="B627" s="1">
        <f>IFERROR(__xludf.DUMMYFUNCTION("""COMPUTED_VALUE"""),37800.0)</f>
        <v>37800</v>
      </c>
      <c r="C627" s="1">
        <f>IFERROR(__xludf.DUMMYFUNCTION("""COMPUTED_VALUE"""),37850.0)</f>
        <v>37850</v>
      </c>
      <c r="D627" s="1">
        <f>IFERROR(__xludf.DUMMYFUNCTION("""COMPUTED_VALUE"""),37600.0)</f>
        <v>37600</v>
      </c>
      <c r="E627" s="1">
        <f>IFERROR(__xludf.DUMMYFUNCTION("""COMPUTED_VALUE"""),37650.0)</f>
        <v>37650</v>
      </c>
      <c r="F627" s="1">
        <f>IFERROR(__xludf.DUMMYFUNCTION("""COMPUTED_VALUE"""),14192.0)</f>
        <v>14192</v>
      </c>
    </row>
    <row r="628">
      <c r="A628" s="2">
        <f>IFERROR(__xludf.DUMMYFUNCTION("""COMPUTED_VALUE"""),41836.645833333336)</f>
        <v>41836.64583</v>
      </c>
      <c r="B628" s="1">
        <f>IFERROR(__xludf.DUMMYFUNCTION("""COMPUTED_VALUE"""),37850.0)</f>
        <v>37850</v>
      </c>
      <c r="C628" s="1">
        <f>IFERROR(__xludf.DUMMYFUNCTION("""COMPUTED_VALUE"""),37900.0)</f>
        <v>37900</v>
      </c>
      <c r="D628" s="1">
        <f>IFERROR(__xludf.DUMMYFUNCTION("""COMPUTED_VALUE"""),37300.0)</f>
        <v>37300</v>
      </c>
      <c r="E628" s="1">
        <f>IFERROR(__xludf.DUMMYFUNCTION("""COMPUTED_VALUE"""),37700.0)</f>
        <v>37700</v>
      </c>
      <c r="F628" s="1">
        <f>IFERROR(__xludf.DUMMYFUNCTION("""COMPUTED_VALUE"""),19272.0)</f>
        <v>19272</v>
      </c>
    </row>
    <row r="629">
      <c r="A629" s="2">
        <f>IFERROR(__xludf.DUMMYFUNCTION("""COMPUTED_VALUE"""),41837.645833333336)</f>
        <v>41837.64583</v>
      </c>
      <c r="B629" s="1">
        <f>IFERROR(__xludf.DUMMYFUNCTION("""COMPUTED_VALUE"""),37600.0)</f>
        <v>37600</v>
      </c>
      <c r="C629" s="1">
        <f>IFERROR(__xludf.DUMMYFUNCTION("""COMPUTED_VALUE"""),37800.0)</f>
        <v>37800</v>
      </c>
      <c r="D629" s="1">
        <f>IFERROR(__xludf.DUMMYFUNCTION("""COMPUTED_VALUE"""),37500.0)</f>
        <v>37500</v>
      </c>
      <c r="E629" s="1">
        <f>IFERROR(__xludf.DUMMYFUNCTION("""COMPUTED_VALUE"""),37800.0)</f>
        <v>37800</v>
      </c>
      <c r="F629" s="1">
        <f>IFERROR(__xludf.DUMMYFUNCTION("""COMPUTED_VALUE"""),10422.0)</f>
        <v>10422</v>
      </c>
    </row>
    <row r="630">
      <c r="A630" s="2">
        <f>IFERROR(__xludf.DUMMYFUNCTION("""COMPUTED_VALUE"""),41838.645833333336)</f>
        <v>41838.64583</v>
      </c>
      <c r="B630" s="1">
        <f>IFERROR(__xludf.DUMMYFUNCTION("""COMPUTED_VALUE"""),37650.0)</f>
        <v>37650</v>
      </c>
      <c r="C630" s="1">
        <f>IFERROR(__xludf.DUMMYFUNCTION("""COMPUTED_VALUE"""),37850.0)</f>
        <v>37850</v>
      </c>
      <c r="D630" s="1">
        <f>IFERROR(__xludf.DUMMYFUNCTION("""COMPUTED_VALUE"""),37500.0)</f>
        <v>37500</v>
      </c>
      <c r="E630" s="1">
        <f>IFERROR(__xludf.DUMMYFUNCTION("""COMPUTED_VALUE"""),37700.0)</f>
        <v>37700</v>
      </c>
      <c r="F630" s="1">
        <f>IFERROR(__xludf.DUMMYFUNCTION("""COMPUTED_VALUE"""),8205.0)</f>
        <v>8205</v>
      </c>
    </row>
    <row r="631">
      <c r="A631" s="2">
        <f>IFERROR(__xludf.DUMMYFUNCTION("""COMPUTED_VALUE"""),41841.645833333336)</f>
        <v>41841.64583</v>
      </c>
      <c r="B631" s="1">
        <f>IFERROR(__xludf.DUMMYFUNCTION("""COMPUTED_VALUE"""),37900.0)</f>
        <v>37900</v>
      </c>
      <c r="C631" s="1">
        <f>IFERROR(__xludf.DUMMYFUNCTION("""COMPUTED_VALUE"""),38000.0)</f>
        <v>38000</v>
      </c>
      <c r="D631" s="1">
        <f>IFERROR(__xludf.DUMMYFUNCTION("""COMPUTED_VALUE"""),37500.0)</f>
        <v>37500</v>
      </c>
      <c r="E631" s="1">
        <f>IFERROR(__xludf.DUMMYFUNCTION("""COMPUTED_VALUE"""),37800.0)</f>
        <v>37800</v>
      </c>
      <c r="F631" s="1">
        <f>IFERROR(__xludf.DUMMYFUNCTION("""COMPUTED_VALUE"""),9342.0)</f>
        <v>9342</v>
      </c>
    </row>
    <row r="632">
      <c r="A632" s="2">
        <f>IFERROR(__xludf.DUMMYFUNCTION("""COMPUTED_VALUE"""),41842.645833333336)</f>
        <v>41842.64583</v>
      </c>
      <c r="B632" s="1">
        <f>IFERROR(__xludf.DUMMYFUNCTION("""COMPUTED_VALUE"""),37750.0)</f>
        <v>37750</v>
      </c>
      <c r="C632" s="1">
        <f>IFERROR(__xludf.DUMMYFUNCTION("""COMPUTED_VALUE"""),37900.0)</f>
        <v>37900</v>
      </c>
      <c r="D632" s="1">
        <f>IFERROR(__xludf.DUMMYFUNCTION("""COMPUTED_VALUE"""),37550.0)</f>
        <v>37550</v>
      </c>
      <c r="E632" s="1">
        <f>IFERROR(__xludf.DUMMYFUNCTION("""COMPUTED_VALUE"""),37600.0)</f>
        <v>37600</v>
      </c>
      <c r="F632" s="1">
        <f>IFERROR(__xludf.DUMMYFUNCTION("""COMPUTED_VALUE"""),7482.0)</f>
        <v>7482</v>
      </c>
    </row>
    <row r="633">
      <c r="A633" s="2">
        <f>IFERROR(__xludf.DUMMYFUNCTION("""COMPUTED_VALUE"""),41843.645833333336)</f>
        <v>41843.64583</v>
      </c>
      <c r="B633" s="1">
        <f>IFERROR(__xludf.DUMMYFUNCTION("""COMPUTED_VALUE"""),38100.0)</f>
        <v>38100</v>
      </c>
      <c r="C633" s="1">
        <f>IFERROR(__xludf.DUMMYFUNCTION("""COMPUTED_VALUE"""),38100.0)</f>
        <v>38100</v>
      </c>
      <c r="D633" s="1">
        <f>IFERROR(__xludf.DUMMYFUNCTION("""COMPUTED_VALUE"""),37450.0)</f>
        <v>37450</v>
      </c>
      <c r="E633" s="1">
        <f>IFERROR(__xludf.DUMMYFUNCTION("""COMPUTED_VALUE"""),37500.0)</f>
        <v>37500</v>
      </c>
      <c r="F633" s="1">
        <f>IFERROR(__xludf.DUMMYFUNCTION("""COMPUTED_VALUE"""),8121.0)</f>
        <v>8121</v>
      </c>
    </row>
    <row r="634">
      <c r="A634" s="2">
        <f>IFERROR(__xludf.DUMMYFUNCTION("""COMPUTED_VALUE"""),41844.645833333336)</f>
        <v>41844.64583</v>
      </c>
      <c r="B634" s="1">
        <f>IFERROR(__xludf.DUMMYFUNCTION("""COMPUTED_VALUE"""),37450.0)</f>
        <v>37450</v>
      </c>
      <c r="C634" s="1">
        <f>IFERROR(__xludf.DUMMYFUNCTION("""COMPUTED_VALUE"""),38050.0)</f>
        <v>38050</v>
      </c>
      <c r="D634" s="1">
        <f>IFERROR(__xludf.DUMMYFUNCTION("""COMPUTED_VALUE"""),37450.0)</f>
        <v>37450</v>
      </c>
      <c r="E634" s="1">
        <f>IFERROR(__xludf.DUMMYFUNCTION("""COMPUTED_VALUE"""),37900.0)</f>
        <v>37900</v>
      </c>
      <c r="F634" s="1">
        <f>IFERROR(__xludf.DUMMYFUNCTION("""COMPUTED_VALUE"""),16672.0)</f>
        <v>16672</v>
      </c>
    </row>
    <row r="635">
      <c r="A635" s="2">
        <f>IFERROR(__xludf.DUMMYFUNCTION("""COMPUTED_VALUE"""),41845.645833333336)</f>
        <v>41845.64583</v>
      </c>
      <c r="B635" s="1">
        <f>IFERROR(__xludf.DUMMYFUNCTION("""COMPUTED_VALUE"""),37900.0)</f>
        <v>37900</v>
      </c>
      <c r="C635" s="1">
        <f>IFERROR(__xludf.DUMMYFUNCTION("""COMPUTED_VALUE"""),38100.0)</f>
        <v>38100</v>
      </c>
      <c r="D635" s="1">
        <f>IFERROR(__xludf.DUMMYFUNCTION("""COMPUTED_VALUE"""),37800.0)</f>
        <v>37800</v>
      </c>
      <c r="E635" s="1">
        <f>IFERROR(__xludf.DUMMYFUNCTION("""COMPUTED_VALUE"""),38100.0)</f>
        <v>38100</v>
      </c>
      <c r="F635" s="1">
        <f>IFERROR(__xludf.DUMMYFUNCTION("""COMPUTED_VALUE"""),11336.0)</f>
        <v>11336</v>
      </c>
    </row>
    <row r="636">
      <c r="A636" s="2">
        <f>IFERROR(__xludf.DUMMYFUNCTION("""COMPUTED_VALUE"""),41848.645833333336)</f>
        <v>41848.64583</v>
      </c>
      <c r="B636" s="1">
        <f>IFERROR(__xludf.DUMMYFUNCTION("""COMPUTED_VALUE"""),38100.0)</f>
        <v>38100</v>
      </c>
      <c r="C636" s="1">
        <f>IFERROR(__xludf.DUMMYFUNCTION("""COMPUTED_VALUE"""),38250.0)</f>
        <v>38250</v>
      </c>
      <c r="D636" s="1">
        <f>IFERROR(__xludf.DUMMYFUNCTION("""COMPUTED_VALUE"""),37500.0)</f>
        <v>37500</v>
      </c>
      <c r="E636" s="1">
        <f>IFERROR(__xludf.DUMMYFUNCTION("""COMPUTED_VALUE"""),37900.0)</f>
        <v>37900</v>
      </c>
      <c r="F636" s="1">
        <f>IFERROR(__xludf.DUMMYFUNCTION("""COMPUTED_VALUE"""),22611.0)</f>
        <v>22611</v>
      </c>
    </row>
    <row r="637">
      <c r="A637" s="2">
        <f>IFERROR(__xludf.DUMMYFUNCTION("""COMPUTED_VALUE"""),41849.645833333336)</f>
        <v>41849.64583</v>
      </c>
      <c r="B637" s="1">
        <f>IFERROR(__xludf.DUMMYFUNCTION("""COMPUTED_VALUE"""),37900.0)</f>
        <v>37900</v>
      </c>
      <c r="C637" s="1">
        <f>IFERROR(__xludf.DUMMYFUNCTION("""COMPUTED_VALUE"""),38500.0)</f>
        <v>38500</v>
      </c>
      <c r="D637" s="1">
        <f>IFERROR(__xludf.DUMMYFUNCTION("""COMPUTED_VALUE"""),37850.0)</f>
        <v>37850</v>
      </c>
      <c r="E637" s="1">
        <f>IFERROR(__xludf.DUMMYFUNCTION("""COMPUTED_VALUE"""),38500.0)</f>
        <v>38500</v>
      </c>
      <c r="F637" s="1">
        <f>IFERROR(__xludf.DUMMYFUNCTION("""COMPUTED_VALUE"""),14913.0)</f>
        <v>14913</v>
      </c>
    </row>
    <row r="638">
      <c r="A638" s="2">
        <f>IFERROR(__xludf.DUMMYFUNCTION("""COMPUTED_VALUE"""),41850.645833333336)</f>
        <v>41850.64583</v>
      </c>
      <c r="B638" s="1">
        <f>IFERROR(__xludf.DUMMYFUNCTION("""COMPUTED_VALUE"""),38750.0)</f>
        <v>38750</v>
      </c>
      <c r="C638" s="1">
        <f>IFERROR(__xludf.DUMMYFUNCTION("""COMPUTED_VALUE"""),38950.0)</f>
        <v>38950</v>
      </c>
      <c r="D638" s="1">
        <f>IFERROR(__xludf.DUMMYFUNCTION("""COMPUTED_VALUE"""),38300.0)</f>
        <v>38300</v>
      </c>
      <c r="E638" s="1">
        <f>IFERROR(__xludf.DUMMYFUNCTION("""COMPUTED_VALUE"""),38500.0)</f>
        <v>38500</v>
      </c>
      <c r="F638" s="1">
        <f>IFERROR(__xludf.DUMMYFUNCTION("""COMPUTED_VALUE"""),12470.0)</f>
        <v>12470</v>
      </c>
    </row>
    <row r="639">
      <c r="A639" s="2">
        <f>IFERROR(__xludf.DUMMYFUNCTION("""COMPUTED_VALUE"""),41851.645833333336)</f>
        <v>41851.64583</v>
      </c>
      <c r="B639" s="1">
        <f>IFERROR(__xludf.DUMMYFUNCTION("""COMPUTED_VALUE"""),38800.0)</f>
        <v>38800</v>
      </c>
      <c r="C639" s="1">
        <f>IFERROR(__xludf.DUMMYFUNCTION("""COMPUTED_VALUE"""),39200.0)</f>
        <v>39200</v>
      </c>
      <c r="D639" s="1">
        <f>IFERROR(__xludf.DUMMYFUNCTION("""COMPUTED_VALUE"""),38400.0)</f>
        <v>38400</v>
      </c>
      <c r="E639" s="1">
        <f>IFERROR(__xludf.DUMMYFUNCTION("""COMPUTED_VALUE"""),38850.0)</f>
        <v>38850</v>
      </c>
      <c r="F639" s="1">
        <f>IFERROR(__xludf.DUMMYFUNCTION("""COMPUTED_VALUE"""),17925.0)</f>
        <v>17925</v>
      </c>
    </row>
    <row r="640">
      <c r="A640" s="2">
        <f>IFERROR(__xludf.DUMMYFUNCTION("""COMPUTED_VALUE"""),41852.645833333336)</f>
        <v>41852.64583</v>
      </c>
      <c r="B640" s="1">
        <f>IFERROR(__xludf.DUMMYFUNCTION("""COMPUTED_VALUE"""),38950.0)</f>
        <v>38950</v>
      </c>
      <c r="C640" s="1">
        <f>IFERROR(__xludf.DUMMYFUNCTION("""COMPUTED_VALUE"""),38950.0)</f>
        <v>38950</v>
      </c>
      <c r="D640" s="1">
        <f>IFERROR(__xludf.DUMMYFUNCTION("""COMPUTED_VALUE"""),38000.0)</f>
        <v>38000</v>
      </c>
      <c r="E640" s="1">
        <f>IFERROR(__xludf.DUMMYFUNCTION("""COMPUTED_VALUE"""),38500.0)</f>
        <v>38500</v>
      </c>
      <c r="F640" s="1">
        <f>IFERROR(__xludf.DUMMYFUNCTION("""COMPUTED_VALUE"""),18145.0)</f>
        <v>18145</v>
      </c>
    </row>
    <row r="641">
      <c r="A641" s="2">
        <f>IFERROR(__xludf.DUMMYFUNCTION("""COMPUTED_VALUE"""),41855.645833333336)</f>
        <v>41855.64583</v>
      </c>
      <c r="B641" s="1">
        <f>IFERROR(__xludf.DUMMYFUNCTION("""COMPUTED_VALUE"""),38500.0)</f>
        <v>38500</v>
      </c>
      <c r="C641" s="1">
        <f>IFERROR(__xludf.DUMMYFUNCTION("""COMPUTED_VALUE"""),39100.0)</f>
        <v>39100</v>
      </c>
      <c r="D641" s="1">
        <f>IFERROR(__xludf.DUMMYFUNCTION("""COMPUTED_VALUE"""),38500.0)</f>
        <v>38500</v>
      </c>
      <c r="E641" s="1">
        <f>IFERROR(__xludf.DUMMYFUNCTION("""COMPUTED_VALUE"""),39050.0)</f>
        <v>39050</v>
      </c>
      <c r="F641" s="1">
        <f>IFERROR(__xludf.DUMMYFUNCTION("""COMPUTED_VALUE"""),8831.0)</f>
        <v>8831</v>
      </c>
    </row>
    <row r="642">
      <c r="A642" s="2">
        <f>IFERROR(__xludf.DUMMYFUNCTION("""COMPUTED_VALUE"""),41856.645833333336)</f>
        <v>41856.64583</v>
      </c>
      <c r="B642" s="1">
        <f>IFERROR(__xludf.DUMMYFUNCTION("""COMPUTED_VALUE"""),39050.0)</f>
        <v>39050</v>
      </c>
      <c r="C642" s="1">
        <f>IFERROR(__xludf.DUMMYFUNCTION("""COMPUTED_VALUE"""),39100.0)</f>
        <v>39100</v>
      </c>
      <c r="D642" s="1">
        <f>IFERROR(__xludf.DUMMYFUNCTION("""COMPUTED_VALUE"""),38750.0)</f>
        <v>38750</v>
      </c>
      <c r="E642" s="1">
        <f>IFERROR(__xludf.DUMMYFUNCTION("""COMPUTED_VALUE"""),39050.0)</f>
        <v>39050</v>
      </c>
      <c r="F642" s="1">
        <f>IFERROR(__xludf.DUMMYFUNCTION("""COMPUTED_VALUE"""),6114.0)</f>
        <v>6114</v>
      </c>
    </row>
    <row r="643">
      <c r="A643" s="2">
        <f>IFERROR(__xludf.DUMMYFUNCTION("""COMPUTED_VALUE"""),41857.645833333336)</f>
        <v>41857.64583</v>
      </c>
      <c r="B643" s="1">
        <f>IFERROR(__xludf.DUMMYFUNCTION("""COMPUTED_VALUE"""),39050.0)</f>
        <v>39050</v>
      </c>
      <c r="C643" s="1">
        <f>IFERROR(__xludf.DUMMYFUNCTION("""COMPUTED_VALUE"""),39050.0)</f>
        <v>39050</v>
      </c>
      <c r="D643" s="1">
        <f>IFERROR(__xludf.DUMMYFUNCTION("""COMPUTED_VALUE"""),38600.0)</f>
        <v>38600</v>
      </c>
      <c r="E643" s="1">
        <f>IFERROR(__xludf.DUMMYFUNCTION("""COMPUTED_VALUE"""),38600.0)</f>
        <v>38600</v>
      </c>
      <c r="F643" s="1">
        <f>IFERROR(__xludf.DUMMYFUNCTION("""COMPUTED_VALUE"""),7360.0)</f>
        <v>7360</v>
      </c>
    </row>
    <row r="644">
      <c r="A644" s="2">
        <f>IFERROR(__xludf.DUMMYFUNCTION("""COMPUTED_VALUE"""),41858.645833333336)</f>
        <v>41858.64583</v>
      </c>
      <c r="B644" s="1">
        <f>IFERROR(__xludf.DUMMYFUNCTION("""COMPUTED_VALUE"""),38600.0)</f>
        <v>38600</v>
      </c>
      <c r="C644" s="1">
        <f>IFERROR(__xludf.DUMMYFUNCTION("""COMPUTED_VALUE"""),39000.0)</f>
        <v>39000</v>
      </c>
      <c r="D644" s="1">
        <f>IFERROR(__xludf.DUMMYFUNCTION("""COMPUTED_VALUE"""),38500.0)</f>
        <v>38500</v>
      </c>
      <c r="E644" s="1">
        <f>IFERROR(__xludf.DUMMYFUNCTION("""COMPUTED_VALUE"""),38700.0)</f>
        <v>38700</v>
      </c>
      <c r="F644" s="1">
        <f>IFERROR(__xludf.DUMMYFUNCTION("""COMPUTED_VALUE"""),3061.0)</f>
        <v>3061</v>
      </c>
    </row>
    <row r="645">
      <c r="A645" s="2">
        <f>IFERROR(__xludf.DUMMYFUNCTION("""COMPUTED_VALUE"""),41859.645833333336)</f>
        <v>41859.64583</v>
      </c>
      <c r="B645" s="1">
        <f>IFERROR(__xludf.DUMMYFUNCTION("""COMPUTED_VALUE"""),39000.0)</f>
        <v>39000</v>
      </c>
      <c r="C645" s="1">
        <f>IFERROR(__xludf.DUMMYFUNCTION("""COMPUTED_VALUE"""),39000.0)</f>
        <v>39000</v>
      </c>
      <c r="D645" s="1">
        <f>IFERROR(__xludf.DUMMYFUNCTION("""COMPUTED_VALUE"""),37900.0)</f>
        <v>37900</v>
      </c>
      <c r="E645" s="1">
        <f>IFERROR(__xludf.DUMMYFUNCTION("""COMPUTED_VALUE"""),38350.0)</f>
        <v>38350</v>
      </c>
      <c r="F645" s="1">
        <f>IFERROR(__xludf.DUMMYFUNCTION("""COMPUTED_VALUE"""),13683.0)</f>
        <v>13683</v>
      </c>
    </row>
    <row r="646">
      <c r="A646" s="2">
        <f>IFERROR(__xludf.DUMMYFUNCTION("""COMPUTED_VALUE"""),41862.645833333336)</f>
        <v>41862.64583</v>
      </c>
      <c r="B646" s="1">
        <f>IFERROR(__xludf.DUMMYFUNCTION("""COMPUTED_VALUE"""),38000.0)</f>
        <v>38000</v>
      </c>
      <c r="C646" s="1">
        <f>IFERROR(__xludf.DUMMYFUNCTION("""COMPUTED_VALUE"""),38500.0)</f>
        <v>38500</v>
      </c>
      <c r="D646" s="1">
        <f>IFERROR(__xludf.DUMMYFUNCTION("""COMPUTED_VALUE"""),38000.0)</f>
        <v>38000</v>
      </c>
      <c r="E646" s="1">
        <f>IFERROR(__xludf.DUMMYFUNCTION("""COMPUTED_VALUE"""),38500.0)</f>
        <v>38500</v>
      </c>
      <c r="F646" s="1">
        <f>IFERROR(__xludf.DUMMYFUNCTION("""COMPUTED_VALUE"""),6058.0)</f>
        <v>6058</v>
      </c>
    </row>
    <row r="647">
      <c r="A647" s="2">
        <f>IFERROR(__xludf.DUMMYFUNCTION("""COMPUTED_VALUE"""),41863.645833333336)</f>
        <v>41863.64583</v>
      </c>
      <c r="B647" s="1">
        <f>IFERROR(__xludf.DUMMYFUNCTION("""COMPUTED_VALUE"""),38300.0)</f>
        <v>38300</v>
      </c>
      <c r="C647" s="1">
        <f>IFERROR(__xludf.DUMMYFUNCTION("""COMPUTED_VALUE"""),38600.0)</f>
        <v>38600</v>
      </c>
      <c r="D647" s="1">
        <f>IFERROR(__xludf.DUMMYFUNCTION("""COMPUTED_VALUE"""),38250.0)</f>
        <v>38250</v>
      </c>
      <c r="E647" s="1">
        <f>IFERROR(__xludf.DUMMYFUNCTION("""COMPUTED_VALUE"""),38600.0)</f>
        <v>38600</v>
      </c>
      <c r="F647" s="1">
        <f>IFERROR(__xludf.DUMMYFUNCTION("""COMPUTED_VALUE"""),3706.0)</f>
        <v>3706</v>
      </c>
    </row>
    <row r="648">
      <c r="A648" s="2">
        <f>IFERROR(__xludf.DUMMYFUNCTION("""COMPUTED_VALUE"""),41864.645833333336)</f>
        <v>41864.64583</v>
      </c>
      <c r="B648" s="1">
        <f>IFERROR(__xludf.DUMMYFUNCTION("""COMPUTED_VALUE"""),38600.0)</f>
        <v>38600</v>
      </c>
      <c r="C648" s="1">
        <f>IFERROR(__xludf.DUMMYFUNCTION("""COMPUTED_VALUE"""),38600.0)</f>
        <v>38600</v>
      </c>
      <c r="D648" s="1">
        <f>IFERROR(__xludf.DUMMYFUNCTION("""COMPUTED_VALUE"""),38000.0)</f>
        <v>38000</v>
      </c>
      <c r="E648" s="1">
        <f>IFERROR(__xludf.DUMMYFUNCTION("""COMPUTED_VALUE"""),38250.0)</f>
        <v>38250</v>
      </c>
      <c r="F648" s="1">
        <f>IFERROR(__xludf.DUMMYFUNCTION("""COMPUTED_VALUE"""),13714.0)</f>
        <v>13714</v>
      </c>
    </row>
    <row r="649">
      <c r="A649" s="2">
        <f>IFERROR(__xludf.DUMMYFUNCTION("""COMPUTED_VALUE"""),41865.645833333336)</f>
        <v>41865.64583</v>
      </c>
      <c r="B649" s="1">
        <f>IFERROR(__xludf.DUMMYFUNCTION("""COMPUTED_VALUE"""),38150.0)</f>
        <v>38150</v>
      </c>
      <c r="C649" s="1">
        <f>IFERROR(__xludf.DUMMYFUNCTION("""COMPUTED_VALUE"""),38250.0)</f>
        <v>38250</v>
      </c>
      <c r="D649" s="1">
        <f>IFERROR(__xludf.DUMMYFUNCTION("""COMPUTED_VALUE"""),37950.0)</f>
        <v>37950</v>
      </c>
      <c r="E649" s="1">
        <f>IFERROR(__xludf.DUMMYFUNCTION("""COMPUTED_VALUE"""),38250.0)</f>
        <v>38250</v>
      </c>
      <c r="F649" s="1">
        <f>IFERROR(__xludf.DUMMYFUNCTION("""COMPUTED_VALUE"""),7268.0)</f>
        <v>7268</v>
      </c>
    </row>
    <row r="650">
      <c r="A650" s="2">
        <f>IFERROR(__xludf.DUMMYFUNCTION("""COMPUTED_VALUE"""),41869.645833333336)</f>
        <v>41869.64583</v>
      </c>
      <c r="B650" s="1">
        <f>IFERROR(__xludf.DUMMYFUNCTION("""COMPUTED_VALUE"""),38650.0)</f>
        <v>38650</v>
      </c>
      <c r="C650" s="1">
        <f>IFERROR(__xludf.DUMMYFUNCTION("""COMPUTED_VALUE"""),38900.0)</f>
        <v>38900</v>
      </c>
      <c r="D650" s="1">
        <f>IFERROR(__xludf.DUMMYFUNCTION("""COMPUTED_VALUE"""),38200.0)</f>
        <v>38200</v>
      </c>
      <c r="E650" s="1">
        <f>IFERROR(__xludf.DUMMYFUNCTION("""COMPUTED_VALUE"""),38550.0)</f>
        <v>38550</v>
      </c>
      <c r="F650" s="1">
        <f>IFERROR(__xludf.DUMMYFUNCTION("""COMPUTED_VALUE"""),25105.0)</f>
        <v>25105</v>
      </c>
    </row>
    <row r="651">
      <c r="A651" s="2">
        <f>IFERROR(__xludf.DUMMYFUNCTION("""COMPUTED_VALUE"""),41870.645833333336)</f>
        <v>41870.64583</v>
      </c>
      <c r="B651" s="1">
        <f>IFERROR(__xludf.DUMMYFUNCTION("""COMPUTED_VALUE"""),38600.0)</f>
        <v>38600</v>
      </c>
      <c r="C651" s="1">
        <f>IFERROR(__xludf.DUMMYFUNCTION("""COMPUTED_VALUE"""),44300.0)</f>
        <v>44300</v>
      </c>
      <c r="D651" s="1">
        <f>IFERROR(__xludf.DUMMYFUNCTION("""COMPUTED_VALUE"""),36500.0)</f>
        <v>36500</v>
      </c>
      <c r="E651" s="1">
        <f>IFERROR(__xludf.DUMMYFUNCTION("""COMPUTED_VALUE"""),38200.0)</f>
        <v>38200</v>
      </c>
      <c r="F651" s="1">
        <f>IFERROR(__xludf.DUMMYFUNCTION("""COMPUTED_VALUE"""),20192.0)</f>
        <v>20192</v>
      </c>
    </row>
    <row r="652">
      <c r="A652" s="2">
        <f>IFERROR(__xludf.DUMMYFUNCTION("""COMPUTED_VALUE"""),41871.645833333336)</f>
        <v>41871.64583</v>
      </c>
      <c r="B652" s="1">
        <f>IFERROR(__xludf.DUMMYFUNCTION("""COMPUTED_VALUE"""),38000.0)</f>
        <v>38000</v>
      </c>
      <c r="C652" s="1">
        <f>IFERROR(__xludf.DUMMYFUNCTION("""COMPUTED_VALUE"""),38250.0)</f>
        <v>38250</v>
      </c>
      <c r="D652" s="1">
        <f>IFERROR(__xludf.DUMMYFUNCTION("""COMPUTED_VALUE"""),36700.0)</f>
        <v>36700</v>
      </c>
      <c r="E652" s="1">
        <f>IFERROR(__xludf.DUMMYFUNCTION("""COMPUTED_VALUE"""),36900.0)</f>
        <v>36900</v>
      </c>
      <c r="F652" s="1">
        <f>IFERROR(__xludf.DUMMYFUNCTION("""COMPUTED_VALUE"""),22435.0)</f>
        <v>22435</v>
      </c>
    </row>
    <row r="653">
      <c r="A653" s="2">
        <f>IFERROR(__xludf.DUMMYFUNCTION("""COMPUTED_VALUE"""),41872.645833333336)</f>
        <v>41872.64583</v>
      </c>
      <c r="B653" s="1">
        <f>IFERROR(__xludf.DUMMYFUNCTION("""COMPUTED_VALUE"""),36900.0)</f>
        <v>36900</v>
      </c>
      <c r="C653" s="1">
        <f>IFERROR(__xludf.DUMMYFUNCTION("""COMPUTED_VALUE"""),37450.0)</f>
        <v>37450</v>
      </c>
      <c r="D653" s="1">
        <f>IFERROR(__xludf.DUMMYFUNCTION("""COMPUTED_VALUE"""),36650.0)</f>
        <v>36650</v>
      </c>
      <c r="E653" s="1">
        <f>IFERROR(__xludf.DUMMYFUNCTION("""COMPUTED_VALUE"""),37000.0)</f>
        <v>37000</v>
      </c>
      <c r="F653" s="1">
        <f>IFERROR(__xludf.DUMMYFUNCTION("""COMPUTED_VALUE"""),7837.0)</f>
        <v>7837</v>
      </c>
    </row>
    <row r="654">
      <c r="A654" s="2">
        <f>IFERROR(__xludf.DUMMYFUNCTION("""COMPUTED_VALUE"""),41873.645833333336)</f>
        <v>41873.64583</v>
      </c>
      <c r="B654" s="1">
        <f>IFERROR(__xludf.DUMMYFUNCTION("""COMPUTED_VALUE"""),37000.0)</f>
        <v>37000</v>
      </c>
      <c r="C654" s="1">
        <f>IFERROR(__xludf.DUMMYFUNCTION("""COMPUTED_VALUE"""),37350.0)</f>
        <v>37350</v>
      </c>
      <c r="D654" s="1">
        <f>IFERROR(__xludf.DUMMYFUNCTION("""COMPUTED_VALUE"""),36750.0)</f>
        <v>36750</v>
      </c>
      <c r="E654" s="1">
        <f>IFERROR(__xludf.DUMMYFUNCTION("""COMPUTED_VALUE"""),37300.0)</f>
        <v>37300</v>
      </c>
      <c r="F654" s="1">
        <f>IFERROR(__xludf.DUMMYFUNCTION("""COMPUTED_VALUE"""),4816.0)</f>
        <v>4816</v>
      </c>
    </row>
    <row r="655">
      <c r="A655" s="2">
        <f>IFERROR(__xludf.DUMMYFUNCTION("""COMPUTED_VALUE"""),41876.645833333336)</f>
        <v>41876.64583</v>
      </c>
      <c r="B655" s="1">
        <f>IFERROR(__xludf.DUMMYFUNCTION("""COMPUTED_VALUE"""),37400.0)</f>
        <v>37400</v>
      </c>
      <c r="C655" s="1">
        <f>IFERROR(__xludf.DUMMYFUNCTION("""COMPUTED_VALUE"""),37400.0)</f>
        <v>37400</v>
      </c>
      <c r="D655" s="1">
        <f>IFERROR(__xludf.DUMMYFUNCTION("""COMPUTED_VALUE"""),36900.0)</f>
        <v>36900</v>
      </c>
      <c r="E655" s="1">
        <f>IFERROR(__xludf.DUMMYFUNCTION("""COMPUTED_VALUE"""),37000.0)</f>
        <v>37000</v>
      </c>
      <c r="F655" s="1">
        <f>IFERROR(__xludf.DUMMYFUNCTION("""COMPUTED_VALUE"""),5960.0)</f>
        <v>5960</v>
      </c>
    </row>
    <row r="656">
      <c r="A656" s="2">
        <f>IFERROR(__xludf.DUMMYFUNCTION("""COMPUTED_VALUE"""),41877.645833333336)</f>
        <v>41877.64583</v>
      </c>
      <c r="B656" s="1">
        <f>IFERROR(__xludf.DUMMYFUNCTION("""COMPUTED_VALUE"""),37000.0)</f>
        <v>37000</v>
      </c>
      <c r="C656" s="1">
        <f>IFERROR(__xludf.DUMMYFUNCTION("""COMPUTED_VALUE"""),37250.0)</f>
        <v>37250</v>
      </c>
      <c r="D656" s="1">
        <f>IFERROR(__xludf.DUMMYFUNCTION("""COMPUTED_VALUE"""),36950.0)</f>
        <v>36950</v>
      </c>
      <c r="E656" s="1">
        <f>IFERROR(__xludf.DUMMYFUNCTION("""COMPUTED_VALUE"""),37200.0)</f>
        <v>37200</v>
      </c>
      <c r="F656" s="1">
        <f>IFERROR(__xludf.DUMMYFUNCTION("""COMPUTED_VALUE"""),7696.0)</f>
        <v>7696</v>
      </c>
    </row>
    <row r="657">
      <c r="A657" s="2">
        <f>IFERROR(__xludf.DUMMYFUNCTION("""COMPUTED_VALUE"""),41878.645833333336)</f>
        <v>41878.64583</v>
      </c>
      <c r="B657" s="1">
        <f>IFERROR(__xludf.DUMMYFUNCTION("""COMPUTED_VALUE"""),37150.0)</f>
        <v>37150</v>
      </c>
      <c r="C657" s="1">
        <f>IFERROR(__xludf.DUMMYFUNCTION("""COMPUTED_VALUE"""),37250.0)</f>
        <v>37250</v>
      </c>
      <c r="D657" s="1">
        <f>IFERROR(__xludf.DUMMYFUNCTION("""COMPUTED_VALUE"""),36950.0)</f>
        <v>36950</v>
      </c>
      <c r="E657" s="1">
        <f>IFERROR(__xludf.DUMMYFUNCTION("""COMPUTED_VALUE"""),37000.0)</f>
        <v>37000</v>
      </c>
      <c r="F657" s="1">
        <f>IFERROR(__xludf.DUMMYFUNCTION("""COMPUTED_VALUE"""),7836.0)</f>
        <v>7836</v>
      </c>
    </row>
    <row r="658">
      <c r="A658" s="2">
        <f>IFERROR(__xludf.DUMMYFUNCTION("""COMPUTED_VALUE"""),41879.645833333336)</f>
        <v>41879.64583</v>
      </c>
      <c r="B658" s="1">
        <f>IFERROR(__xludf.DUMMYFUNCTION("""COMPUTED_VALUE"""),37350.0)</f>
        <v>37350</v>
      </c>
      <c r="C658" s="1">
        <f>IFERROR(__xludf.DUMMYFUNCTION("""COMPUTED_VALUE"""),37350.0)</f>
        <v>37350</v>
      </c>
      <c r="D658" s="1">
        <f>IFERROR(__xludf.DUMMYFUNCTION("""COMPUTED_VALUE"""),36900.0)</f>
        <v>36900</v>
      </c>
      <c r="E658" s="1">
        <f>IFERROR(__xludf.DUMMYFUNCTION("""COMPUTED_VALUE"""),37000.0)</f>
        <v>37000</v>
      </c>
      <c r="F658" s="1">
        <f>IFERROR(__xludf.DUMMYFUNCTION("""COMPUTED_VALUE"""),3745.0)</f>
        <v>3745</v>
      </c>
    </row>
    <row r="659">
      <c r="A659" s="2">
        <f>IFERROR(__xludf.DUMMYFUNCTION("""COMPUTED_VALUE"""),41880.645833333336)</f>
        <v>41880.64583</v>
      </c>
      <c r="B659" s="1">
        <f>IFERROR(__xludf.DUMMYFUNCTION("""COMPUTED_VALUE"""),37250.0)</f>
        <v>37250</v>
      </c>
      <c r="C659" s="1">
        <f>IFERROR(__xludf.DUMMYFUNCTION("""COMPUTED_VALUE"""),37300.0)</f>
        <v>37300</v>
      </c>
      <c r="D659" s="1">
        <f>IFERROR(__xludf.DUMMYFUNCTION("""COMPUTED_VALUE"""),36850.0)</f>
        <v>36850</v>
      </c>
      <c r="E659" s="1">
        <f>IFERROR(__xludf.DUMMYFUNCTION("""COMPUTED_VALUE"""),37100.0)</f>
        <v>37100</v>
      </c>
      <c r="F659" s="1">
        <f>IFERROR(__xludf.DUMMYFUNCTION("""COMPUTED_VALUE"""),8719.0)</f>
        <v>8719</v>
      </c>
    </row>
    <row r="660">
      <c r="A660" s="2">
        <f>IFERROR(__xludf.DUMMYFUNCTION("""COMPUTED_VALUE"""),41883.645833333336)</f>
        <v>41883.64583</v>
      </c>
      <c r="B660" s="1">
        <f>IFERROR(__xludf.DUMMYFUNCTION("""COMPUTED_VALUE"""),37450.0)</f>
        <v>37450</v>
      </c>
      <c r="C660" s="1">
        <f>IFERROR(__xludf.DUMMYFUNCTION("""COMPUTED_VALUE"""),37500.0)</f>
        <v>37500</v>
      </c>
      <c r="D660" s="1">
        <f>IFERROR(__xludf.DUMMYFUNCTION("""COMPUTED_VALUE"""),36650.0)</f>
        <v>36650</v>
      </c>
      <c r="E660" s="1">
        <f>IFERROR(__xludf.DUMMYFUNCTION("""COMPUTED_VALUE"""),37300.0)</f>
        <v>37300</v>
      </c>
      <c r="F660" s="1">
        <f>IFERROR(__xludf.DUMMYFUNCTION("""COMPUTED_VALUE"""),8332.0)</f>
        <v>8332</v>
      </c>
    </row>
    <row r="661">
      <c r="A661" s="2">
        <f>IFERROR(__xludf.DUMMYFUNCTION("""COMPUTED_VALUE"""),41884.645833333336)</f>
        <v>41884.64583</v>
      </c>
      <c r="B661" s="1">
        <f>IFERROR(__xludf.DUMMYFUNCTION("""COMPUTED_VALUE"""),37450.0)</f>
        <v>37450</v>
      </c>
      <c r="C661" s="1">
        <f>IFERROR(__xludf.DUMMYFUNCTION("""COMPUTED_VALUE"""),37650.0)</f>
        <v>37650</v>
      </c>
      <c r="D661" s="1">
        <f>IFERROR(__xludf.DUMMYFUNCTION("""COMPUTED_VALUE"""),36900.0)</f>
        <v>36900</v>
      </c>
      <c r="E661" s="1">
        <f>IFERROR(__xludf.DUMMYFUNCTION("""COMPUTED_VALUE"""),37450.0)</f>
        <v>37450</v>
      </c>
      <c r="F661" s="1">
        <f>IFERROR(__xludf.DUMMYFUNCTION("""COMPUTED_VALUE"""),3275.0)</f>
        <v>3275</v>
      </c>
    </row>
    <row r="662">
      <c r="A662" s="2">
        <f>IFERROR(__xludf.DUMMYFUNCTION("""COMPUTED_VALUE"""),41885.645833333336)</f>
        <v>41885.64583</v>
      </c>
      <c r="B662" s="1">
        <f>IFERROR(__xludf.DUMMYFUNCTION("""COMPUTED_VALUE"""),37500.0)</f>
        <v>37500</v>
      </c>
      <c r="C662" s="1">
        <f>IFERROR(__xludf.DUMMYFUNCTION("""COMPUTED_VALUE"""),37600.0)</f>
        <v>37600</v>
      </c>
      <c r="D662" s="1">
        <f>IFERROR(__xludf.DUMMYFUNCTION("""COMPUTED_VALUE"""),37050.0)</f>
        <v>37050</v>
      </c>
      <c r="E662" s="1">
        <f>IFERROR(__xludf.DUMMYFUNCTION("""COMPUTED_VALUE"""),37350.0)</f>
        <v>37350</v>
      </c>
      <c r="F662" s="1">
        <f>IFERROR(__xludf.DUMMYFUNCTION("""COMPUTED_VALUE"""),9170.0)</f>
        <v>9170</v>
      </c>
    </row>
    <row r="663">
      <c r="A663" s="2">
        <f>IFERROR(__xludf.DUMMYFUNCTION("""COMPUTED_VALUE"""),41886.645833333336)</f>
        <v>41886.64583</v>
      </c>
      <c r="B663" s="1">
        <f>IFERROR(__xludf.DUMMYFUNCTION("""COMPUTED_VALUE"""),37300.0)</f>
        <v>37300</v>
      </c>
      <c r="C663" s="1">
        <f>IFERROR(__xludf.DUMMYFUNCTION("""COMPUTED_VALUE"""),37450.0)</f>
        <v>37450</v>
      </c>
      <c r="D663" s="1">
        <f>IFERROR(__xludf.DUMMYFUNCTION("""COMPUTED_VALUE"""),37200.0)</f>
        <v>37200</v>
      </c>
      <c r="E663" s="1">
        <f>IFERROR(__xludf.DUMMYFUNCTION("""COMPUTED_VALUE"""),37450.0)</f>
        <v>37450</v>
      </c>
      <c r="F663" s="1">
        <f>IFERROR(__xludf.DUMMYFUNCTION("""COMPUTED_VALUE"""),7166.0)</f>
        <v>7166</v>
      </c>
    </row>
    <row r="664">
      <c r="A664" s="2">
        <f>IFERROR(__xludf.DUMMYFUNCTION("""COMPUTED_VALUE"""),41887.645833333336)</f>
        <v>41887.64583</v>
      </c>
      <c r="B664" s="1">
        <f>IFERROR(__xludf.DUMMYFUNCTION("""COMPUTED_VALUE"""),37750.0)</f>
        <v>37750</v>
      </c>
      <c r="C664" s="1">
        <f>IFERROR(__xludf.DUMMYFUNCTION("""COMPUTED_VALUE"""),38950.0)</f>
        <v>38950</v>
      </c>
      <c r="D664" s="1">
        <f>IFERROR(__xludf.DUMMYFUNCTION("""COMPUTED_VALUE"""),37650.0)</f>
        <v>37650</v>
      </c>
      <c r="E664" s="1">
        <f>IFERROR(__xludf.DUMMYFUNCTION("""COMPUTED_VALUE"""),38950.0)</f>
        <v>38950</v>
      </c>
      <c r="F664" s="1">
        <f>IFERROR(__xludf.DUMMYFUNCTION("""COMPUTED_VALUE"""),6301.0)</f>
        <v>6301</v>
      </c>
    </row>
    <row r="665">
      <c r="A665" s="2">
        <f>IFERROR(__xludf.DUMMYFUNCTION("""COMPUTED_VALUE"""),41893.645833333336)</f>
        <v>41893.64583</v>
      </c>
      <c r="B665" s="1">
        <f>IFERROR(__xludf.DUMMYFUNCTION("""COMPUTED_VALUE"""),39300.0)</f>
        <v>39300</v>
      </c>
      <c r="C665" s="1">
        <f>IFERROR(__xludf.DUMMYFUNCTION("""COMPUTED_VALUE"""),39300.0)</f>
        <v>39300</v>
      </c>
      <c r="D665" s="1">
        <f>IFERROR(__xludf.DUMMYFUNCTION("""COMPUTED_VALUE"""),38050.0)</f>
        <v>38050</v>
      </c>
      <c r="E665" s="1">
        <f>IFERROR(__xludf.DUMMYFUNCTION("""COMPUTED_VALUE"""),38700.0)</f>
        <v>38700</v>
      </c>
      <c r="F665" s="1">
        <f>IFERROR(__xludf.DUMMYFUNCTION("""COMPUTED_VALUE"""),3168.0)</f>
        <v>3168</v>
      </c>
    </row>
    <row r="666">
      <c r="A666" s="2">
        <f>IFERROR(__xludf.DUMMYFUNCTION("""COMPUTED_VALUE"""),41894.645833333336)</f>
        <v>41894.64583</v>
      </c>
      <c r="B666" s="1">
        <f>IFERROR(__xludf.DUMMYFUNCTION("""COMPUTED_VALUE"""),38650.0)</f>
        <v>38650</v>
      </c>
      <c r="C666" s="1">
        <f>IFERROR(__xludf.DUMMYFUNCTION("""COMPUTED_VALUE"""),38950.0)</f>
        <v>38950</v>
      </c>
      <c r="D666" s="1">
        <f>IFERROR(__xludf.DUMMYFUNCTION("""COMPUTED_VALUE"""),38600.0)</f>
        <v>38600</v>
      </c>
      <c r="E666" s="1">
        <f>IFERROR(__xludf.DUMMYFUNCTION("""COMPUTED_VALUE"""),38950.0)</f>
        <v>38950</v>
      </c>
      <c r="F666" s="1">
        <f>IFERROR(__xludf.DUMMYFUNCTION("""COMPUTED_VALUE"""),4583.0)</f>
        <v>4583</v>
      </c>
    </row>
    <row r="667">
      <c r="A667" s="2">
        <f>IFERROR(__xludf.DUMMYFUNCTION("""COMPUTED_VALUE"""),41897.645833333336)</f>
        <v>41897.64583</v>
      </c>
      <c r="B667" s="1">
        <f>IFERROR(__xludf.DUMMYFUNCTION("""COMPUTED_VALUE"""),38400.0)</f>
        <v>38400</v>
      </c>
      <c r="C667" s="1">
        <f>IFERROR(__xludf.DUMMYFUNCTION("""COMPUTED_VALUE"""),39300.0)</f>
        <v>39300</v>
      </c>
      <c r="D667" s="1">
        <f>IFERROR(__xludf.DUMMYFUNCTION("""COMPUTED_VALUE"""),38400.0)</f>
        <v>38400</v>
      </c>
      <c r="E667" s="1">
        <f>IFERROR(__xludf.DUMMYFUNCTION("""COMPUTED_VALUE"""),39250.0)</f>
        <v>39250</v>
      </c>
      <c r="F667" s="1">
        <f>IFERROR(__xludf.DUMMYFUNCTION("""COMPUTED_VALUE"""),3071.0)</f>
        <v>3071</v>
      </c>
    </row>
    <row r="668">
      <c r="A668" s="2">
        <f>IFERROR(__xludf.DUMMYFUNCTION("""COMPUTED_VALUE"""),41898.645833333336)</f>
        <v>41898.64583</v>
      </c>
      <c r="B668" s="1">
        <f>IFERROR(__xludf.DUMMYFUNCTION("""COMPUTED_VALUE"""),39400.0)</f>
        <v>39400</v>
      </c>
      <c r="C668" s="1">
        <f>IFERROR(__xludf.DUMMYFUNCTION("""COMPUTED_VALUE"""),39500.0)</f>
        <v>39500</v>
      </c>
      <c r="D668" s="1">
        <f>IFERROR(__xludf.DUMMYFUNCTION("""COMPUTED_VALUE"""),39100.0)</f>
        <v>39100</v>
      </c>
      <c r="E668" s="1">
        <f>IFERROR(__xludf.DUMMYFUNCTION("""COMPUTED_VALUE"""),39400.0)</f>
        <v>39400</v>
      </c>
      <c r="F668" s="1">
        <f>IFERROR(__xludf.DUMMYFUNCTION("""COMPUTED_VALUE"""),5483.0)</f>
        <v>5483</v>
      </c>
    </row>
    <row r="669">
      <c r="A669" s="2">
        <f>IFERROR(__xludf.DUMMYFUNCTION("""COMPUTED_VALUE"""),41899.645833333336)</f>
        <v>41899.64583</v>
      </c>
      <c r="B669" s="1">
        <f>IFERROR(__xludf.DUMMYFUNCTION("""COMPUTED_VALUE"""),39500.0)</f>
        <v>39500</v>
      </c>
      <c r="C669" s="1">
        <f>IFERROR(__xludf.DUMMYFUNCTION("""COMPUTED_VALUE"""),39650.0)</f>
        <v>39650</v>
      </c>
      <c r="D669" s="1">
        <f>IFERROR(__xludf.DUMMYFUNCTION("""COMPUTED_VALUE"""),39400.0)</f>
        <v>39400</v>
      </c>
      <c r="E669" s="1">
        <f>IFERROR(__xludf.DUMMYFUNCTION("""COMPUTED_VALUE"""),39550.0)</f>
        <v>39550</v>
      </c>
      <c r="F669" s="1">
        <f>IFERROR(__xludf.DUMMYFUNCTION("""COMPUTED_VALUE"""),2916.0)</f>
        <v>2916</v>
      </c>
    </row>
    <row r="670">
      <c r="A670" s="2">
        <f>IFERROR(__xludf.DUMMYFUNCTION("""COMPUTED_VALUE"""),41900.645833333336)</f>
        <v>41900.64583</v>
      </c>
      <c r="B670" s="1">
        <f>IFERROR(__xludf.DUMMYFUNCTION("""COMPUTED_VALUE"""),39700.0)</f>
        <v>39700</v>
      </c>
      <c r="C670" s="1">
        <f>IFERROR(__xludf.DUMMYFUNCTION("""COMPUTED_VALUE"""),39700.0)</f>
        <v>39700</v>
      </c>
      <c r="D670" s="1">
        <f>IFERROR(__xludf.DUMMYFUNCTION("""COMPUTED_VALUE"""),39300.0)</f>
        <v>39300</v>
      </c>
      <c r="E670" s="1">
        <f>IFERROR(__xludf.DUMMYFUNCTION("""COMPUTED_VALUE"""),39450.0)</f>
        <v>39450</v>
      </c>
      <c r="F670" s="1">
        <f>IFERROR(__xludf.DUMMYFUNCTION("""COMPUTED_VALUE"""),11493.0)</f>
        <v>11493</v>
      </c>
    </row>
    <row r="671">
      <c r="A671" s="2">
        <f>IFERROR(__xludf.DUMMYFUNCTION("""COMPUTED_VALUE"""),41901.645833333336)</f>
        <v>41901.64583</v>
      </c>
      <c r="B671" s="1">
        <f>IFERROR(__xludf.DUMMYFUNCTION("""COMPUTED_VALUE"""),39650.0)</f>
        <v>39650</v>
      </c>
      <c r="C671" s="1">
        <f>IFERROR(__xludf.DUMMYFUNCTION("""COMPUTED_VALUE"""),40100.0)</f>
        <v>40100</v>
      </c>
      <c r="D671" s="1">
        <f>IFERROR(__xludf.DUMMYFUNCTION("""COMPUTED_VALUE"""),39450.0)</f>
        <v>39450</v>
      </c>
      <c r="E671" s="1">
        <f>IFERROR(__xludf.DUMMYFUNCTION("""COMPUTED_VALUE"""),40100.0)</f>
        <v>40100</v>
      </c>
      <c r="F671" s="1">
        <f>IFERROR(__xludf.DUMMYFUNCTION("""COMPUTED_VALUE"""),9872.0)</f>
        <v>9872</v>
      </c>
    </row>
    <row r="672">
      <c r="A672" s="2">
        <f>IFERROR(__xludf.DUMMYFUNCTION("""COMPUTED_VALUE"""),41904.645833333336)</f>
        <v>41904.64583</v>
      </c>
      <c r="B672" s="1">
        <f>IFERROR(__xludf.DUMMYFUNCTION("""COMPUTED_VALUE"""),40200.0)</f>
        <v>40200</v>
      </c>
      <c r="C672" s="1">
        <f>IFERROR(__xludf.DUMMYFUNCTION("""COMPUTED_VALUE"""),40200.0)</f>
        <v>40200</v>
      </c>
      <c r="D672" s="1">
        <f>IFERROR(__xludf.DUMMYFUNCTION("""COMPUTED_VALUE"""),39600.0)</f>
        <v>39600</v>
      </c>
      <c r="E672" s="1">
        <f>IFERROR(__xludf.DUMMYFUNCTION("""COMPUTED_VALUE"""),39700.0)</f>
        <v>39700</v>
      </c>
      <c r="F672" s="1">
        <f>IFERROR(__xludf.DUMMYFUNCTION("""COMPUTED_VALUE"""),5423.0)</f>
        <v>5423</v>
      </c>
    </row>
    <row r="673">
      <c r="A673" s="2">
        <f>IFERROR(__xludf.DUMMYFUNCTION("""COMPUTED_VALUE"""),41905.645833333336)</f>
        <v>41905.64583</v>
      </c>
      <c r="B673" s="1">
        <f>IFERROR(__xludf.DUMMYFUNCTION("""COMPUTED_VALUE"""),39650.0)</f>
        <v>39650</v>
      </c>
      <c r="C673" s="1">
        <f>IFERROR(__xludf.DUMMYFUNCTION("""COMPUTED_VALUE"""),39850.0)</f>
        <v>39850</v>
      </c>
      <c r="D673" s="1">
        <f>IFERROR(__xludf.DUMMYFUNCTION("""COMPUTED_VALUE"""),39200.0)</f>
        <v>39200</v>
      </c>
      <c r="E673" s="1">
        <f>IFERROR(__xludf.DUMMYFUNCTION("""COMPUTED_VALUE"""),39300.0)</f>
        <v>39300</v>
      </c>
      <c r="F673" s="1">
        <f>IFERROR(__xludf.DUMMYFUNCTION("""COMPUTED_VALUE"""),3585.0)</f>
        <v>3585</v>
      </c>
    </row>
    <row r="674">
      <c r="A674" s="2">
        <f>IFERROR(__xludf.DUMMYFUNCTION("""COMPUTED_VALUE"""),41906.645833333336)</f>
        <v>41906.64583</v>
      </c>
      <c r="B674" s="1">
        <f>IFERROR(__xludf.DUMMYFUNCTION("""COMPUTED_VALUE"""),39300.0)</f>
        <v>39300</v>
      </c>
      <c r="C674" s="1">
        <f>IFERROR(__xludf.DUMMYFUNCTION("""COMPUTED_VALUE"""),39300.0)</f>
        <v>39300</v>
      </c>
      <c r="D674" s="1">
        <f>IFERROR(__xludf.DUMMYFUNCTION("""COMPUTED_VALUE"""),38900.0)</f>
        <v>38900</v>
      </c>
      <c r="E674" s="1">
        <f>IFERROR(__xludf.DUMMYFUNCTION("""COMPUTED_VALUE"""),38950.0)</f>
        <v>38950</v>
      </c>
      <c r="F674" s="1">
        <f>IFERROR(__xludf.DUMMYFUNCTION("""COMPUTED_VALUE"""),2457.0)</f>
        <v>2457</v>
      </c>
    </row>
    <row r="675">
      <c r="A675" s="2">
        <f>IFERROR(__xludf.DUMMYFUNCTION("""COMPUTED_VALUE"""),41907.645833333336)</f>
        <v>41907.64583</v>
      </c>
      <c r="B675" s="1">
        <f>IFERROR(__xludf.DUMMYFUNCTION("""COMPUTED_VALUE"""),39500.0)</f>
        <v>39500</v>
      </c>
      <c r="C675" s="1">
        <f>IFERROR(__xludf.DUMMYFUNCTION("""COMPUTED_VALUE"""),39500.0)</f>
        <v>39500</v>
      </c>
      <c r="D675" s="1">
        <f>IFERROR(__xludf.DUMMYFUNCTION("""COMPUTED_VALUE"""),38800.0)</f>
        <v>38800</v>
      </c>
      <c r="E675" s="1">
        <f>IFERROR(__xludf.DUMMYFUNCTION("""COMPUTED_VALUE"""),38950.0)</f>
        <v>38950</v>
      </c>
      <c r="F675" s="1">
        <f>IFERROR(__xludf.DUMMYFUNCTION("""COMPUTED_VALUE"""),2995.0)</f>
        <v>2995</v>
      </c>
    </row>
    <row r="676">
      <c r="A676" s="2">
        <f>IFERROR(__xludf.DUMMYFUNCTION("""COMPUTED_VALUE"""),41908.645833333336)</f>
        <v>41908.64583</v>
      </c>
      <c r="B676" s="1">
        <f>IFERROR(__xludf.DUMMYFUNCTION("""COMPUTED_VALUE"""),38900.0)</f>
        <v>38900</v>
      </c>
      <c r="C676" s="1">
        <f>IFERROR(__xludf.DUMMYFUNCTION("""COMPUTED_VALUE"""),38900.0)</f>
        <v>38900</v>
      </c>
      <c r="D676" s="1">
        <f>IFERROR(__xludf.DUMMYFUNCTION("""COMPUTED_VALUE"""),38350.0)</f>
        <v>38350</v>
      </c>
      <c r="E676" s="1">
        <f>IFERROR(__xludf.DUMMYFUNCTION("""COMPUTED_VALUE"""),38500.0)</f>
        <v>38500</v>
      </c>
      <c r="F676" s="1">
        <f>IFERROR(__xludf.DUMMYFUNCTION("""COMPUTED_VALUE"""),4111.0)</f>
        <v>4111</v>
      </c>
    </row>
    <row r="677">
      <c r="A677" s="2">
        <f>IFERROR(__xludf.DUMMYFUNCTION("""COMPUTED_VALUE"""),41911.645833333336)</f>
        <v>41911.64583</v>
      </c>
      <c r="B677" s="1">
        <f>IFERROR(__xludf.DUMMYFUNCTION("""COMPUTED_VALUE"""),38500.0)</f>
        <v>38500</v>
      </c>
      <c r="C677" s="1">
        <f>IFERROR(__xludf.DUMMYFUNCTION("""COMPUTED_VALUE"""),38550.0)</f>
        <v>38550</v>
      </c>
      <c r="D677" s="1">
        <f>IFERROR(__xludf.DUMMYFUNCTION("""COMPUTED_VALUE"""),37750.0)</f>
        <v>37750</v>
      </c>
      <c r="E677" s="1">
        <f>IFERROR(__xludf.DUMMYFUNCTION("""COMPUTED_VALUE"""),37800.0)</f>
        <v>37800</v>
      </c>
      <c r="F677" s="1">
        <f>IFERROR(__xludf.DUMMYFUNCTION("""COMPUTED_VALUE"""),3271.0)</f>
        <v>3271</v>
      </c>
    </row>
    <row r="678">
      <c r="A678" s="2">
        <f>IFERROR(__xludf.DUMMYFUNCTION("""COMPUTED_VALUE"""),41912.645833333336)</f>
        <v>41912.64583</v>
      </c>
      <c r="B678" s="1">
        <f>IFERROR(__xludf.DUMMYFUNCTION("""COMPUTED_VALUE"""),38000.0)</f>
        <v>38000</v>
      </c>
      <c r="C678" s="1">
        <f>IFERROR(__xludf.DUMMYFUNCTION("""COMPUTED_VALUE"""),38000.0)</f>
        <v>38000</v>
      </c>
      <c r="D678" s="1">
        <f>IFERROR(__xludf.DUMMYFUNCTION("""COMPUTED_VALUE"""),36800.0)</f>
        <v>36800</v>
      </c>
      <c r="E678" s="1">
        <f>IFERROR(__xludf.DUMMYFUNCTION("""COMPUTED_VALUE"""),37150.0)</f>
        <v>37150</v>
      </c>
      <c r="F678" s="1">
        <f>IFERROR(__xludf.DUMMYFUNCTION("""COMPUTED_VALUE"""),5418.0)</f>
        <v>5418</v>
      </c>
    </row>
    <row r="679">
      <c r="A679" s="2">
        <f>IFERROR(__xludf.DUMMYFUNCTION("""COMPUTED_VALUE"""),41913.645833333336)</f>
        <v>41913.64583</v>
      </c>
      <c r="B679" s="1">
        <f>IFERROR(__xludf.DUMMYFUNCTION("""COMPUTED_VALUE"""),37150.0)</f>
        <v>37150</v>
      </c>
      <c r="C679" s="1">
        <f>IFERROR(__xludf.DUMMYFUNCTION("""COMPUTED_VALUE"""),37150.0)</f>
        <v>37150</v>
      </c>
      <c r="D679" s="1">
        <f>IFERROR(__xludf.DUMMYFUNCTION("""COMPUTED_VALUE"""),36250.0)</f>
        <v>36250</v>
      </c>
      <c r="E679" s="1">
        <f>IFERROR(__xludf.DUMMYFUNCTION("""COMPUTED_VALUE"""),36250.0)</f>
        <v>36250</v>
      </c>
      <c r="F679" s="1">
        <f>IFERROR(__xludf.DUMMYFUNCTION("""COMPUTED_VALUE"""),7730.0)</f>
        <v>7730</v>
      </c>
    </row>
    <row r="680">
      <c r="A680" s="2">
        <f>IFERROR(__xludf.DUMMYFUNCTION("""COMPUTED_VALUE"""),41914.645833333336)</f>
        <v>41914.64583</v>
      </c>
      <c r="B680" s="1">
        <f>IFERROR(__xludf.DUMMYFUNCTION("""COMPUTED_VALUE"""),36850.0)</f>
        <v>36850</v>
      </c>
      <c r="C680" s="1">
        <f>IFERROR(__xludf.DUMMYFUNCTION("""COMPUTED_VALUE"""),36850.0)</f>
        <v>36850</v>
      </c>
      <c r="D680" s="1">
        <f>IFERROR(__xludf.DUMMYFUNCTION("""COMPUTED_VALUE"""),35200.0)</f>
        <v>35200</v>
      </c>
      <c r="E680" s="1">
        <f>IFERROR(__xludf.DUMMYFUNCTION("""COMPUTED_VALUE"""),35600.0)</f>
        <v>35600</v>
      </c>
      <c r="F680" s="1">
        <f>IFERROR(__xludf.DUMMYFUNCTION("""COMPUTED_VALUE"""),12293.0)</f>
        <v>12293</v>
      </c>
    </row>
    <row r="681">
      <c r="A681" s="2">
        <f>IFERROR(__xludf.DUMMYFUNCTION("""COMPUTED_VALUE"""),41918.645833333336)</f>
        <v>41918.64583</v>
      </c>
      <c r="B681" s="1">
        <f>IFERROR(__xludf.DUMMYFUNCTION("""COMPUTED_VALUE"""),35000.0)</f>
        <v>35000</v>
      </c>
      <c r="C681" s="1">
        <f>IFERROR(__xludf.DUMMYFUNCTION("""COMPUTED_VALUE"""),36500.0)</f>
        <v>36500</v>
      </c>
      <c r="D681" s="1">
        <f>IFERROR(__xludf.DUMMYFUNCTION("""COMPUTED_VALUE"""),34950.0)</f>
        <v>34950</v>
      </c>
      <c r="E681" s="1">
        <f>IFERROR(__xludf.DUMMYFUNCTION("""COMPUTED_VALUE"""),36250.0)</f>
        <v>36250</v>
      </c>
      <c r="F681" s="1">
        <f>IFERROR(__xludf.DUMMYFUNCTION("""COMPUTED_VALUE"""),4765.0)</f>
        <v>4765</v>
      </c>
    </row>
    <row r="682">
      <c r="A682" s="2">
        <f>IFERROR(__xludf.DUMMYFUNCTION("""COMPUTED_VALUE"""),41919.645833333336)</f>
        <v>41919.64583</v>
      </c>
      <c r="B682" s="1">
        <f>IFERROR(__xludf.DUMMYFUNCTION("""COMPUTED_VALUE"""),36500.0)</f>
        <v>36500</v>
      </c>
      <c r="C682" s="1">
        <f>IFERROR(__xludf.DUMMYFUNCTION("""COMPUTED_VALUE"""),37100.0)</f>
        <v>37100</v>
      </c>
      <c r="D682" s="1">
        <f>IFERROR(__xludf.DUMMYFUNCTION("""COMPUTED_VALUE"""),35400.0)</f>
        <v>35400</v>
      </c>
      <c r="E682" s="1">
        <f>IFERROR(__xludf.DUMMYFUNCTION("""COMPUTED_VALUE"""),36050.0)</f>
        <v>36050</v>
      </c>
      <c r="F682" s="1">
        <f>IFERROR(__xludf.DUMMYFUNCTION("""COMPUTED_VALUE"""),5964.0)</f>
        <v>5964</v>
      </c>
    </row>
    <row r="683">
      <c r="A683" s="2">
        <f>IFERROR(__xludf.DUMMYFUNCTION("""COMPUTED_VALUE"""),41920.645833333336)</f>
        <v>41920.64583</v>
      </c>
      <c r="B683" s="1">
        <f>IFERROR(__xludf.DUMMYFUNCTION("""COMPUTED_VALUE"""),36050.0)</f>
        <v>36050</v>
      </c>
      <c r="C683" s="1">
        <f>IFERROR(__xludf.DUMMYFUNCTION("""COMPUTED_VALUE"""),36100.0)</f>
        <v>36100</v>
      </c>
      <c r="D683" s="1">
        <f>IFERROR(__xludf.DUMMYFUNCTION("""COMPUTED_VALUE"""),35550.0)</f>
        <v>35550</v>
      </c>
      <c r="E683" s="1">
        <f>IFERROR(__xludf.DUMMYFUNCTION("""COMPUTED_VALUE"""),36050.0)</f>
        <v>36050</v>
      </c>
      <c r="F683" s="1">
        <f>IFERROR(__xludf.DUMMYFUNCTION("""COMPUTED_VALUE"""),5275.0)</f>
        <v>5275</v>
      </c>
    </row>
    <row r="684">
      <c r="A684" s="2">
        <f>IFERROR(__xludf.DUMMYFUNCTION("""COMPUTED_VALUE"""),41922.645833333336)</f>
        <v>41922.64583</v>
      </c>
      <c r="B684" s="1">
        <f>IFERROR(__xludf.DUMMYFUNCTION("""COMPUTED_VALUE"""),36250.0)</f>
        <v>36250</v>
      </c>
      <c r="C684" s="1">
        <f>IFERROR(__xludf.DUMMYFUNCTION("""COMPUTED_VALUE"""),36250.0)</f>
        <v>36250</v>
      </c>
      <c r="D684" s="1">
        <f>IFERROR(__xludf.DUMMYFUNCTION("""COMPUTED_VALUE"""),35450.0)</f>
        <v>35450</v>
      </c>
      <c r="E684" s="1">
        <f>IFERROR(__xludf.DUMMYFUNCTION("""COMPUTED_VALUE"""),35750.0)</f>
        <v>35750</v>
      </c>
      <c r="F684" s="1">
        <f>IFERROR(__xludf.DUMMYFUNCTION("""COMPUTED_VALUE"""),1316.0)</f>
        <v>1316</v>
      </c>
    </row>
    <row r="685">
      <c r="A685" s="2">
        <f>IFERROR(__xludf.DUMMYFUNCTION("""COMPUTED_VALUE"""),41925.645833333336)</f>
        <v>41925.64583</v>
      </c>
      <c r="B685" s="1">
        <f>IFERROR(__xludf.DUMMYFUNCTION("""COMPUTED_VALUE"""),35600.0)</f>
        <v>35600</v>
      </c>
      <c r="C685" s="1">
        <f>IFERROR(__xludf.DUMMYFUNCTION("""COMPUTED_VALUE"""),35650.0)</f>
        <v>35650</v>
      </c>
      <c r="D685" s="1">
        <f>IFERROR(__xludf.DUMMYFUNCTION("""COMPUTED_VALUE"""),35250.0)</f>
        <v>35250</v>
      </c>
      <c r="E685" s="1">
        <f>IFERROR(__xludf.DUMMYFUNCTION("""COMPUTED_VALUE"""),35650.0)</f>
        <v>35650</v>
      </c>
      <c r="F685" s="1">
        <f>IFERROR(__xludf.DUMMYFUNCTION("""COMPUTED_VALUE"""),1655.0)</f>
        <v>1655</v>
      </c>
    </row>
    <row r="686">
      <c r="A686" s="2">
        <f>IFERROR(__xludf.DUMMYFUNCTION("""COMPUTED_VALUE"""),41926.645833333336)</f>
        <v>41926.64583</v>
      </c>
      <c r="B686" s="1">
        <f>IFERROR(__xludf.DUMMYFUNCTION("""COMPUTED_VALUE"""),35650.0)</f>
        <v>35650</v>
      </c>
      <c r="C686" s="1">
        <f>IFERROR(__xludf.DUMMYFUNCTION("""COMPUTED_VALUE"""),36350.0)</f>
        <v>36350</v>
      </c>
      <c r="D686" s="1">
        <f>IFERROR(__xludf.DUMMYFUNCTION("""COMPUTED_VALUE"""),35400.0)</f>
        <v>35400</v>
      </c>
      <c r="E686" s="1">
        <f>IFERROR(__xludf.DUMMYFUNCTION("""COMPUTED_VALUE"""),35500.0)</f>
        <v>35500</v>
      </c>
      <c r="F686" s="1">
        <f>IFERROR(__xludf.DUMMYFUNCTION("""COMPUTED_VALUE"""),5379.0)</f>
        <v>5379</v>
      </c>
    </row>
    <row r="687">
      <c r="A687" s="2">
        <f>IFERROR(__xludf.DUMMYFUNCTION("""COMPUTED_VALUE"""),41927.645833333336)</f>
        <v>41927.64583</v>
      </c>
      <c r="B687" s="1">
        <f>IFERROR(__xludf.DUMMYFUNCTION("""COMPUTED_VALUE"""),35950.0)</f>
        <v>35950</v>
      </c>
      <c r="C687" s="1">
        <f>IFERROR(__xludf.DUMMYFUNCTION("""COMPUTED_VALUE"""),36050.0)</f>
        <v>36050</v>
      </c>
      <c r="D687" s="1">
        <f>IFERROR(__xludf.DUMMYFUNCTION("""COMPUTED_VALUE"""),35350.0)</f>
        <v>35350</v>
      </c>
      <c r="E687" s="1">
        <f>IFERROR(__xludf.DUMMYFUNCTION("""COMPUTED_VALUE"""),35550.0)</f>
        <v>35550</v>
      </c>
      <c r="F687" s="1">
        <f>IFERROR(__xludf.DUMMYFUNCTION("""COMPUTED_VALUE"""),3534.0)</f>
        <v>3534</v>
      </c>
    </row>
    <row r="688">
      <c r="A688" s="2">
        <f>IFERROR(__xludf.DUMMYFUNCTION("""COMPUTED_VALUE"""),41928.645833333336)</f>
        <v>41928.64583</v>
      </c>
      <c r="B688" s="1">
        <f>IFERROR(__xludf.DUMMYFUNCTION("""COMPUTED_VALUE"""),35600.0)</f>
        <v>35600</v>
      </c>
      <c r="C688" s="1">
        <f>IFERROR(__xludf.DUMMYFUNCTION("""COMPUTED_VALUE"""),35900.0)</f>
        <v>35900</v>
      </c>
      <c r="D688" s="1">
        <f>IFERROR(__xludf.DUMMYFUNCTION("""COMPUTED_VALUE"""),34750.0)</f>
        <v>34750</v>
      </c>
      <c r="E688" s="1">
        <f>IFERROR(__xludf.DUMMYFUNCTION("""COMPUTED_VALUE"""),34800.0)</f>
        <v>34800</v>
      </c>
      <c r="F688" s="1">
        <f>IFERROR(__xludf.DUMMYFUNCTION("""COMPUTED_VALUE"""),22959.0)</f>
        <v>22959</v>
      </c>
    </row>
    <row r="689">
      <c r="A689" s="2">
        <f>IFERROR(__xludf.DUMMYFUNCTION("""COMPUTED_VALUE"""),41929.645833333336)</f>
        <v>41929.64583</v>
      </c>
      <c r="B689" s="1">
        <f>IFERROR(__xludf.DUMMYFUNCTION("""COMPUTED_VALUE"""),34900.0)</f>
        <v>34900</v>
      </c>
      <c r="C689" s="1">
        <f>IFERROR(__xludf.DUMMYFUNCTION("""COMPUTED_VALUE"""),35000.0)</f>
        <v>35000</v>
      </c>
      <c r="D689" s="1">
        <f>IFERROR(__xludf.DUMMYFUNCTION("""COMPUTED_VALUE"""),33250.0)</f>
        <v>33250</v>
      </c>
      <c r="E689" s="1">
        <f>IFERROR(__xludf.DUMMYFUNCTION("""COMPUTED_VALUE"""),34250.0)</f>
        <v>34250</v>
      </c>
      <c r="F689" s="1">
        <f>IFERROR(__xludf.DUMMYFUNCTION("""COMPUTED_VALUE"""),15130.0)</f>
        <v>15130</v>
      </c>
    </row>
    <row r="690">
      <c r="A690" s="2">
        <f>IFERROR(__xludf.DUMMYFUNCTION("""COMPUTED_VALUE"""),41932.645833333336)</f>
        <v>41932.64583</v>
      </c>
      <c r="B690" s="1">
        <f>IFERROR(__xludf.DUMMYFUNCTION("""COMPUTED_VALUE"""),34450.0)</f>
        <v>34450</v>
      </c>
      <c r="C690" s="1">
        <f>IFERROR(__xludf.DUMMYFUNCTION("""COMPUTED_VALUE"""),34800.0)</f>
        <v>34800</v>
      </c>
      <c r="D690" s="1">
        <f>IFERROR(__xludf.DUMMYFUNCTION("""COMPUTED_VALUE"""),34200.0)</f>
        <v>34200</v>
      </c>
      <c r="E690" s="1">
        <f>IFERROR(__xludf.DUMMYFUNCTION("""COMPUTED_VALUE"""),34550.0)</f>
        <v>34550</v>
      </c>
      <c r="F690" s="1">
        <f>IFERROR(__xludf.DUMMYFUNCTION("""COMPUTED_VALUE"""),4257.0)</f>
        <v>4257</v>
      </c>
    </row>
    <row r="691">
      <c r="A691" s="2">
        <f>IFERROR(__xludf.DUMMYFUNCTION("""COMPUTED_VALUE"""),41933.645833333336)</f>
        <v>41933.64583</v>
      </c>
      <c r="B691" s="1">
        <f>IFERROR(__xludf.DUMMYFUNCTION("""COMPUTED_VALUE"""),34650.0)</f>
        <v>34650</v>
      </c>
      <c r="C691" s="1">
        <f>IFERROR(__xludf.DUMMYFUNCTION("""COMPUTED_VALUE"""),34700.0)</f>
        <v>34700</v>
      </c>
      <c r="D691" s="1">
        <f>IFERROR(__xludf.DUMMYFUNCTION("""COMPUTED_VALUE"""),34100.0)</f>
        <v>34100</v>
      </c>
      <c r="E691" s="1">
        <f>IFERROR(__xludf.DUMMYFUNCTION("""COMPUTED_VALUE"""),34450.0)</f>
        <v>34450</v>
      </c>
      <c r="F691" s="1">
        <f>IFERROR(__xludf.DUMMYFUNCTION("""COMPUTED_VALUE"""),1752.0)</f>
        <v>1752</v>
      </c>
    </row>
    <row r="692">
      <c r="A692" s="2">
        <f>IFERROR(__xludf.DUMMYFUNCTION("""COMPUTED_VALUE"""),41934.645833333336)</f>
        <v>41934.64583</v>
      </c>
      <c r="B692" s="1">
        <f>IFERROR(__xludf.DUMMYFUNCTION("""COMPUTED_VALUE"""),34750.0)</f>
        <v>34750</v>
      </c>
      <c r="C692" s="1">
        <f>IFERROR(__xludf.DUMMYFUNCTION("""COMPUTED_VALUE"""),34750.0)</f>
        <v>34750</v>
      </c>
      <c r="D692" s="1">
        <f>IFERROR(__xludf.DUMMYFUNCTION("""COMPUTED_VALUE"""),34200.0)</f>
        <v>34200</v>
      </c>
      <c r="E692" s="1">
        <f>IFERROR(__xludf.DUMMYFUNCTION("""COMPUTED_VALUE"""),34450.0)</f>
        <v>34450</v>
      </c>
      <c r="F692" s="1">
        <f>IFERROR(__xludf.DUMMYFUNCTION("""COMPUTED_VALUE"""),2019.0)</f>
        <v>2019</v>
      </c>
    </row>
    <row r="693">
      <c r="A693" s="2">
        <f>IFERROR(__xludf.DUMMYFUNCTION("""COMPUTED_VALUE"""),41935.645833333336)</f>
        <v>41935.64583</v>
      </c>
      <c r="B693" s="1">
        <f>IFERROR(__xludf.DUMMYFUNCTION("""COMPUTED_VALUE"""),34450.0)</f>
        <v>34450</v>
      </c>
      <c r="C693" s="1">
        <f>IFERROR(__xludf.DUMMYFUNCTION("""COMPUTED_VALUE"""),34550.0)</f>
        <v>34550</v>
      </c>
      <c r="D693" s="1">
        <f>IFERROR(__xludf.DUMMYFUNCTION("""COMPUTED_VALUE"""),33800.0)</f>
        <v>33800</v>
      </c>
      <c r="E693" s="1">
        <f>IFERROR(__xludf.DUMMYFUNCTION("""COMPUTED_VALUE"""),34000.0)</f>
        <v>34000</v>
      </c>
      <c r="F693" s="1">
        <f>IFERROR(__xludf.DUMMYFUNCTION("""COMPUTED_VALUE"""),2799.0)</f>
        <v>2799</v>
      </c>
    </row>
    <row r="694">
      <c r="A694" s="2">
        <f>IFERROR(__xludf.DUMMYFUNCTION("""COMPUTED_VALUE"""),41936.645833333336)</f>
        <v>41936.64583</v>
      </c>
      <c r="B694" s="1">
        <f>IFERROR(__xludf.DUMMYFUNCTION("""COMPUTED_VALUE"""),34650.0)</f>
        <v>34650</v>
      </c>
      <c r="C694" s="1">
        <f>IFERROR(__xludf.DUMMYFUNCTION("""COMPUTED_VALUE"""),34650.0)</f>
        <v>34650</v>
      </c>
      <c r="D694" s="1">
        <f>IFERROR(__xludf.DUMMYFUNCTION("""COMPUTED_VALUE"""),33500.0)</f>
        <v>33500</v>
      </c>
      <c r="E694" s="1">
        <f>IFERROR(__xludf.DUMMYFUNCTION("""COMPUTED_VALUE"""),34200.0)</f>
        <v>34200</v>
      </c>
      <c r="F694" s="1">
        <f>IFERROR(__xludf.DUMMYFUNCTION("""COMPUTED_VALUE"""),5364.0)</f>
        <v>5364</v>
      </c>
    </row>
    <row r="695">
      <c r="A695" s="2">
        <f>IFERROR(__xludf.DUMMYFUNCTION("""COMPUTED_VALUE"""),41939.645833333336)</f>
        <v>41939.64583</v>
      </c>
      <c r="B695" s="1">
        <f>IFERROR(__xludf.DUMMYFUNCTION("""COMPUTED_VALUE"""),34200.0)</f>
        <v>34200</v>
      </c>
      <c r="C695" s="1">
        <f>IFERROR(__xludf.DUMMYFUNCTION("""COMPUTED_VALUE"""),35200.0)</f>
        <v>35200</v>
      </c>
      <c r="D695" s="1">
        <f>IFERROR(__xludf.DUMMYFUNCTION("""COMPUTED_VALUE"""),34000.0)</f>
        <v>34000</v>
      </c>
      <c r="E695" s="1">
        <f>IFERROR(__xludf.DUMMYFUNCTION("""COMPUTED_VALUE"""),34900.0)</f>
        <v>34900</v>
      </c>
      <c r="F695" s="1">
        <f>IFERROR(__xludf.DUMMYFUNCTION("""COMPUTED_VALUE"""),5377.0)</f>
        <v>5377</v>
      </c>
    </row>
    <row r="696">
      <c r="A696" s="2">
        <f>IFERROR(__xludf.DUMMYFUNCTION("""COMPUTED_VALUE"""),41940.645833333336)</f>
        <v>41940.64583</v>
      </c>
      <c r="B696" s="1">
        <f>IFERROR(__xludf.DUMMYFUNCTION("""COMPUTED_VALUE"""),35150.0)</f>
        <v>35150</v>
      </c>
      <c r="C696" s="1">
        <f>IFERROR(__xludf.DUMMYFUNCTION("""COMPUTED_VALUE"""),35150.0)</f>
        <v>35150</v>
      </c>
      <c r="D696" s="1">
        <f>IFERROR(__xludf.DUMMYFUNCTION("""COMPUTED_VALUE"""),34300.0)</f>
        <v>34300</v>
      </c>
      <c r="E696" s="1">
        <f>IFERROR(__xludf.DUMMYFUNCTION("""COMPUTED_VALUE"""),34400.0)</f>
        <v>34400</v>
      </c>
      <c r="F696" s="1">
        <f>IFERROR(__xludf.DUMMYFUNCTION("""COMPUTED_VALUE"""),804.0)</f>
        <v>804</v>
      </c>
    </row>
    <row r="697">
      <c r="A697" s="2">
        <f>IFERROR(__xludf.DUMMYFUNCTION("""COMPUTED_VALUE"""),41941.645833333336)</f>
        <v>41941.64583</v>
      </c>
      <c r="B697" s="1">
        <f>IFERROR(__xludf.DUMMYFUNCTION("""COMPUTED_VALUE"""),34450.0)</f>
        <v>34450</v>
      </c>
      <c r="C697" s="1">
        <f>IFERROR(__xludf.DUMMYFUNCTION("""COMPUTED_VALUE"""),34850.0)</f>
        <v>34850</v>
      </c>
      <c r="D697" s="1">
        <f>IFERROR(__xludf.DUMMYFUNCTION("""COMPUTED_VALUE"""),34150.0)</f>
        <v>34150</v>
      </c>
      <c r="E697" s="1">
        <f>IFERROR(__xludf.DUMMYFUNCTION("""COMPUTED_VALUE"""),34850.0)</f>
        <v>34850</v>
      </c>
      <c r="F697" s="1">
        <f>IFERROR(__xludf.DUMMYFUNCTION("""COMPUTED_VALUE"""),1921.0)</f>
        <v>1921</v>
      </c>
    </row>
    <row r="698">
      <c r="A698" s="2">
        <f>IFERROR(__xludf.DUMMYFUNCTION("""COMPUTED_VALUE"""),41942.645833333336)</f>
        <v>41942.64583</v>
      </c>
      <c r="B698" s="1">
        <f>IFERROR(__xludf.DUMMYFUNCTION("""COMPUTED_VALUE"""),34850.0)</f>
        <v>34850</v>
      </c>
      <c r="C698" s="1">
        <f>IFERROR(__xludf.DUMMYFUNCTION("""COMPUTED_VALUE"""),34900.0)</f>
        <v>34900</v>
      </c>
      <c r="D698" s="1">
        <f>IFERROR(__xludf.DUMMYFUNCTION("""COMPUTED_VALUE"""),34450.0)</f>
        <v>34450</v>
      </c>
      <c r="E698" s="1">
        <f>IFERROR(__xludf.DUMMYFUNCTION("""COMPUTED_VALUE"""),34800.0)</f>
        <v>34800</v>
      </c>
      <c r="F698" s="1">
        <f>IFERROR(__xludf.DUMMYFUNCTION("""COMPUTED_VALUE"""),5755.0)</f>
        <v>5755</v>
      </c>
    </row>
    <row r="699">
      <c r="A699" s="2">
        <f>IFERROR(__xludf.DUMMYFUNCTION("""COMPUTED_VALUE"""),41943.645833333336)</f>
        <v>41943.64583</v>
      </c>
      <c r="B699" s="1">
        <f>IFERROR(__xludf.DUMMYFUNCTION("""COMPUTED_VALUE"""),34950.0)</f>
        <v>34950</v>
      </c>
      <c r="C699" s="1">
        <f>IFERROR(__xludf.DUMMYFUNCTION("""COMPUTED_VALUE"""),34950.0)</f>
        <v>34950</v>
      </c>
      <c r="D699" s="1">
        <f>IFERROR(__xludf.DUMMYFUNCTION("""COMPUTED_VALUE"""),34300.0)</f>
        <v>34300</v>
      </c>
      <c r="E699" s="1">
        <f>IFERROR(__xludf.DUMMYFUNCTION("""COMPUTED_VALUE"""),34600.0)</f>
        <v>34600</v>
      </c>
      <c r="F699" s="1">
        <f>IFERROR(__xludf.DUMMYFUNCTION("""COMPUTED_VALUE"""),3696.0)</f>
        <v>3696</v>
      </c>
    </row>
    <row r="700">
      <c r="A700" s="2">
        <f>IFERROR(__xludf.DUMMYFUNCTION("""COMPUTED_VALUE"""),41946.645833333336)</f>
        <v>41946.64583</v>
      </c>
      <c r="B700" s="1">
        <f>IFERROR(__xludf.DUMMYFUNCTION("""COMPUTED_VALUE"""),34400.0)</f>
        <v>34400</v>
      </c>
      <c r="C700" s="1">
        <f>IFERROR(__xludf.DUMMYFUNCTION("""COMPUTED_VALUE"""),34600.0)</f>
        <v>34600</v>
      </c>
      <c r="D700" s="1">
        <f>IFERROR(__xludf.DUMMYFUNCTION("""COMPUTED_VALUE"""),34250.0)</f>
        <v>34250</v>
      </c>
      <c r="E700" s="1">
        <f>IFERROR(__xludf.DUMMYFUNCTION("""COMPUTED_VALUE"""),34450.0)</f>
        <v>34450</v>
      </c>
      <c r="F700" s="1">
        <f>IFERROR(__xludf.DUMMYFUNCTION("""COMPUTED_VALUE"""),1512.0)</f>
        <v>1512</v>
      </c>
    </row>
    <row r="701">
      <c r="A701" s="2">
        <f>IFERROR(__xludf.DUMMYFUNCTION("""COMPUTED_VALUE"""),41947.645833333336)</f>
        <v>41947.64583</v>
      </c>
      <c r="B701" s="1">
        <f>IFERROR(__xludf.DUMMYFUNCTION("""COMPUTED_VALUE"""),34550.0)</f>
        <v>34550</v>
      </c>
      <c r="C701" s="1">
        <f>IFERROR(__xludf.DUMMYFUNCTION("""COMPUTED_VALUE"""),34600.0)</f>
        <v>34600</v>
      </c>
      <c r="D701" s="1">
        <f>IFERROR(__xludf.DUMMYFUNCTION("""COMPUTED_VALUE"""),33650.0)</f>
        <v>33650</v>
      </c>
      <c r="E701" s="1">
        <f>IFERROR(__xludf.DUMMYFUNCTION("""COMPUTED_VALUE"""),33850.0)</f>
        <v>33850</v>
      </c>
      <c r="F701" s="1">
        <f>IFERROR(__xludf.DUMMYFUNCTION("""COMPUTED_VALUE"""),1575.0)</f>
        <v>1575</v>
      </c>
    </row>
    <row r="702">
      <c r="A702" s="2">
        <f>IFERROR(__xludf.DUMMYFUNCTION("""COMPUTED_VALUE"""),41948.645833333336)</f>
        <v>41948.64583</v>
      </c>
      <c r="B702" s="1">
        <f>IFERROR(__xludf.DUMMYFUNCTION("""COMPUTED_VALUE"""),33950.0)</f>
        <v>33950</v>
      </c>
      <c r="C702" s="1">
        <f>IFERROR(__xludf.DUMMYFUNCTION("""COMPUTED_VALUE"""),33950.0)</f>
        <v>33950</v>
      </c>
      <c r="D702" s="1">
        <f>IFERROR(__xludf.DUMMYFUNCTION("""COMPUTED_VALUE"""),33300.0)</f>
        <v>33300</v>
      </c>
      <c r="E702" s="1">
        <f>IFERROR(__xludf.DUMMYFUNCTION("""COMPUTED_VALUE"""),33550.0)</f>
        <v>33550</v>
      </c>
      <c r="F702" s="1">
        <f>IFERROR(__xludf.DUMMYFUNCTION("""COMPUTED_VALUE"""),2027.0)</f>
        <v>2027</v>
      </c>
    </row>
    <row r="703">
      <c r="A703" s="2">
        <f>IFERROR(__xludf.DUMMYFUNCTION("""COMPUTED_VALUE"""),41949.645833333336)</f>
        <v>41949.64583</v>
      </c>
      <c r="B703" s="1">
        <f>IFERROR(__xludf.DUMMYFUNCTION("""COMPUTED_VALUE"""),33350.0)</f>
        <v>33350</v>
      </c>
      <c r="C703" s="1">
        <f>IFERROR(__xludf.DUMMYFUNCTION("""COMPUTED_VALUE"""),33550.0)</f>
        <v>33550</v>
      </c>
      <c r="D703" s="1">
        <f>IFERROR(__xludf.DUMMYFUNCTION("""COMPUTED_VALUE"""),33100.0)</f>
        <v>33100</v>
      </c>
      <c r="E703" s="1">
        <f>IFERROR(__xludf.DUMMYFUNCTION("""COMPUTED_VALUE"""),33350.0)</f>
        <v>33350</v>
      </c>
      <c r="F703" s="1">
        <f>IFERROR(__xludf.DUMMYFUNCTION("""COMPUTED_VALUE"""),3386.0)</f>
        <v>3386</v>
      </c>
    </row>
    <row r="704">
      <c r="A704" s="2">
        <f>IFERROR(__xludf.DUMMYFUNCTION("""COMPUTED_VALUE"""),41950.645833333336)</f>
        <v>41950.64583</v>
      </c>
      <c r="B704" s="1">
        <f>IFERROR(__xludf.DUMMYFUNCTION("""COMPUTED_VALUE"""),33400.0)</f>
        <v>33400</v>
      </c>
      <c r="C704" s="1">
        <f>IFERROR(__xludf.DUMMYFUNCTION("""COMPUTED_VALUE"""),33400.0)</f>
        <v>33400</v>
      </c>
      <c r="D704" s="1">
        <f>IFERROR(__xludf.DUMMYFUNCTION("""COMPUTED_VALUE"""),33150.0)</f>
        <v>33150</v>
      </c>
      <c r="E704" s="1">
        <f>IFERROR(__xludf.DUMMYFUNCTION("""COMPUTED_VALUE"""),33250.0)</f>
        <v>33250</v>
      </c>
      <c r="F704" s="1">
        <f>IFERROR(__xludf.DUMMYFUNCTION("""COMPUTED_VALUE"""),4571.0)</f>
        <v>4571</v>
      </c>
    </row>
    <row r="705">
      <c r="A705" s="2">
        <f>IFERROR(__xludf.DUMMYFUNCTION("""COMPUTED_VALUE"""),41953.64583333333)</f>
        <v>41953.64583</v>
      </c>
      <c r="B705" s="1">
        <f>IFERROR(__xludf.DUMMYFUNCTION("""COMPUTED_VALUE"""),33100.0)</f>
        <v>33100</v>
      </c>
      <c r="C705" s="1">
        <f>IFERROR(__xludf.DUMMYFUNCTION("""COMPUTED_VALUE"""),33400.0)</f>
        <v>33400</v>
      </c>
      <c r="D705" s="1">
        <f>IFERROR(__xludf.DUMMYFUNCTION("""COMPUTED_VALUE"""),33000.0)</f>
        <v>33000</v>
      </c>
      <c r="E705" s="1">
        <f>IFERROR(__xludf.DUMMYFUNCTION("""COMPUTED_VALUE"""),33200.0)</f>
        <v>33200</v>
      </c>
      <c r="F705" s="1">
        <f>IFERROR(__xludf.DUMMYFUNCTION("""COMPUTED_VALUE"""),6465.0)</f>
        <v>6465</v>
      </c>
    </row>
    <row r="706">
      <c r="A706" s="2">
        <f>IFERROR(__xludf.DUMMYFUNCTION("""COMPUTED_VALUE"""),41954.64583333333)</f>
        <v>41954.64583</v>
      </c>
      <c r="B706" s="1">
        <f>IFERROR(__xludf.DUMMYFUNCTION("""COMPUTED_VALUE"""),33200.0)</f>
        <v>33200</v>
      </c>
      <c r="C706" s="1">
        <f>IFERROR(__xludf.DUMMYFUNCTION("""COMPUTED_VALUE"""),33250.0)</f>
        <v>33250</v>
      </c>
      <c r="D706" s="1">
        <f>IFERROR(__xludf.DUMMYFUNCTION("""COMPUTED_VALUE"""),33050.0)</f>
        <v>33050</v>
      </c>
      <c r="E706" s="1">
        <f>IFERROR(__xludf.DUMMYFUNCTION("""COMPUTED_VALUE"""),33150.0)</f>
        <v>33150</v>
      </c>
      <c r="F706" s="1">
        <f>IFERROR(__xludf.DUMMYFUNCTION("""COMPUTED_VALUE"""),2868.0)</f>
        <v>2868</v>
      </c>
    </row>
    <row r="707">
      <c r="A707" s="2">
        <f>IFERROR(__xludf.DUMMYFUNCTION("""COMPUTED_VALUE"""),41955.64583333333)</f>
        <v>41955.64583</v>
      </c>
      <c r="B707" s="1">
        <f>IFERROR(__xludf.DUMMYFUNCTION("""COMPUTED_VALUE"""),33800.0)</f>
        <v>33800</v>
      </c>
      <c r="C707" s="1">
        <f>IFERROR(__xludf.DUMMYFUNCTION("""COMPUTED_VALUE"""),33800.0)</f>
        <v>33800</v>
      </c>
      <c r="D707" s="1">
        <f>IFERROR(__xludf.DUMMYFUNCTION("""COMPUTED_VALUE"""),33150.0)</f>
        <v>33150</v>
      </c>
      <c r="E707" s="1">
        <f>IFERROR(__xludf.DUMMYFUNCTION("""COMPUTED_VALUE"""),33200.0)</f>
        <v>33200</v>
      </c>
      <c r="F707" s="1">
        <f>IFERROR(__xludf.DUMMYFUNCTION("""COMPUTED_VALUE"""),4963.0)</f>
        <v>4963</v>
      </c>
    </row>
    <row r="708">
      <c r="A708" s="2">
        <f>IFERROR(__xludf.DUMMYFUNCTION("""COMPUTED_VALUE"""),41956.64583333333)</f>
        <v>41956.64583</v>
      </c>
      <c r="B708" s="1">
        <f>IFERROR(__xludf.DUMMYFUNCTION("""COMPUTED_VALUE"""),33300.0)</f>
        <v>33300</v>
      </c>
      <c r="C708" s="1">
        <f>IFERROR(__xludf.DUMMYFUNCTION("""COMPUTED_VALUE"""),33500.0)</f>
        <v>33500</v>
      </c>
      <c r="D708" s="1">
        <f>IFERROR(__xludf.DUMMYFUNCTION("""COMPUTED_VALUE"""),33150.0)</f>
        <v>33150</v>
      </c>
      <c r="E708" s="1">
        <f>IFERROR(__xludf.DUMMYFUNCTION("""COMPUTED_VALUE"""),33350.0)</f>
        <v>33350</v>
      </c>
      <c r="F708" s="1">
        <f>IFERROR(__xludf.DUMMYFUNCTION("""COMPUTED_VALUE"""),1273.0)</f>
        <v>1273</v>
      </c>
    </row>
    <row r="709">
      <c r="A709" s="2">
        <f>IFERROR(__xludf.DUMMYFUNCTION("""COMPUTED_VALUE"""),41957.64583333333)</f>
        <v>41957.64583</v>
      </c>
      <c r="B709" s="1">
        <f>IFERROR(__xludf.DUMMYFUNCTION("""COMPUTED_VALUE"""),33450.0)</f>
        <v>33450</v>
      </c>
      <c r="C709" s="1">
        <f>IFERROR(__xludf.DUMMYFUNCTION("""COMPUTED_VALUE"""),33450.0)</f>
        <v>33450</v>
      </c>
      <c r="D709" s="1">
        <f>IFERROR(__xludf.DUMMYFUNCTION("""COMPUTED_VALUE"""),33000.0)</f>
        <v>33000</v>
      </c>
      <c r="E709" s="1">
        <f>IFERROR(__xludf.DUMMYFUNCTION("""COMPUTED_VALUE"""),33250.0)</f>
        <v>33250</v>
      </c>
      <c r="F709" s="1">
        <f>IFERROR(__xludf.DUMMYFUNCTION("""COMPUTED_VALUE"""),2968.0)</f>
        <v>2968</v>
      </c>
    </row>
    <row r="710">
      <c r="A710" s="2">
        <f>IFERROR(__xludf.DUMMYFUNCTION("""COMPUTED_VALUE"""),41960.64583333333)</f>
        <v>41960.64583</v>
      </c>
      <c r="B710" s="1">
        <f>IFERROR(__xludf.DUMMYFUNCTION("""COMPUTED_VALUE"""),32900.0)</f>
        <v>32900</v>
      </c>
      <c r="C710" s="1">
        <f>IFERROR(__xludf.DUMMYFUNCTION("""COMPUTED_VALUE"""),33700.0)</f>
        <v>33700</v>
      </c>
      <c r="D710" s="1">
        <f>IFERROR(__xludf.DUMMYFUNCTION("""COMPUTED_VALUE"""),32900.0)</f>
        <v>32900</v>
      </c>
      <c r="E710" s="1">
        <f>IFERROR(__xludf.DUMMYFUNCTION("""COMPUTED_VALUE"""),33350.0)</f>
        <v>33350</v>
      </c>
      <c r="F710" s="1">
        <f>IFERROR(__xludf.DUMMYFUNCTION("""COMPUTED_VALUE"""),4299.0)</f>
        <v>4299</v>
      </c>
    </row>
    <row r="711">
      <c r="A711" s="2">
        <f>IFERROR(__xludf.DUMMYFUNCTION("""COMPUTED_VALUE"""),41961.64583333333)</f>
        <v>41961.64583</v>
      </c>
      <c r="B711" s="1">
        <f>IFERROR(__xludf.DUMMYFUNCTION("""COMPUTED_VALUE"""),33350.0)</f>
        <v>33350</v>
      </c>
      <c r="C711" s="1">
        <f>IFERROR(__xludf.DUMMYFUNCTION("""COMPUTED_VALUE"""),33600.0)</f>
        <v>33600</v>
      </c>
      <c r="D711" s="1">
        <f>IFERROR(__xludf.DUMMYFUNCTION("""COMPUTED_VALUE"""),33300.0)</f>
        <v>33300</v>
      </c>
      <c r="E711" s="1">
        <f>IFERROR(__xludf.DUMMYFUNCTION("""COMPUTED_VALUE"""),33500.0)</f>
        <v>33500</v>
      </c>
      <c r="F711" s="1">
        <f>IFERROR(__xludf.DUMMYFUNCTION("""COMPUTED_VALUE"""),1677.0)</f>
        <v>1677</v>
      </c>
    </row>
    <row r="712">
      <c r="A712" s="2">
        <f>IFERROR(__xludf.DUMMYFUNCTION("""COMPUTED_VALUE"""),41962.64583333333)</f>
        <v>41962.64583</v>
      </c>
      <c r="B712" s="1">
        <f>IFERROR(__xludf.DUMMYFUNCTION("""COMPUTED_VALUE"""),33500.0)</f>
        <v>33500</v>
      </c>
      <c r="C712" s="1">
        <f>IFERROR(__xludf.DUMMYFUNCTION("""COMPUTED_VALUE"""),33500.0)</f>
        <v>33500</v>
      </c>
      <c r="D712" s="1">
        <f>IFERROR(__xludf.DUMMYFUNCTION("""COMPUTED_VALUE"""),33150.0)</f>
        <v>33150</v>
      </c>
      <c r="E712" s="1">
        <f>IFERROR(__xludf.DUMMYFUNCTION("""COMPUTED_VALUE"""),33400.0)</f>
        <v>33400</v>
      </c>
      <c r="F712" s="1">
        <f>IFERROR(__xludf.DUMMYFUNCTION("""COMPUTED_VALUE"""),1084.0)</f>
        <v>1084</v>
      </c>
    </row>
    <row r="713">
      <c r="A713" s="2">
        <f>IFERROR(__xludf.DUMMYFUNCTION("""COMPUTED_VALUE"""),41963.64583333333)</f>
        <v>41963.64583</v>
      </c>
      <c r="B713" s="1">
        <f>IFERROR(__xludf.DUMMYFUNCTION("""COMPUTED_VALUE"""),33050.0)</f>
        <v>33050</v>
      </c>
      <c r="C713" s="1">
        <f>IFERROR(__xludf.DUMMYFUNCTION("""COMPUTED_VALUE"""),33450.0)</f>
        <v>33450</v>
      </c>
      <c r="D713" s="1">
        <f>IFERROR(__xludf.DUMMYFUNCTION("""COMPUTED_VALUE"""),33050.0)</f>
        <v>33050</v>
      </c>
      <c r="E713" s="1">
        <f>IFERROR(__xludf.DUMMYFUNCTION("""COMPUTED_VALUE"""),33400.0)</f>
        <v>33400</v>
      </c>
      <c r="F713" s="1">
        <f>IFERROR(__xludf.DUMMYFUNCTION("""COMPUTED_VALUE"""),952.0)</f>
        <v>952</v>
      </c>
    </row>
    <row r="714">
      <c r="A714" s="2">
        <f>IFERROR(__xludf.DUMMYFUNCTION("""COMPUTED_VALUE"""),41964.64583333333)</f>
        <v>41964.64583</v>
      </c>
      <c r="B714" s="1">
        <f>IFERROR(__xludf.DUMMYFUNCTION("""COMPUTED_VALUE"""),33450.0)</f>
        <v>33450</v>
      </c>
      <c r="C714" s="1">
        <f>IFERROR(__xludf.DUMMYFUNCTION("""COMPUTED_VALUE"""),33500.0)</f>
        <v>33500</v>
      </c>
      <c r="D714" s="1">
        <f>IFERROR(__xludf.DUMMYFUNCTION("""COMPUTED_VALUE"""),33350.0)</f>
        <v>33350</v>
      </c>
      <c r="E714" s="1">
        <f>IFERROR(__xludf.DUMMYFUNCTION("""COMPUTED_VALUE"""),33350.0)</f>
        <v>33350</v>
      </c>
      <c r="F714" s="1">
        <f>IFERROR(__xludf.DUMMYFUNCTION("""COMPUTED_VALUE"""),1644.0)</f>
        <v>1644</v>
      </c>
    </row>
    <row r="715">
      <c r="A715" s="2">
        <f>IFERROR(__xludf.DUMMYFUNCTION("""COMPUTED_VALUE"""),41967.64583333333)</f>
        <v>41967.64583</v>
      </c>
      <c r="B715" s="1">
        <f>IFERROR(__xludf.DUMMYFUNCTION("""COMPUTED_VALUE"""),33600.0)</f>
        <v>33600</v>
      </c>
      <c r="C715" s="1">
        <f>IFERROR(__xludf.DUMMYFUNCTION("""COMPUTED_VALUE"""),35700.0)</f>
        <v>35700</v>
      </c>
      <c r="D715" s="1">
        <f>IFERROR(__xludf.DUMMYFUNCTION("""COMPUTED_VALUE"""),33500.0)</f>
        <v>33500</v>
      </c>
      <c r="E715" s="1">
        <f>IFERROR(__xludf.DUMMYFUNCTION("""COMPUTED_VALUE"""),34100.0)</f>
        <v>34100</v>
      </c>
      <c r="F715" s="1">
        <f>IFERROR(__xludf.DUMMYFUNCTION("""COMPUTED_VALUE"""),38784.0)</f>
        <v>38784</v>
      </c>
    </row>
    <row r="716">
      <c r="A716" s="2">
        <f>IFERROR(__xludf.DUMMYFUNCTION("""COMPUTED_VALUE"""),41968.64583333333)</f>
        <v>41968.64583</v>
      </c>
      <c r="B716" s="1">
        <f>IFERROR(__xludf.DUMMYFUNCTION("""COMPUTED_VALUE"""),34300.0)</f>
        <v>34300</v>
      </c>
      <c r="C716" s="1">
        <f>IFERROR(__xludf.DUMMYFUNCTION("""COMPUTED_VALUE"""),34700.0)</f>
        <v>34700</v>
      </c>
      <c r="D716" s="1">
        <f>IFERROR(__xludf.DUMMYFUNCTION("""COMPUTED_VALUE"""),33700.0)</f>
        <v>33700</v>
      </c>
      <c r="E716" s="1">
        <f>IFERROR(__xludf.DUMMYFUNCTION("""COMPUTED_VALUE"""),34400.0)</f>
        <v>34400</v>
      </c>
      <c r="F716" s="1">
        <f>IFERROR(__xludf.DUMMYFUNCTION("""COMPUTED_VALUE"""),7660.0)</f>
        <v>7660</v>
      </c>
    </row>
    <row r="717">
      <c r="A717" s="2">
        <f>IFERROR(__xludf.DUMMYFUNCTION("""COMPUTED_VALUE"""),41969.64583333333)</f>
        <v>41969.64583</v>
      </c>
      <c r="B717" s="1">
        <f>IFERROR(__xludf.DUMMYFUNCTION("""COMPUTED_VALUE"""),34400.0)</f>
        <v>34400</v>
      </c>
      <c r="C717" s="1">
        <f>IFERROR(__xludf.DUMMYFUNCTION("""COMPUTED_VALUE"""),34400.0)</f>
        <v>34400</v>
      </c>
      <c r="D717" s="1">
        <f>IFERROR(__xludf.DUMMYFUNCTION("""COMPUTED_VALUE"""),33750.0)</f>
        <v>33750</v>
      </c>
      <c r="E717" s="1">
        <f>IFERROR(__xludf.DUMMYFUNCTION("""COMPUTED_VALUE"""),33750.0)</f>
        <v>33750</v>
      </c>
      <c r="F717" s="1">
        <f>IFERROR(__xludf.DUMMYFUNCTION("""COMPUTED_VALUE"""),3371.0)</f>
        <v>3371</v>
      </c>
    </row>
    <row r="718">
      <c r="A718" s="2">
        <f>IFERROR(__xludf.DUMMYFUNCTION("""COMPUTED_VALUE"""),41970.64583333333)</f>
        <v>41970.64583</v>
      </c>
      <c r="B718" s="1">
        <f>IFERROR(__xludf.DUMMYFUNCTION("""COMPUTED_VALUE"""),33550.0)</f>
        <v>33550</v>
      </c>
      <c r="C718" s="1">
        <f>IFERROR(__xludf.DUMMYFUNCTION("""COMPUTED_VALUE"""),33750.0)</f>
        <v>33750</v>
      </c>
      <c r="D718" s="1">
        <f>IFERROR(__xludf.DUMMYFUNCTION("""COMPUTED_VALUE"""),32800.0)</f>
        <v>32800</v>
      </c>
      <c r="E718" s="1">
        <f>IFERROR(__xludf.DUMMYFUNCTION("""COMPUTED_VALUE"""),33000.0)</f>
        <v>33000</v>
      </c>
      <c r="F718" s="1">
        <f>IFERROR(__xludf.DUMMYFUNCTION("""COMPUTED_VALUE"""),21135.0)</f>
        <v>21135</v>
      </c>
    </row>
    <row r="719">
      <c r="A719" s="2">
        <f>IFERROR(__xludf.DUMMYFUNCTION("""COMPUTED_VALUE"""),41971.64583333333)</f>
        <v>41971.64583</v>
      </c>
      <c r="B719" s="1">
        <f>IFERROR(__xludf.DUMMYFUNCTION("""COMPUTED_VALUE"""),32700.0)</f>
        <v>32700</v>
      </c>
      <c r="C719" s="1">
        <f>IFERROR(__xludf.DUMMYFUNCTION("""COMPUTED_VALUE"""),32700.0)</f>
        <v>32700</v>
      </c>
      <c r="D719" s="1">
        <f>IFERROR(__xludf.DUMMYFUNCTION("""COMPUTED_VALUE"""),31800.0)</f>
        <v>31800</v>
      </c>
      <c r="E719" s="1">
        <f>IFERROR(__xludf.DUMMYFUNCTION("""COMPUTED_VALUE"""),31850.0)</f>
        <v>31850</v>
      </c>
      <c r="F719" s="1">
        <f>IFERROR(__xludf.DUMMYFUNCTION("""COMPUTED_VALUE"""),12251.0)</f>
        <v>12251</v>
      </c>
    </row>
    <row r="720">
      <c r="A720" s="2">
        <f>IFERROR(__xludf.DUMMYFUNCTION("""COMPUTED_VALUE"""),41974.64583333333)</f>
        <v>41974.64583</v>
      </c>
      <c r="B720" s="1">
        <f>IFERROR(__xludf.DUMMYFUNCTION("""COMPUTED_VALUE"""),31900.0)</f>
        <v>31900</v>
      </c>
      <c r="C720" s="1">
        <f>IFERROR(__xludf.DUMMYFUNCTION("""COMPUTED_VALUE"""),31900.0)</f>
        <v>31900</v>
      </c>
      <c r="D720" s="1">
        <f>IFERROR(__xludf.DUMMYFUNCTION("""COMPUTED_VALUE"""),29900.0)</f>
        <v>29900</v>
      </c>
      <c r="E720" s="1">
        <f>IFERROR(__xludf.DUMMYFUNCTION("""COMPUTED_VALUE"""),29900.0)</f>
        <v>29900</v>
      </c>
      <c r="F720" s="1">
        <f>IFERROR(__xludf.DUMMYFUNCTION("""COMPUTED_VALUE"""),41106.0)</f>
        <v>41106</v>
      </c>
    </row>
    <row r="721">
      <c r="A721" s="2">
        <f>IFERROR(__xludf.DUMMYFUNCTION("""COMPUTED_VALUE"""),41975.64583333333)</f>
        <v>41975.64583</v>
      </c>
      <c r="B721" s="1">
        <f>IFERROR(__xludf.DUMMYFUNCTION("""COMPUTED_VALUE"""),29800.0)</f>
        <v>29800</v>
      </c>
      <c r="C721" s="1">
        <f>IFERROR(__xludf.DUMMYFUNCTION("""COMPUTED_VALUE"""),30350.0)</f>
        <v>30350</v>
      </c>
      <c r="D721" s="1">
        <f>IFERROR(__xludf.DUMMYFUNCTION("""COMPUTED_VALUE"""),29800.0)</f>
        <v>29800</v>
      </c>
      <c r="E721" s="1">
        <f>IFERROR(__xludf.DUMMYFUNCTION("""COMPUTED_VALUE"""),29900.0)</f>
        <v>29900</v>
      </c>
      <c r="F721" s="1">
        <f>IFERROR(__xludf.DUMMYFUNCTION("""COMPUTED_VALUE"""),51936.0)</f>
        <v>51936</v>
      </c>
    </row>
    <row r="722">
      <c r="A722" s="2">
        <f>IFERROR(__xludf.DUMMYFUNCTION("""COMPUTED_VALUE"""),41976.64583333333)</f>
        <v>41976.64583</v>
      </c>
      <c r="B722" s="1">
        <f>IFERROR(__xludf.DUMMYFUNCTION("""COMPUTED_VALUE"""),29950.0)</f>
        <v>29950</v>
      </c>
      <c r="C722" s="1">
        <f>IFERROR(__xludf.DUMMYFUNCTION("""COMPUTED_VALUE"""),29950.0)</f>
        <v>29950</v>
      </c>
      <c r="D722" s="1">
        <f>IFERROR(__xludf.DUMMYFUNCTION("""COMPUTED_VALUE"""),29050.0)</f>
        <v>29050</v>
      </c>
      <c r="E722" s="1">
        <f>IFERROR(__xludf.DUMMYFUNCTION("""COMPUTED_VALUE"""),29650.0)</f>
        <v>29650</v>
      </c>
      <c r="F722" s="1">
        <f>IFERROR(__xludf.DUMMYFUNCTION("""COMPUTED_VALUE"""),19393.0)</f>
        <v>19393</v>
      </c>
    </row>
    <row r="723">
      <c r="A723" s="2">
        <f>IFERROR(__xludf.DUMMYFUNCTION("""COMPUTED_VALUE"""),41977.64583333333)</f>
        <v>41977.64583</v>
      </c>
      <c r="B723" s="1">
        <f>IFERROR(__xludf.DUMMYFUNCTION("""COMPUTED_VALUE"""),29650.0)</f>
        <v>29650</v>
      </c>
      <c r="C723" s="1">
        <f>IFERROR(__xludf.DUMMYFUNCTION("""COMPUTED_VALUE"""),30050.0)</f>
        <v>30050</v>
      </c>
      <c r="D723" s="1">
        <f>IFERROR(__xludf.DUMMYFUNCTION("""COMPUTED_VALUE"""),29650.0)</f>
        <v>29650</v>
      </c>
      <c r="E723" s="1">
        <f>IFERROR(__xludf.DUMMYFUNCTION("""COMPUTED_VALUE"""),29850.0)</f>
        <v>29850</v>
      </c>
      <c r="F723" s="1">
        <f>IFERROR(__xludf.DUMMYFUNCTION("""COMPUTED_VALUE"""),15142.0)</f>
        <v>15142</v>
      </c>
    </row>
    <row r="724">
      <c r="A724" s="2">
        <f>IFERROR(__xludf.DUMMYFUNCTION("""COMPUTED_VALUE"""),41978.64583333333)</f>
        <v>41978.64583</v>
      </c>
      <c r="B724" s="1">
        <f>IFERROR(__xludf.DUMMYFUNCTION("""COMPUTED_VALUE"""),29850.0)</f>
        <v>29850</v>
      </c>
      <c r="C724" s="1">
        <f>IFERROR(__xludf.DUMMYFUNCTION("""COMPUTED_VALUE"""),31200.0)</f>
        <v>31200</v>
      </c>
      <c r="D724" s="1">
        <f>IFERROR(__xludf.DUMMYFUNCTION("""COMPUTED_VALUE"""),29750.0)</f>
        <v>29750</v>
      </c>
      <c r="E724" s="1">
        <f>IFERROR(__xludf.DUMMYFUNCTION("""COMPUTED_VALUE"""),30800.0)</f>
        <v>30800</v>
      </c>
      <c r="F724" s="1">
        <f>IFERROR(__xludf.DUMMYFUNCTION("""COMPUTED_VALUE"""),16518.0)</f>
        <v>16518</v>
      </c>
    </row>
    <row r="725">
      <c r="A725" s="2">
        <f>IFERROR(__xludf.DUMMYFUNCTION("""COMPUTED_VALUE"""),41981.64583333333)</f>
        <v>41981.64583</v>
      </c>
      <c r="B725" s="1">
        <f>IFERROR(__xludf.DUMMYFUNCTION("""COMPUTED_VALUE"""),30850.0)</f>
        <v>30850</v>
      </c>
      <c r="C725" s="1">
        <f>IFERROR(__xludf.DUMMYFUNCTION("""COMPUTED_VALUE"""),31750.0)</f>
        <v>31750</v>
      </c>
      <c r="D725" s="1">
        <f>IFERROR(__xludf.DUMMYFUNCTION("""COMPUTED_VALUE"""),30500.0)</f>
        <v>30500</v>
      </c>
      <c r="E725" s="1">
        <f>IFERROR(__xludf.DUMMYFUNCTION("""COMPUTED_VALUE"""),30600.0)</f>
        <v>30600</v>
      </c>
      <c r="F725" s="1">
        <f>IFERROR(__xludf.DUMMYFUNCTION("""COMPUTED_VALUE"""),13555.0)</f>
        <v>13555</v>
      </c>
    </row>
    <row r="726">
      <c r="A726" s="2">
        <f>IFERROR(__xludf.DUMMYFUNCTION("""COMPUTED_VALUE"""),41982.64583333333)</f>
        <v>41982.64583</v>
      </c>
      <c r="B726" s="1">
        <f>IFERROR(__xludf.DUMMYFUNCTION("""COMPUTED_VALUE"""),30600.0)</f>
        <v>30600</v>
      </c>
      <c r="C726" s="1">
        <f>IFERROR(__xludf.DUMMYFUNCTION("""COMPUTED_VALUE"""),30600.0)</f>
        <v>30600</v>
      </c>
      <c r="D726" s="1">
        <f>IFERROR(__xludf.DUMMYFUNCTION("""COMPUTED_VALUE"""),29500.0)</f>
        <v>29500</v>
      </c>
      <c r="E726" s="1">
        <f>IFERROR(__xludf.DUMMYFUNCTION("""COMPUTED_VALUE"""),30050.0)</f>
        <v>30050</v>
      </c>
      <c r="F726" s="1">
        <f>IFERROR(__xludf.DUMMYFUNCTION("""COMPUTED_VALUE"""),11933.0)</f>
        <v>11933</v>
      </c>
    </row>
    <row r="727">
      <c r="A727" s="2">
        <f>IFERROR(__xludf.DUMMYFUNCTION("""COMPUTED_VALUE"""),41983.64583333333)</f>
        <v>41983.64583</v>
      </c>
      <c r="B727" s="1">
        <f>IFERROR(__xludf.DUMMYFUNCTION("""COMPUTED_VALUE"""),29650.0)</f>
        <v>29650</v>
      </c>
      <c r="C727" s="1">
        <f>IFERROR(__xludf.DUMMYFUNCTION("""COMPUTED_VALUE"""),29850.0)</f>
        <v>29850</v>
      </c>
      <c r="D727" s="1">
        <f>IFERROR(__xludf.DUMMYFUNCTION("""COMPUTED_VALUE"""),28850.0)</f>
        <v>28850</v>
      </c>
      <c r="E727" s="1">
        <f>IFERROR(__xludf.DUMMYFUNCTION("""COMPUTED_VALUE"""),28950.0)</f>
        <v>28950</v>
      </c>
      <c r="F727" s="1">
        <f>IFERROR(__xludf.DUMMYFUNCTION("""COMPUTED_VALUE"""),22604.0)</f>
        <v>22604</v>
      </c>
    </row>
    <row r="728">
      <c r="A728" s="2">
        <f>IFERROR(__xludf.DUMMYFUNCTION("""COMPUTED_VALUE"""),41984.64583333333)</f>
        <v>41984.64583</v>
      </c>
      <c r="B728" s="1">
        <f>IFERROR(__xludf.DUMMYFUNCTION("""COMPUTED_VALUE"""),28050.0)</f>
        <v>28050</v>
      </c>
      <c r="C728" s="1">
        <f>IFERROR(__xludf.DUMMYFUNCTION("""COMPUTED_VALUE"""),28400.0)</f>
        <v>28400</v>
      </c>
      <c r="D728" s="1">
        <f>IFERROR(__xludf.DUMMYFUNCTION("""COMPUTED_VALUE"""),27850.0)</f>
        <v>27850</v>
      </c>
      <c r="E728" s="1">
        <f>IFERROR(__xludf.DUMMYFUNCTION("""COMPUTED_VALUE"""),28150.0)</f>
        <v>28150</v>
      </c>
      <c r="F728" s="1">
        <f>IFERROR(__xludf.DUMMYFUNCTION("""COMPUTED_VALUE"""),36339.0)</f>
        <v>36339</v>
      </c>
    </row>
    <row r="729">
      <c r="A729" s="2">
        <f>IFERROR(__xludf.DUMMYFUNCTION("""COMPUTED_VALUE"""),41985.64583333333)</f>
        <v>41985.64583</v>
      </c>
      <c r="B729" s="1">
        <f>IFERROR(__xludf.DUMMYFUNCTION("""COMPUTED_VALUE"""),28300.0)</f>
        <v>28300</v>
      </c>
      <c r="C729" s="1">
        <f>IFERROR(__xludf.DUMMYFUNCTION("""COMPUTED_VALUE"""),28400.0)</f>
        <v>28400</v>
      </c>
      <c r="D729" s="1">
        <f>IFERROR(__xludf.DUMMYFUNCTION("""COMPUTED_VALUE"""),27850.0)</f>
        <v>27850</v>
      </c>
      <c r="E729" s="1">
        <f>IFERROR(__xludf.DUMMYFUNCTION("""COMPUTED_VALUE"""),27950.0)</f>
        <v>27950</v>
      </c>
      <c r="F729" s="1">
        <f>IFERROR(__xludf.DUMMYFUNCTION("""COMPUTED_VALUE"""),13065.0)</f>
        <v>13065</v>
      </c>
    </row>
    <row r="730">
      <c r="A730" s="2">
        <f>IFERROR(__xludf.DUMMYFUNCTION("""COMPUTED_VALUE"""),41988.64583333333)</f>
        <v>41988.64583</v>
      </c>
      <c r="B730" s="1">
        <f>IFERROR(__xludf.DUMMYFUNCTION("""COMPUTED_VALUE"""),27800.0)</f>
        <v>27800</v>
      </c>
      <c r="C730" s="1">
        <f>IFERROR(__xludf.DUMMYFUNCTION("""COMPUTED_VALUE"""),28650.0)</f>
        <v>28650</v>
      </c>
      <c r="D730" s="1">
        <f>IFERROR(__xludf.DUMMYFUNCTION("""COMPUTED_VALUE"""),27500.0)</f>
        <v>27500</v>
      </c>
      <c r="E730" s="1">
        <f>IFERROR(__xludf.DUMMYFUNCTION("""COMPUTED_VALUE"""),28600.0)</f>
        <v>28600</v>
      </c>
      <c r="F730" s="1">
        <f>IFERROR(__xludf.DUMMYFUNCTION("""COMPUTED_VALUE"""),33745.0)</f>
        <v>33745</v>
      </c>
    </row>
    <row r="731">
      <c r="A731" s="2">
        <f>IFERROR(__xludf.DUMMYFUNCTION("""COMPUTED_VALUE"""),41989.64583333333)</f>
        <v>41989.64583</v>
      </c>
      <c r="B731" s="1">
        <f>IFERROR(__xludf.DUMMYFUNCTION("""COMPUTED_VALUE"""),28150.0)</f>
        <v>28150</v>
      </c>
      <c r="C731" s="1">
        <f>IFERROR(__xludf.DUMMYFUNCTION("""COMPUTED_VALUE"""),29950.0)</f>
        <v>29950</v>
      </c>
      <c r="D731" s="1">
        <f>IFERROR(__xludf.DUMMYFUNCTION("""COMPUTED_VALUE"""),28050.0)</f>
        <v>28050</v>
      </c>
      <c r="E731" s="1">
        <f>IFERROR(__xludf.DUMMYFUNCTION("""COMPUTED_VALUE"""),28600.0)</f>
        <v>28600</v>
      </c>
      <c r="F731" s="1">
        <f>IFERROR(__xludf.DUMMYFUNCTION("""COMPUTED_VALUE"""),39719.0)</f>
        <v>39719</v>
      </c>
    </row>
    <row r="732">
      <c r="A732" s="2">
        <f>IFERROR(__xludf.DUMMYFUNCTION("""COMPUTED_VALUE"""),41990.64583333333)</f>
        <v>41990.64583</v>
      </c>
      <c r="B732" s="1">
        <f>IFERROR(__xludf.DUMMYFUNCTION("""COMPUTED_VALUE"""),28800.0)</f>
        <v>28800</v>
      </c>
      <c r="C732" s="1">
        <f>IFERROR(__xludf.DUMMYFUNCTION("""COMPUTED_VALUE"""),29350.0)</f>
        <v>29350</v>
      </c>
      <c r="D732" s="1">
        <f>IFERROR(__xludf.DUMMYFUNCTION("""COMPUTED_VALUE"""),28800.0)</f>
        <v>28800</v>
      </c>
      <c r="E732" s="1">
        <f>IFERROR(__xludf.DUMMYFUNCTION("""COMPUTED_VALUE"""),29050.0)</f>
        <v>29050</v>
      </c>
      <c r="F732" s="1">
        <f>IFERROR(__xludf.DUMMYFUNCTION("""COMPUTED_VALUE"""),52578.0)</f>
        <v>52578</v>
      </c>
    </row>
    <row r="733">
      <c r="A733" s="2">
        <f>IFERROR(__xludf.DUMMYFUNCTION("""COMPUTED_VALUE"""),41991.64583333333)</f>
        <v>41991.64583</v>
      </c>
      <c r="B733" s="1">
        <f>IFERROR(__xludf.DUMMYFUNCTION("""COMPUTED_VALUE"""),29550.0)</f>
        <v>29550</v>
      </c>
      <c r="C733" s="1">
        <f>IFERROR(__xludf.DUMMYFUNCTION("""COMPUTED_VALUE"""),29900.0)</f>
        <v>29900</v>
      </c>
      <c r="D733" s="1">
        <f>IFERROR(__xludf.DUMMYFUNCTION("""COMPUTED_VALUE"""),29000.0)</f>
        <v>29000</v>
      </c>
      <c r="E733" s="1">
        <f>IFERROR(__xludf.DUMMYFUNCTION("""COMPUTED_VALUE"""),29900.0)</f>
        <v>29900</v>
      </c>
      <c r="F733" s="1">
        <f>IFERROR(__xludf.DUMMYFUNCTION("""COMPUTED_VALUE"""),48753.0)</f>
        <v>48753</v>
      </c>
    </row>
    <row r="734">
      <c r="A734" s="2">
        <f>IFERROR(__xludf.DUMMYFUNCTION("""COMPUTED_VALUE"""),41992.64583333333)</f>
        <v>41992.64583</v>
      </c>
      <c r="B734" s="1">
        <f>IFERROR(__xludf.DUMMYFUNCTION("""COMPUTED_VALUE"""),30050.0)</f>
        <v>30050</v>
      </c>
      <c r="C734" s="1">
        <f>IFERROR(__xludf.DUMMYFUNCTION("""COMPUTED_VALUE"""),30200.0)</f>
        <v>30200</v>
      </c>
      <c r="D734" s="1">
        <f>IFERROR(__xludf.DUMMYFUNCTION("""COMPUTED_VALUE"""),29500.0)</f>
        <v>29500</v>
      </c>
      <c r="E734" s="1">
        <f>IFERROR(__xludf.DUMMYFUNCTION("""COMPUTED_VALUE"""),30100.0)</f>
        <v>30100</v>
      </c>
      <c r="F734" s="1">
        <f>IFERROR(__xludf.DUMMYFUNCTION("""COMPUTED_VALUE"""),10868.0)</f>
        <v>10868</v>
      </c>
    </row>
    <row r="735">
      <c r="A735" s="2">
        <f>IFERROR(__xludf.DUMMYFUNCTION("""COMPUTED_VALUE"""),41995.64583333333)</f>
        <v>41995.64583</v>
      </c>
      <c r="B735" s="1">
        <f>IFERROR(__xludf.DUMMYFUNCTION("""COMPUTED_VALUE"""),30300.0)</f>
        <v>30300</v>
      </c>
      <c r="C735" s="1">
        <f>IFERROR(__xludf.DUMMYFUNCTION("""COMPUTED_VALUE"""),31800.0)</f>
        <v>31800</v>
      </c>
      <c r="D735" s="1">
        <f>IFERROR(__xludf.DUMMYFUNCTION("""COMPUTED_VALUE"""),30300.0)</f>
        <v>30300</v>
      </c>
      <c r="E735" s="1">
        <f>IFERROR(__xludf.DUMMYFUNCTION("""COMPUTED_VALUE"""),31700.0)</f>
        <v>31700</v>
      </c>
      <c r="F735" s="1">
        <f>IFERROR(__xludf.DUMMYFUNCTION("""COMPUTED_VALUE"""),24742.0)</f>
        <v>24742</v>
      </c>
    </row>
    <row r="736">
      <c r="A736" s="2">
        <f>IFERROR(__xludf.DUMMYFUNCTION("""COMPUTED_VALUE"""),41996.64583333333)</f>
        <v>41996.64583</v>
      </c>
      <c r="B736" s="1">
        <f>IFERROR(__xludf.DUMMYFUNCTION("""COMPUTED_VALUE"""),32200.0)</f>
        <v>32200</v>
      </c>
      <c r="C736" s="1">
        <f>IFERROR(__xludf.DUMMYFUNCTION("""COMPUTED_VALUE"""),32200.0)</f>
        <v>32200</v>
      </c>
      <c r="D736" s="1">
        <f>IFERROR(__xludf.DUMMYFUNCTION("""COMPUTED_VALUE"""),30900.0)</f>
        <v>30900</v>
      </c>
      <c r="E736" s="1">
        <f>IFERROR(__xludf.DUMMYFUNCTION("""COMPUTED_VALUE"""),31100.0)</f>
        <v>31100</v>
      </c>
      <c r="F736" s="1">
        <f>IFERROR(__xludf.DUMMYFUNCTION("""COMPUTED_VALUE"""),13033.0)</f>
        <v>13033</v>
      </c>
    </row>
    <row r="737">
      <c r="A737" s="2">
        <f>IFERROR(__xludf.DUMMYFUNCTION("""COMPUTED_VALUE"""),41997.64583333333)</f>
        <v>41997.64583</v>
      </c>
      <c r="B737" s="1">
        <f>IFERROR(__xludf.DUMMYFUNCTION("""COMPUTED_VALUE"""),31100.0)</f>
        <v>31100</v>
      </c>
      <c r="C737" s="1">
        <f>IFERROR(__xludf.DUMMYFUNCTION("""COMPUTED_VALUE"""),32000.0)</f>
        <v>32000</v>
      </c>
      <c r="D737" s="1">
        <f>IFERROR(__xludf.DUMMYFUNCTION("""COMPUTED_VALUE"""),30500.0)</f>
        <v>30500</v>
      </c>
      <c r="E737" s="1">
        <f>IFERROR(__xludf.DUMMYFUNCTION("""COMPUTED_VALUE"""),31850.0)</f>
        <v>31850</v>
      </c>
      <c r="F737" s="1">
        <f>IFERROR(__xludf.DUMMYFUNCTION("""COMPUTED_VALUE"""),12035.0)</f>
        <v>12035</v>
      </c>
    </row>
    <row r="738">
      <c r="A738" s="2">
        <f>IFERROR(__xludf.DUMMYFUNCTION("""COMPUTED_VALUE"""),41999.64583333333)</f>
        <v>41999.64583</v>
      </c>
      <c r="B738" s="1">
        <f>IFERROR(__xludf.DUMMYFUNCTION("""COMPUTED_VALUE"""),31850.0)</f>
        <v>31850</v>
      </c>
      <c r="C738" s="1">
        <f>IFERROR(__xludf.DUMMYFUNCTION("""COMPUTED_VALUE"""),32200.0)</f>
        <v>32200</v>
      </c>
      <c r="D738" s="1">
        <f>IFERROR(__xludf.DUMMYFUNCTION("""COMPUTED_VALUE"""),31500.0)</f>
        <v>31500</v>
      </c>
      <c r="E738" s="1">
        <f>IFERROR(__xludf.DUMMYFUNCTION("""COMPUTED_VALUE"""),31800.0)</f>
        <v>31800</v>
      </c>
      <c r="F738" s="1">
        <f>IFERROR(__xludf.DUMMYFUNCTION("""COMPUTED_VALUE"""),14216.0)</f>
        <v>14216</v>
      </c>
    </row>
    <row r="739">
      <c r="A739" s="2">
        <f>IFERROR(__xludf.DUMMYFUNCTION("""COMPUTED_VALUE"""),42002.64583333333)</f>
        <v>42002.64583</v>
      </c>
      <c r="B739" s="1">
        <f>IFERROR(__xludf.DUMMYFUNCTION("""COMPUTED_VALUE"""),30500.0)</f>
        <v>30500</v>
      </c>
      <c r="C739" s="1">
        <f>IFERROR(__xludf.DUMMYFUNCTION("""COMPUTED_VALUE"""),31600.0)</f>
        <v>31600</v>
      </c>
      <c r="D739" s="1">
        <f>IFERROR(__xludf.DUMMYFUNCTION("""COMPUTED_VALUE"""),30500.0)</f>
        <v>30500</v>
      </c>
      <c r="E739" s="1">
        <f>IFERROR(__xludf.DUMMYFUNCTION("""COMPUTED_VALUE"""),31200.0)</f>
        <v>31200</v>
      </c>
      <c r="F739" s="1">
        <f>IFERROR(__xludf.DUMMYFUNCTION("""COMPUTED_VALUE"""),8602.0)</f>
        <v>8602</v>
      </c>
    </row>
    <row r="740">
      <c r="A740" s="2">
        <f>IFERROR(__xludf.DUMMYFUNCTION("""COMPUTED_VALUE"""),42003.64583333333)</f>
        <v>42003.64583</v>
      </c>
      <c r="B740" s="1">
        <f>IFERROR(__xludf.DUMMYFUNCTION("""COMPUTED_VALUE"""),31600.0)</f>
        <v>31600</v>
      </c>
      <c r="C740" s="1">
        <f>IFERROR(__xludf.DUMMYFUNCTION("""COMPUTED_VALUE"""),31600.0)</f>
        <v>31600</v>
      </c>
      <c r="D740" s="1">
        <f>IFERROR(__xludf.DUMMYFUNCTION("""COMPUTED_VALUE"""),30850.0)</f>
        <v>30850</v>
      </c>
      <c r="E740" s="1">
        <f>IFERROR(__xludf.DUMMYFUNCTION("""COMPUTED_VALUE"""),31300.0)</f>
        <v>31300</v>
      </c>
      <c r="F740" s="1">
        <f>IFERROR(__xludf.DUMMYFUNCTION("""COMPUTED_VALUE"""),3270.0)</f>
        <v>3270</v>
      </c>
    </row>
    <row r="741">
      <c r="A741" s="2">
        <f>IFERROR(__xludf.DUMMYFUNCTION("""COMPUTED_VALUE"""),42006.64583333333)</f>
        <v>42006.64583</v>
      </c>
      <c r="B741" s="1">
        <f>IFERROR(__xludf.DUMMYFUNCTION("""COMPUTED_VALUE"""),30800.0)</f>
        <v>30800</v>
      </c>
      <c r="C741" s="1">
        <f>IFERROR(__xludf.DUMMYFUNCTION("""COMPUTED_VALUE"""),31400.0)</f>
        <v>31400</v>
      </c>
      <c r="D741" s="1">
        <f>IFERROR(__xludf.DUMMYFUNCTION("""COMPUTED_VALUE"""),30150.0)</f>
        <v>30150</v>
      </c>
      <c r="E741" s="1">
        <f>IFERROR(__xludf.DUMMYFUNCTION("""COMPUTED_VALUE"""),30800.0)</f>
        <v>30800</v>
      </c>
      <c r="F741" s="1">
        <f>IFERROR(__xludf.DUMMYFUNCTION("""COMPUTED_VALUE"""),9296.0)</f>
        <v>9296</v>
      </c>
    </row>
    <row r="742">
      <c r="A742" s="2">
        <f>IFERROR(__xludf.DUMMYFUNCTION("""COMPUTED_VALUE"""),42009.64583333333)</f>
        <v>42009.64583</v>
      </c>
      <c r="B742" s="1">
        <f>IFERROR(__xludf.DUMMYFUNCTION("""COMPUTED_VALUE"""),30950.0)</f>
        <v>30950</v>
      </c>
      <c r="C742" s="1">
        <f>IFERROR(__xludf.DUMMYFUNCTION("""COMPUTED_VALUE"""),30950.0)</f>
        <v>30950</v>
      </c>
      <c r="D742" s="1">
        <f>IFERROR(__xludf.DUMMYFUNCTION("""COMPUTED_VALUE"""),29600.0)</f>
        <v>29600</v>
      </c>
      <c r="E742" s="1">
        <f>IFERROR(__xludf.DUMMYFUNCTION("""COMPUTED_VALUE"""),30500.0)</f>
        <v>30500</v>
      </c>
      <c r="F742" s="1">
        <f>IFERROR(__xludf.DUMMYFUNCTION("""COMPUTED_VALUE"""),16061.0)</f>
        <v>16061</v>
      </c>
    </row>
    <row r="743">
      <c r="A743" s="2">
        <f>IFERROR(__xludf.DUMMYFUNCTION("""COMPUTED_VALUE"""),42010.64583333333)</f>
        <v>42010.64583</v>
      </c>
      <c r="B743" s="1">
        <f>IFERROR(__xludf.DUMMYFUNCTION("""COMPUTED_VALUE"""),30000.0)</f>
        <v>30000</v>
      </c>
      <c r="C743" s="1">
        <f>IFERROR(__xludf.DUMMYFUNCTION("""COMPUTED_VALUE"""),30000.0)</f>
        <v>30000</v>
      </c>
      <c r="D743" s="1">
        <f>IFERROR(__xludf.DUMMYFUNCTION("""COMPUTED_VALUE"""),29000.0)</f>
        <v>29000</v>
      </c>
      <c r="E743" s="1">
        <f>IFERROR(__xludf.DUMMYFUNCTION("""COMPUTED_VALUE"""),29250.0)</f>
        <v>29250</v>
      </c>
      <c r="F743" s="1">
        <f>IFERROR(__xludf.DUMMYFUNCTION("""COMPUTED_VALUE"""),9080.0)</f>
        <v>9080</v>
      </c>
    </row>
    <row r="744">
      <c r="A744" s="2">
        <f>IFERROR(__xludf.DUMMYFUNCTION("""COMPUTED_VALUE"""),42012.64583333333)</f>
        <v>42012.64583</v>
      </c>
      <c r="B744" s="1">
        <f>IFERROR(__xludf.DUMMYFUNCTION("""COMPUTED_VALUE"""),29450.0)</f>
        <v>29450</v>
      </c>
      <c r="C744" s="1">
        <f>IFERROR(__xludf.DUMMYFUNCTION("""COMPUTED_VALUE"""),29850.0)</f>
        <v>29850</v>
      </c>
      <c r="D744" s="1">
        <f>IFERROR(__xludf.DUMMYFUNCTION("""COMPUTED_VALUE"""),29200.0)</f>
        <v>29200</v>
      </c>
      <c r="E744" s="1">
        <f>IFERROR(__xludf.DUMMYFUNCTION("""COMPUTED_VALUE"""),29600.0)</f>
        <v>29600</v>
      </c>
      <c r="F744" s="1">
        <f>IFERROR(__xludf.DUMMYFUNCTION("""COMPUTED_VALUE"""),7119.0)</f>
        <v>7119</v>
      </c>
    </row>
    <row r="745">
      <c r="A745" s="2">
        <f>IFERROR(__xludf.DUMMYFUNCTION("""COMPUTED_VALUE"""),42013.64583333333)</f>
        <v>42013.64583</v>
      </c>
      <c r="B745" s="1">
        <f>IFERROR(__xludf.DUMMYFUNCTION("""COMPUTED_VALUE"""),29600.0)</f>
        <v>29600</v>
      </c>
      <c r="C745" s="1">
        <f>IFERROR(__xludf.DUMMYFUNCTION("""COMPUTED_VALUE"""),30600.0)</f>
        <v>30600</v>
      </c>
      <c r="D745" s="1">
        <f>IFERROR(__xludf.DUMMYFUNCTION("""COMPUTED_VALUE"""),29600.0)</f>
        <v>29600</v>
      </c>
      <c r="E745" s="1">
        <f>IFERROR(__xludf.DUMMYFUNCTION("""COMPUTED_VALUE"""),30500.0)</f>
        <v>30500</v>
      </c>
      <c r="F745" s="1">
        <f>IFERROR(__xludf.DUMMYFUNCTION("""COMPUTED_VALUE"""),13134.0)</f>
        <v>13134</v>
      </c>
    </row>
    <row r="746">
      <c r="A746" s="2">
        <f>IFERROR(__xludf.DUMMYFUNCTION("""COMPUTED_VALUE"""),42016.64583333333)</f>
        <v>42016.64583</v>
      </c>
      <c r="B746" s="1">
        <f>IFERROR(__xludf.DUMMYFUNCTION("""COMPUTED_VALUE"""),30500.0)</f>
        <v>30500</v>
      </c>
      <c r="C746" s="1">
        <f>IFERROR(__xludf.DUMMYFUNCTION("""COMPUTED_VALUE"""),31000.0)</f>
        <v>31000</v>
      </c>
      <c r="D746" s="1">
        <f>IFERROR(__xludf.DUMMYFUNCTION("""COMPUTED_VALUE"""),30400.0)</f>
        <v>30400</v>
      </c>
      <c r="E746" s="1">
        <f>IFERROR(__xludf.DUMMYFUNCTION("""COMPUTED_VALUE"""),30400.0)</f>
        <v>30400</v>
      </c>
      <c r="F746" s="1">
        <f>IFERROR(__xludf.DUMMYFUNCTION("""COMPUTED_VALUE"""),8444.0)</f>
        <v>8444</v>
      </c>
    </row>
    <row r="747">
      <c r="A747" s="2">
        <f>IFERROR(__xludf.DUMMYFUNCTION("""COMPUTED_VALUE"""),42017.64583333333)</f>
        <v>42017.64583</v>
      </c>
      <c r="B747" s="1">
        <f>IFERROR(__xludf.DUMMYFUNCTION("""COMPUTED_VALUE"""),30450.0)</f>
        <v>30450</v>
      </c>
      <c r="C747" s="1">
        <f>IFERROR(__xludf.DUMMYFUNCTION("""COMPUTED_VALUE"""),30900.0)</f>
        <v>30900</v>
      </c>
      <c r="D747" s="1">
        <f>IFERROR(__xludf.DUMMYFUNCTION("""COMPUTED_VALUE"""),30100.0)</f>
        <v>30100</v>
      </c>
      <c r="E747" s="1">
        <f>IFERROR(__xludf.DUMMYFUNCTION("""COMPUTED_VALUE"""),30750.0)</f>
        <v>30750</v>
      </c>
      <c r="F747" s="1">
        <f>IFERROR(__xludf.DUMMYFUNCTION("""COMPUTED_VALUE"""),5944.0)</f>
        <v>5944</v>
      </c>
    </row>
    <row r="748">
      <c r="A748" s="2">
        <f>IFERROR(__xludf.DUMMYFUNCTION("""COMPUTED_VALUE"""),42018.64583333333)</f>
        <v>42018.64583</v>
      </c>
      <c r="B748" s="1">
        <f>IFERROR(__xludf.DUMMYFUNCTION("""COMPUTED_VALUE"""),30800.0)</f>
        <v>30800</v>
      </c>
      <c r="C748" s="1">
        <f>IFERROR(__xludf.DUMMYFUNCTION("""COMPUTED_VALUE"""),31400.0)</f>
        <v>31400</v>
      </c>
      <c r="D748" s="1">
        <f>IFERROR(__xludf.DUMMYFUNCTION("""COMPUTED_VALUE"""),30800.0)</f>
        <v>30800</v>
      </c>
      <c r="E748" s="1">
        <f>IFERROR(__xludf.DUMMYFUNCTION("""COMPUTED_VALUE"""),31300.0)</f>
        <v>31300</v>
      </c>
      <c r="F748" s="1">
        <f>IFERROR(__xludf.DUMMYFUNCTION("""COMPUTED_VALUE"""),15141.0)</f>
        <v>15141</v>
      </c>
    </row>
    <row r="749">
      <c r="A749" s="2">
        <f>IFERROR(__xludf.DUMMYFUNCTION("""COMPUTED_VALUE"""),42019.64583333333)</f>
        <v>42019.64583</v>
      </c>
      <c r="B749" s="1">
        <f>IFERROR(__xludf.DUMMYFUNCTION("""COMPUTED_VALUE"""),31500.0)</f>
        <v>31500</v>
      </c>
      <c r="C749" s="1">
        <f>IFERROR(__xludf.DUMMYFUNCTION("""COMPUTED_VALUE"""),32000.0)</f>
        <v>32000</v>
      </c>
      <c r="D749" s="1">
        <f>IFERROR(__xludf.DUMMYFUNCTION("""COMPUTED_VALUE"""),31300.0)</f>
        <v>31300</v>
      </c>
      <c r="E749" s="1">
        <f>IFERROR(__xludf.DUMMYFUNCTION("""COMPUTED_VALUE"""),31850.0)</f>
        <v>31850</v>
      </c>
      <c r="F749" s="1">
        <f>IFERROR(__xludf.DUMMYFUNCTION("""COMPUTED_VALUE"""),3774.0)</f>
        <v>3774</v>
      </c>
    </row>
    <row r="750">
      <c r="A750" s="2">
        <f>IFERROR(__xludf.DUMMYFUNCTION("""COMPUTED_VALUE"""),42020.64583333333)</f>
        <v>42020.64583</v>
      </c>
      <c r="B750" s="1">
        <f>IFERROR(__xludf.DUMMYFUNCTION("""COMPUTED_VALUE"""),31900.0)</f>
        <v>31900</v>
      </c>
      <c r="C750" s="1">
        <f>IFERROR(__xludf.DUMMYFUNCTION("""COMPUTED_VALUE"""),31900.0)</f>
        <v>31900</v>
      </c>
      <c r="D750" s="1">
        <f>IFERROR(__xludf.DUMMYFUNCTION("""COMPUTED_VALUE"""),31200.0)</f>
        <v>31200</v>
      </c>
      <c r="E750" s="1">
        <f>IFERROR(__xludf.DUMMYFUNCTION("""COMPUTED_VALUE"""),31300.0)</f>
        <v>31300</v>
      </c>
      <c r="F750" s="1">
        <f>IFERROR(__xludf.DUMMYFUNCTION("""COMPUTED_VALUE"""),3705.0)</f>
        <v>3705</v>
      </c>
    </row>
    <row r="751">
      <c r="A751" s="2">
        <f>IFERROR(__xludf.DUMMYFUNCTION("""COMPUTED_VALUE"""),42023.64583333333)</f>
        <v>42023.64583</v>
      </c>
      <c r="B751" s="1">
        <f>IFERROR(__xludf.DUMMYFUNCTION("""COMPUTED_VALUE"""),31700.0)</f>
        <v>31700</v>
      </c>
      <c r="C751" s="1">
        <f>IFERROR(__xludf.DUMMYFUNCTION("""COMPUTED_VALUE"""),32700.0)</f>
        <v>32700</v>
      </c>
      <c r="D751" s="1">
        <f>IFERROR(__xludf.DUMMYFUNCTION("""COMPUTED_VALUE"""),31500.0)</f>
        <v>31500</v>
      </c>
      <c r="E751" s="1">
        <f>IFERROR(__xludf.DUMMYFUNCTION("""COMPUTED_VALUE"""),32550.0)</f>
        <v>32550</v>
      </c>
      <c r="F751" s="1">
        <f>IFERROR(__xludf.DUMMYFUNCTION("""COMPUTED_VALUE"""),26126.0)</f>
        <v>26126</v>
      </c>
    </row>
    <row r="752">
      <c r="A752" s="2">
        <f>IFERROR(__xludf.DUMMYFUNCTION("""COMPUTED_VALUE"""),42024.64583333333)</f>
        <v>42024.64583</v>
      </c>
      <c r="B752" s="1">
        <f>IFERROR(__xludf.DUMMYFUNCTION("""COMPUTED_VALUE"""),32300.0)</f>
        <v>32300</v>
      </c>
      <c r="C752" s="1">
        <f>IFERROR(__xludf.DUMMYFUNCTION("""COMPUTED_VALUE"""),33400.0)</f>
        <v>33400</v>
      </c>
      <c r="D752" s="1">
        <f>IFERROR(__xludf.DUMMYFUNCTION("""COMPUTED_VALUE"""),32200.0)</f>
        <v>32200</v>
      </c>
      <c r="E752" s="1">
        <f>IFERROR(__xludf.DUMMYFUNCTION("""COMPUTED_VALUE"""),33400.0)</f>
        <v>33400</v>
      </c>
      <c r="F752" s="1">
        <f>IFERROR(__xludf.DUMMYFUNCTION("""COMPUTED_VALUE"""),12785.0)</f>
        <v>12785</v>
      </c>
    </row>
    <row r="753">
      <c r="A753" s="2">
        <f>IFERROR(__xludf.DUMMYFUNCTION("""COMPUTED_VALUE"""),42025.64583333333)</f>
        <v>42025.64583</v>
      </c>
      <c r="B753" s="1">
        <f>IFERROR(__xludf.DUMMYFUNCTION("""COMPUTED_VALUE"""),33400.0)</f>
        <v>33400</v>
      </c>
      <c r="C753" s="1">
        <f>IFERROR(__xludf.DUMMYFUNCTION("""COMPUTED_VALUE"""),33900.0)</f>
        <v>33900</v>
      </c>
      <c r="D753" s="1">
        <f>IFERROR(__xludf.DUMMYFUNCTION("""COMPUTED_VALUE"""),33100.0)</f>
        <v>33100</v>
      </c>
      <c r="E753" s="1">
        <f>IFERROR(__xludf.DUMMYFUNCTION("""COMPUTED_VALUE"""),33550.0)</f>
        <v>33550</v>
      </c>
      <c r="F753" s="1">
        <f>IFERROR(__xludf.DUMMYFUNCTION("""COMPUTED_VALUE"""),11018.0)</f>
        <v>11018</v>
      </c>
    </row>
    <row r="754">
      <c r="A754" s="2">
        <f>IFERROR(__xludf.DUMMYFUNCTION("""COMPUTED_VALUE"""),42026.64583333333)</f>
        <v>42026.64583</v>
      </c>
      <c r="B754" s="1">
        <f>IFERROR(__xludf.DUMMYFUNCTION("""COMPUTED_VALUE"""),33800.0)</f>
        <v>33800</v>
      </c>
      <c r="C754" s="1">
        <f>IFERROR(__xludf.DUMMYFUNCTION("""COMPUTED_VALUE"""),35050.0)</f>
        <v>35050</v>
      </c>
      <c r="D754" s="1">
        <f>IFERROR(__xludf.DUMMYFUNCTION("""COMPUTED_VALUE"""),33700.0)</f>
        <v>33700</v>
      </c>
      <c r="E754" s="1">
        <f>IFERROR(__xludf.DUMMYFUNCTION("""COMPUTED_VALUE"""),34600.0)</f>
        <v>34600</v>
      </c>
      <c r="F754" s="1">
        <f>IFERROR(__xludf.DUMMYFUNCTION("""COMPUTED_VALUE"""),20518.0)</f>
        <v>20518</v>
      </c>
    </row>
    <row r="755">
      <c r="A755" s="2">
        <f>IFERROR(__xludf.DUMMYFUNCTION("""COMPUTED_VALUE"""),42027.64583333333)</f>
        <v>42027.64583</v>
      </c>
      <c r="B755" s="1">
        <f>IFERROR(__xludf.DUMMYFUNCTION("""COMPUTED_VALUE"""),35100.0)</f>
        <v>35100</v>
      </c>
      <c r="C755" s="1">
        <f>IFERROR(__xludf.DUMMYFUNCTION("""COMPUTED_VALUE"""),35150.0)</f>
        <v>35150</v>
      </c>
      <c r="D755" s="1">
        <f>IFERROR(__xludf.DUMMYFUNCTION("""COMPUTED_VALUE"""),34200.0)</f>
        <v>34200</v>
      </c>
      <c r="E755" s="1">
        <f>IFERROR(__xludf.DUMMYFUNCTION("""COMPUTED_VALUE"""),34300.0)</f>
        <v>34300</v>
      </c>
      <c r="F755" s="1">
        <f>IFERROR(__xludf.DUMMYFUNCTION("""COMPUTED_VALUE"""),7187.0)</f>
        <v>7187</v>
      </c>
    </row>
    <row r="756">
      <c r="A756" s="2">
        <f>IFERROR(__xludf.DUMMYFUNCTION("""COMPUTED_VALUE"""),42030.64583333333)</f>
        <v>42030.64583</v>
      </c>
      <c r="B756" s="1">
        <f>IFERROR(__xludf.DUMMYFUNCTION("""COMPUTED_VALUE"""),34300.0)</f>
        <v>34300</v>
      </c>
      <c r="C756" s="1">
        <f>IFERROR(__xludf.DUMMYFUNCTION("""COMPUTED_VALUE"""),34300.0)</f>
        <v>34300</v>
      </c>
      <c r="D756" s="1">
        <f>IFERROR(__xludf.DUMMYFUNCTION("""COMPUTED_VALUE"""),33050.0)</f>
        <v>33050</v>
      </c>
      <c r="E756" s="1">
        <f>IFERROR(__xludf.DUMMYFUNCTION("""COMPUTED_VALUE"""),33400.0)</f>
        <v>33400</v>
      </c>
      <c r="F756" s="1">
        <f>IFERROR(__xludf.DUMMYFUNCTION("""COMPUTED_VALUE"""),3682.0)</f>
        <v>3682</v>
      </c>
    </row>
    <row r="757">
      <c r="A757" s="2">
        <f>IFERROR(__xludf.DUMMYFUNCTION("""COMPUTED_VALUE"""),42031.64583333333)</f>
        <v>42031.64583</v>
      </c>
      <c r="B757" s="1">
        <f>IFERROR(__xludf.DUMMYFUNCTION("""COMPUTED_VALUE"""),33500.0)</f>
        <v>33500</v>
      </c>
      <c r="C757" s="1">
        <f>IFERROR(__xludf.DUMMYFUNCTION("""COMPUTED_VALUE"""),35100.0)</f>
        <v>35100</v>
      </c>
      <c r="D757" s="1">
        <f>IFERROR(__xludf.DUMMYFUNCTION("""COMPUTED_VALUE"""),33500.0)</f>
        <v>33500</v>
      </c>
      <c r="E757" s="1">
        <f>IFERROR(__xludf.DUMMYFUNCTION("""COMPUTED_VALUE"""),34800.0)</f>
        <v>34800</v>
      </c>
      <c r="F757" s="1">
        <f>IFERROR(__xludf.DUMMYFUNCTION("""COMPUTED_VALUE"""),10090.0)</f>
        <v>10090</v>
      </c>
    </row>
    <row r="758">
      <c r="A758" s="2">
        <f>IFERROR(__xludf.DUMMYFUNCTION("""COMPUTED_VALUE"""),42032.64583333333)</f>
        <v>42032.64583</v>
      </c>
      <c r="B758" s="1">
        <f>IFERROR(__xludf.DUMMYFUNCTION("""COMPUTED_VALUE"""),35150.0)</f>
        <v>35150</v>
      </c>
      <c r="C758" s="1">
        <f>IFERROR(__xludf.DUMMYFUNCTION("""COMPUTED_VALUE"""),35800.0)</f>
        <v>35800</v>
      </c>
      <c r="D758" s="1">
        <f>IFERROR(__xludf.DUMMYFUNCTION("""COMPUTED_VALUE"""),34800.0)</f>
        <v>34800</v>
      </c>
      <c r="E758" s="1">
        <f>IFERROR(__xludf.DUMMYFUNCTION("""COMPUTED_VALUE"""),35700.0)</f>
        <v>35700</v>
      </c>
      <c r="F758" s="1">
        <f>IFERROR(__xludf.DUMMYFUNCTION("""COMPUTED_VALUE"""),8120.0)</f>
        <v>8120</v>
      </c>
    </row>
    <row r="759">
      <c r="A759" s="2">
        <f>IFERROR(__xludf.DUMMYFUNCTION("""COMPUTED_VALUE"""),42033.64583333333)</f>
        <v>42033.64583</v>
      </c>
      <c r="B759" s="1">
        <f>IFERROR(__xludf.DUMMYFUNCTION("""COMPUTED_VALUE"""),35100.0)</f>
        <v>35100</v>
      </c>
      <c r="C759" s="1">
        <f>IFERROR(__xludf.DUMMYFUNCTION("""COMPUTED_VALUE"""),36000.0)</f>
        <v>36000</v>
      </c>
      <c r="D759" s="1">
        <f>IFERROR(__xludf.DUMMYFUNCTION("""COMPUTED_VALUE"""),34850.0)</f>
        <v>34850</v>
      </c>
      <c r="E759" s="1">
        <f>IFERROR(__xludf.DUMMYFUNCTION("""COMPUTED_VALUE"""),35550.0)</f>
        <v>35550</v>
      </c>
      <c r="F759" s="1">
        <f>IFERROR(__xludf.DUMMYFUNCTION("""COMPUTED_VALUE"""),6362.0)</f>
        <v>6362</v>
      </c>
    </row>
    <row r="760">
      <c r="A760" s="2">
        <f>IFERROR(__xludf.DUMMYFUNCTION("""COMPUTED_VALUE"""),42034.64583333333)</f>
        <v>42034.64583</v>
      </c>
      <c r="B760" s="1">
        <f>IFERROR(__xludf.DUMMYFUNCTION("""COMPUTED_VALUE"""),36000.0)</f>
        <v>36000</v>
      </c>
      <c r="C760" s="1">
        <f>IFERROR(__xludf.DUMMYFUNCTION("""COMPUTED_VALUE"""),36000.0)</f>
        <v>36000</v>
      </c>
      <c r="D760" s="1">
        <f>IFERROR(__xludf.DUMMYFUNCTION("""COMPUTED_VALUE"""),35000.0)</f>
        <v>35000</v>
      </c>
      <c r="E760" s="1">
        <f>IFERROR(__xludf.DUMMYFUNCTION("""COMPUTED_VALUE"""),35950.0)</f>
        <v>35950</v>
      </c>
      <c r="F760" s="1">
        <f>IFERROR(__xludf.DUMMYFUNCTION("""COMPUTED_VALUE"""),19977.0)</f>
        <v>19977</v>
      </c>
    </row>
    <row r="761">
      <c r="A761" s="2">
        <f>IFERROR(__xludf.DUMMYFUNCTION("""COMPUTED_VALUE"""),42037.64583333333)</f>
        <v>42037.64583</v>
      </c>
      <c r="B761" s="1">
        <f>IFERROR(__xludf.DUMMYFUNCTION("""COMPUTED_VALUE"""),36350.0)</f>
        <v>36350</v>
      </c>
      <c r="C761" s="1">
        <f>IFERROR(__xludf.DUMMYFUNCTION("""COMPUTED_VALUE"""),38250.0)</f>
        <v>38250</v>
      </c>
      <c r="D761" s="1">
        <f>IFERROR(__xludf.DUMMYFUNCTION("""COMPUTED_VALUE"""),36350.0)</f>
        <v>36350</v>
      </c>
      <c r="E761" s="1">
        <f>IFERROR(__xludf.DUMMYFUNCTION("""COMPUTED_VALUE"""),37600.0)</f>
        <v>37600</v>
      </c>
      <c r="F761" s="1">
        <f>IFERROR(__xludf.DUMMYFUNCTION("""COMPUTED_VALUE"""),26915.0)</f>
        <v>26915</v>
      </c>
    </row>
    <row r="762">
      <c r="A762" s="2">
        <f>IFERROR(__xludf.DUMMYFUNCTION("""COMPUTED_VALUE"""),42038.64583333333)</f>
        <v>42038.64583</v>
      </c>
      <c r="B762" s="1">
        <f>IFERROR(__xludf.DUMMYFUNCTION("""COMPUTED_VALUE"""),38300.0)</f>
        <v>38300</v>
      </c>
      <c r="C762" s="1">
        <f>IFERROR(__xludf.DUMMYFUNCTION("""COMPUTED_VALUE"""),39150.0)</f>
        <v>39150</v>
      </c>
      <c r="D762" s="1">
        <f>IFERROR(__xludf.DUMMYFUNCTION("""COMPUTED_VALUE"""),37950.0)</f>
        <v>37950</v>
      </c>
      <c r="E762" s="1">
        <f>IFERROR(__xludf.DUMMYFUNCTION("""COMPUTED_VALUE"""),39100.0)</f>
        <v>39100</v>
      </c>
      <c r="F762" s="1">
        <f>IFERROR(__xludf.DUMMYFUNCTION("""COMPUTED_VALUE"""),24743.0)</f>
        <v>24743</v>
      </c>
    </row>
    <row r="763">
      <c r="A763" s="2">
        <f>IFERROR(__xludf.DUMMYFUNCTION("""COMPUTED_VALUE"""),42039.64583333333)</f>
        <v>42039.64583</v>
      </c>
      <c r="B763" s="1">
        <f>IFERROR(__xludf.DUMMYFUNCTION("""COMPUTED_VALUE"""),40050.0)</f>
        <v>40050</v>
      </c>
      <c r="C763" s="1">
        <f>IFERROR(__xludf.DUMMYFUNCTION("""COMPUTED_VALUE"""),40300.0)</f>
        <v>40300</v>
      </c>
      <c r="D763" s="1">
        <f>IFERROR(__xludf.DUMMYFUNCTION("""COMPUTED_VALUE"""),38950.0)</f>
        <v>38950</v>
      </c>
      <c r="E763" s="1">
        <f>IFERROR(__xludf.DUMMYFUNCTION("""COMPUTED_VALUE"""),39100.0)</f>
        <v>39100</v>
      </c>
      <c r="F763" s="1">
        <f>IFERROR(__xludf.DUMMYFUNCTION("""COMPUTED_VALUE"""),23644.0)</f>
        <v>23644</v>
      </c>
    </row>
    <row r="764">
      <c r="A764" s="2">
        <f>IFERROR(__xludf.DUMMYFUNCTION("""COMPUTED_VALUE"""),42040.64583333333)</f>
        <v>42040.64583</v>
      </c>
      <c r="B764" s="1">
        <f>IFERROR(__xludf.DUMMYFUNCTION("""COMPUTED_VALUE"""),38850.0)</f>
        <v>38850</v>
      </c>
      <c r="C764" s="1">
        <f>IFERROR(__xludf.DUMMYFUNCTION("""COMPUTED_VALUE"""),39300.0)</f>
        <v>39300</v>
      </c>
      <c r="D764" s="1">
        <f>IFERROR(__xludf.DUMMYFUNCTION("""COMPUTED_VALUE"""),38100.0)</f>
        <v>38100</v>
      </c>
      <c r="E764" s="1">
        <f>IFERROR(__xludf.DUMMYFUNCTION("""COMPUTED_VALUE"""),39000.0)</f>
        <v>39000</v>
      </c>
      <c r="F764" s="1">
        <f>IFERROR(__xludf.DUMMYFUNCTION("""COMPUTED_VALUE"""),8624.0)</f>
        <v>8624</v>
      </c>
    </row>
    <row r="765">
      <c r="A765" s="2">
        <f>IFERROR(__xludf.DUMMYFUNCTION("""COMPUTED_VALUE"""),42041.64583333333)</f>
        <v>42041.64583</v>
      </c>
      <c r="B765" s="1">
        <f>IFERROR(__xludf.DUMMYFUNCTION("""COMPUTED_VALUE"""),39200.0)</f>
        <v>39200</v>
      </c>
      <c r="C765" s="1">
        <f>IFERROR(__xludf.DUMMYFUNCTION("""COMPUTED_VALUE"""),39550.0)</f>
        <v>39550</v>
      </c>
      <c r="D765" s="1">
        <f>IFERROR(__xludf.DUMMYFUNCTION("""COMPUTED_VALUE"""),37850.0)</f>
        <v>37850</v>
      </c>
      <c r="E765" s="1">
        <f>IFERROR(__xludf.DUMMYFUNCTION("""COMPUTED_VALUE"""),38050.0)</f>
        <v>38050</v>
      </c>
      <c r="F765" s="1">
        <f>IFERROR(__xludf.DUMMYFUNCTION("""COMPUTED_VALUE"""),23071.0)</f>
        <v>23071</v>
      </c>
    </row>
    <row r="766">
      <c r="A766" s="2">
        <f>IFERROR(__xludf.DUMMYFUNCTION("""COMPUTED_VALUE"""),42044.64583333333)</f>
        <v>42044.64583</v>
      </c>
      <c r="B766" s="1">
        <f>IFERROR(__xludf.DUMMYFUNCTION("""COMPUTED_VALUE"""),38900.0)</f>
        <v>38900</v>
      </c>
      <c r="C766" s="1">
        <f>IFERROR(__xludf.DUMMYFUNCTION("""COMPUTED_VALUE"""),38900.0)</f>
        <v>38900</v>
      </c>
      <c r="D766" s="1">
        <f>IFERROR(__xludf.DUMMYFUNCTION("""COMPUTED_VALUE"""),37900.0)</f>
        <v>37900</v>
      </c>
      <c r="E766" s="1">
        <f>IFERROR(__xludf.DUMMYFUNCTION("""COMPUTED_VALUE"""),38100.0)</f>
        <v>38100</v>
      </c>
      <c r="F766" s="1">
        <f>IFERROR(__xludf.DUMMYFUNCTION("""COMPUTED_VALUE"""),9392.0)</f>
        <v>9392</v>
      </c>
    </row>
    <row r="767">
      <c r="A767" s="2">
        <f>IFERROR(__xludf.DUMMYFUNCTION("""COMPUTED_VALUE"""),42045.64583333333)</f>
        <v>42045.64583</v>
      </c>
      <c r="B767" s="1">
        <f>IFERROR(__xludf.DUMMYFUNCTION("""COMPUTED_VALUE"""),38400.0)</f>
        <v>38400</v>
      </c>
      <c r="C767" s="1">
        <f>IFERROR(__xludf.DUMMYFUNCTION("""COMPUTED_VALUE"""),38400.0)</f>
        <v>38400</v>
      </c>
      <c r="D767" s="1">
        <f>IFERROR(__xludf.DUMMYFUNCTION("""COMPUTED_VALUE"""),37000.0)</f>
        <v>37000</v>
      </c>
      <c r="E767" s="1">
        <f>IFERROR(__xludf.DUMMYFUNCTION("""COMPUTED_VALUE"""),37200.0)</f>
        <v>37200</v>
      </c>
      <c r="F767" s="1">
        <f>IFERROR(__xludf.DUMMYFUNCTION("""COMPUTED_VALUE"""),19216.0)</f>
        <v>19216</v>
      </c>
    </row>
    <row r="768">
      <c r="A768" s="2">
        <f>IFERROR(__xludf.DUMMYFUNCTION("""COMPUTED_VALUE"""),42046.64583333333)</f>
        <v>42046.64583</v>
      </c>
      <c r="B768" s="1">
        <f>IFERROR(__xludf.DUMMYFUNCTION("""COMPUTED_VALUE"""),37350.0)</f>
        <v>37350</v>
      </c>
      <c r="C768" s="1">
        <f>IFERROR(__xludf.DUMMYFUNCTION("""COMPUTED_VALUE"""),37450.0)</f>
        <v>37450</v>
      </c>
      <c r="D768" s="1">
        <f>IFERROR(__xludf.DUMMYFUNCTION("""COMPUTED_VALUE"""),36700.0)</f>
        <v>36700</v>
      </c>
      <c r="E768" s="1">
        <f>IFERROR(__xludf.DUMMYFUNCTION("""COMPUTED_VALUE"""),36950.0)</f>
        <v>36950</v>
      </c>
      <c r="F768" s="1">
        <f>IFERROR(__xludf.DUMMYFUNCTION("""COMPUTED_VALUE"""),12388.0)</f>
        <v>12388</v>
      </c>
    </row>
    <row r="769">
      <c r="A769" s="2">
        <f>IFERROR(__xludf.DUMMYFUNCTION("""COMPUTED_VALUE"""),42047.64583333333)</f>
        <v>42047.64583</v>
      </c>
      <c r="B769" s="1">
        <f>IFERROR(__xludf.DUMMYFUNCTION("""COMPUTED_VALUE"""),37400.0)</f>
        <v>37400</v>
      </c>
      <c r="C769" s="1">
        <f>IFERROR(__xludf.DUMMYFUNCTION("""COMPUTED_VALUE"""),37400.0)</f>
        <v>37400</v>
      </c>
      <c r="D769" s="1">
        <f>IFERROR(__xludf.DUMMYFUNCTION("""COMPUTED_VALUE"""),35750.0)</f>
        <v>35750</v>
      </c>
      <c r="E769" s="1">
        <f>IFERROR(__xludf.DUMMYFUNCTION("""COMPUTED_VALUE"""),36000.0)</f>
        <v>36000</v>
      </c>
      <c r="F769" s="1">
        <f>IFERROR(__xludf.DUMMYFUNCTION("""COMPUTED_VALUE"""),12667.0)</f>
        <v>12667</v>
      </c>
    </row>
    <row r="770">
      <c r="A770" s="2">
        <f>IFERROR(__xludf.DUMMYFUNCTION("""COMPUTED_VALUE"""),42048.64583333333)</f>
        <v>42048.64583</v>
      </c>
      <c r="B770" s="1">
        <f>IFERROR(__xludf.DUMMYFUNCTION("""COMPUTED_VALUE"""),36950.0)</f>
        <v>36950</v>
      </c>
      <c r="C770" s="1">
        <f>IFERROR(__xludf.DUMMYFUNCTION("""COMPUTED_VALUE"""),37200.0)</f>
        <v>37200</v>
      </c>
      <c r="D770" s="1">
        <f>IFERROR(__xludf.DUMMYFUNCTION("""COMPUTED_VALUE"""),36150.0)</f>
        <v>36150</v>
      </c>
      <c r="E770" s="1">
        <f>IFERROR(__xludf.DUMMYFUNCTION("""COMPUTED_VALUE"""),36550.0)</f>
        <v>36550</v>
      </c>
      <c r="F770" s="1">
        <f>IFERROR(__xludf.DUMMYFUNCTION("""COMPUTED_VALUE"""),13143.0)</f>
        <v>13143</v>
      </c>
    </row>
    <row r="771">
      <c r="A771" s="2">
        <f>IFERROR(__xludf.DUMMYFUNCTION("""COMPUTED_VALUE"""),42051.64583333333)</f>
        <v>42051.64583</v>
      </c>
      <c r="B771" s="1">
        <f>IFERROR(__xludf.DUMMYFUNCTION("""COMPUTED_VALUE"""),37500.0)</f>
        <v>37500</v>
      </c>
      <c r="C771" s="1">
        <f>IFERROR(__xludf.DUMMYFUNCTION("""COMPUTED_VALUE"""),37600.0)</f>
        <v>37600</v>
      </c>
      <c r="D771" s="1">
        <f>IFERROR(__xludf.DUMMYFUNCTION("""COMPUTED_VALUE"""),36600.0)</f>
        <v>36600</v>
      </c>
      <c r="E771" s="1">
        <f>IFERROR(__xludf.DUMMYFUNCTION("""COMPUTED_VALUE"""),36950.0)</f>
        <v>36950</v>
      </c>
      <c r="F771" s="1">
        <f>IFERROR(__xludf.DUMMYFUNCTION("""COMPUTED_VALUE"""),11357.0)</f>
        <v>11357</v>
      </c>
    </row>
    <row r="772">
      <c r="A772" s="2">
        <f>IFERROR(__xludf.DUMMYFUNCTION("""COMPUTED_VALUE"""),42052.64583333333)</f>
        <v>42052.64583</v>
      </c>
      <c r="B772" s="1">
        <f>IFERROR(__xludf.DUMMYFUNCTION("""COMPUTED_VALUE"""),37250.0)</f>
        <v>37250</v>
      </c>
      <c r="C772" s="1">
        <f>IFERROR(__xludf.DUMMYFUNCTION("""COMPUTED_VALUE"""),37300.0)</f>
        <v>37300</v>
      </c>
      <c r="D772" s="1">
        <f>IFERROR(__xludf.DUMMYFUNCTION("""COMPUTED_VALUE"""),36800.0)</f>
        <v>36800</v>
      </c>
      <c r="E772" s="1">
        <f>IFERROR(__xludf.DUMMYFUNCTION("""COMPUTED_VALUE"""),37100.0)</f>
        <v>37100</v>
      </c>
      <c r="F772" s="1">
        <f>IFERROR(__xludf.DUMMYFUNCTION("""COMPUTED_VALUE"""),5905.0)</f>
        <v>5905</v>
      </c>
    </row>
    <row r="773">
      <c r="A773" s="2">
        <f>IFERROR(__xludf.DUMMYFUNCTION("""COMPUTED_VALUE"""),42058.64583333333)</f>
        <v>42058.64583</v>
      </c>
      <c r="B773" s="1">
        <f>IFERROR(__xludf.DUMMYFUNCTION("""COMPUTED_VALUE"""),37100.0)</f>
        <v>37100</v>
      </c>
      <c r="C773" s="1">
        <f>IFERROR(__xludf.DUMMYFUNCTION("""COMPUTED_VALUE"""),37450.0)</f>
        <v>37450</v>
      </c>
      <c r="D773" s="1">
        <f>IFERROR(__xludf.DUMMYFUNCTION("""COMPUTED_VALUE"""),37000.0)</f>
        <v>37000</v>
      </c>
      <c r="E773" s="1">
        <f>IFERROR(__xludf.DUMMYFUNCTION("""COMPUTED_VALUE"""),37300.0)</f>
        <v>37300</v>
      </c>
      <c r="F773" s="1">
        <f>IFERROR(__xludf.DUMMYFUNCTION("""COMPUTED_VALUE"""),6917.0)</f>
        <v>6917</v>
      </c>
    </row>
    <row r="774">
      <c r="A774" s="2">
        <f>IFERROR(__xludf.DUMMYFUNCTION("""COMPUTED_VALUE"""),42059.64583333333)</f>
        <v>42059.64583</v>
      </c>
      <c r="B774" s="1">
        <f>IFERROR(__xludf.DUMMYFUNCTION("""COMPUTED_VALUE"""),37300.0)</f>
        <v>37300</v>
      </c>
      <c r="C774" s="1">
        <f>IFERROR(__xludf.DUMMYFUNCTION("""COMPUTED_VALUE"""),37550.0)</f>
        <v>37550</v>
      </c>
      <c r="D774" s="1">
        <f>IFERROR(__xludf.DUMMYFUNCTION("""COMPUTED_VALUE"""),37000.0)</f>
        <v>37000</v>
      </c>
      <c r="E774" s="1">
        <f>IFERROR(__xludf.DUMMYFUNCTION("""COMPUTED_VALUE"""),37500.0)</f>
        <v>37500</v>
      </c>
      <c r="F774" s="1">
        <f>IFERROR(__xludf.DUMMYFUNCTION("""COMPUTED_VALUE"""),10762.0)</f>
        <v>10762</v>
      </c>
    </row>
    <row r="775">
      <c r="A775" s="2">
        <f>IFERROR(__xludf.DUMMYFUNCTION("""COMPUTED_VALUE"""),42060.64583333333)</f>
        <v>42060.64583</v>
      </c>
      <c r="B775" s="1">
        <f>IFERROR(__xludf.DUMMYFUNCTION("""COMPUTED_VALUE"""),37500.0)</f>
        <v>37500</v>
      </c>
      <c r="C775" s="1">
        <f>IFERROR(__xludf.DUMMYFUNCTION("""COMPUTED_VALUE"""),38350.0)</f>
        <v>38350</v>
      </c>
      <c r="D775" s="1">
        <f>IFERROR(__xludf.DUMMYFUNCTION("""COMPUTED_VALUE"""),37400.0)</f>
        <v>37400</v>
      </c>
      <c r="E775" s="1">
        <f>IFERROR(__xludf.DUMMYFUNCTION("""COMPUTED_VALUE"""),38000.0)</f>
        <v>38000</v>
      </c>
      <c r="F775" s="1">
        <f>IFERROR(__xludf.DUMMYFUNCTION("""COMPUTED_VALUE"""),17726.0)</f>
        <v>17726</v>
      </c>
    </row>
    <row r="776">
      <c r="A776" s="2">
        <f>IFERROR(__xludf.DUMMYFUNCTION("""COMPUTED_VALUE"""),42061.64583333333)</f>
        <v>42061.64583</v>
      </c>
      <c r="B776" s="1">
        <f>IFERROR(__xludf.DUMMYFUNCTION("""COMPUTED_VALUE"""),38100.0)</f>
        <v>38100</v>
      </c>
      <c r="C776" s="1">
        <f>IFERROR(__xludf.DUMMYFUNCTION("""COMPUTED_VALUE"""),38600.0)</f>
        <v>38600</v>
      </c>
      <c r="D776" s="1">
        <f>IFERROR(__xludf.DUMMYFUNCTION("""COMPUTED_VALUE"""),37550.0)</f>
        <v>37550</v>
      </c>
      <c r="E776" s="1">
        <f>IFERROR(__xludf.DUMMYFUNCTION("""COMPUTED_VALUE"""),38600.0)</f>
        <v>38600</v>
      </c>
      <c r="F776" s="1">
        <f>IFERROR(__xludf.DUMMYFUNCTION("""COMPUTED_VALUE"""),14213.0)</f>
        <v>14213</v>
      </c>
    </row>
    <row r="777">
      <c r="A777" s="2">
        <f>IFERROR(__xludf.DUMMYFUNCTION("""COMPUTED_VALUE"""),42062.64583333333)</f>
        <v>42062.64583</v>
      </c>
      <c r="B777" s="1">
        <f>IFERROR(__xludf.DUMMYFUNCTION("""COMPUTED_VALUE"""),38450.0)</f>
        <v>38450</v>
      </c>
      <c r="C777" s="1">
        <f>IFERROR(__xludf.DUMMYFUNCTION("""COMPUTED_VALUE"""),38500.0)</f>
        <v>38500</v>
      </c>
      <c r="D777" s="1">
        <f>IFERROR(__xludf.DUMMYFUNCTION("""COMPUTED_VALUE"""),37800.0)</f>
        <v>37800</v>
      </c>
      <c r="E777" s="1">
        <f>IFERROR(__xludf.DUMMYFUNCTION("""COMPUTED_VALUE"""),38000.0)</f>
        <v>38000</v>
      </c>
      <c r="F777" s="1">
        <f>IFERROR(__xludf.DUMMYFUNCTION("""COMPUTED_VALUE"""),5662.0)</f>
        <v>5662</v>
      </c>
    </row>
    <row r="778">
      <c r="A778" s="2">
        <f>IFERROR(__xludf.DUMMYFUNCTION("""COMPUTED_VALUE"""),42065.64583333333)</f>
        <v>42065.64583</v>
      </c>
      <c r="B778" s="1">
        <f>IFERROR(__xludf.DUMMYFUNCTION("""COMPUTED_VALUE"""),38350.0)</f>
        <v>38350</v>
      </c>
      <c r="C778" s="1">
        <f>IFERROR(__xludf.DUMMYFUNCTION("""COMPUTED_VALUE"""),39250.0)</f>
        <v>39250</v>
      </c>
      <c r="D778" s="1">
        <f>IFERROR(__xludf.DUMMYFUNCTION("""COMPUTED_VALUE"""),38250.0)</f>
        <v>38250</v>
      </c>
      <c r="E778" s="1">
        <f>IFERROR(__xludf.DUMMYFUNCTION("""COMPUTED_VALUE"""),39250.0)</f>
        <v>39250</v>
      </c>
      <c r="F778" s="1">
        <f>IFERROR(__xludf.DUMMYFUNCTION("""COMPUTED_VALUE"""),17882.0)</f>
        <v>17882</v>
      </c>
    </row>
    <row r="779">
      <c r="A779" s="2">
        <f>IFERROR(__xludf.DUMMYFUNCTION("""COMPUTED_VALUE"""),42066.64583333333)</f>
        <v>42066.64583</v>
      </c>
      <c r="B779" s="1">
        <f>IFERROR(__xludf.DUMMYFUNCTION("""COMPUTED_VALUE"""),39500.0)</f>
        <v>39500</v>
      </c>
      <c r="C779" s="1">
        <f>IFERROR(__xludf.DUMMYFUNCTION("""COMPUTED_VALUE"""),40000.0)</f>
        <v>40000</v>
      </c>
      <c r="D779" s="1">
        <f>IFERROR(__xludf.DUMMYFUNCTION("""COMPUTED_VALUE"""),38850.0)</f>
        <v>38850</v>
      </c>
      <c r="E779" s="1">
        <f>IFERROR(__xludf.DUMMYFUNCTION("""COMPUTED_VALUE"""),39900.0)</f>
        <v>39900</v>
      </c>
      <c r="F779" s="1">
        <f>IFERROR(__xludf.DUMMYFUNCTION("""COMPUTED_VALUE"""),10843.0)</f>
        <v>10843</v>
      </c>
    </row>
    <row r="780">
      <c r="A780" s="2">
        <f>IFERROR(__xludf.DUMMYFUNCTION("""COMPUTED_VALUE"""),42067.64583333333)</f>
        <v>42067.64583</v>
      </c>
      <c r="B780" s="1">
        <f>IFERROR(__xludf.DUMMYFUNCTION("""COMPUTED_VALUE"""),40000.0)</f>
        <v>40000</v>
      </c>
      <c r="C780" s="1">
        <f>IFERROR(__xludf.DUMMYFUNCTION("""COMPUTED_VALUE"""),40400.0)</f>
        <v>40400</v>
      </c>
      <c r="D780" s="1">
        <f>IFERROR(__xludf.DUMMYFUNCTION("""COMPUTED_VALUE"""),39200.0)</f>
        <v>39200</v>
      </c>
      <c r="E780" s="1">
        <f>IFERROR(__xludf.DUMMYFUNCTION("""COMPUTED_VALUE"""),39950.0)</f>
        <v>39950</v>
      </c>
      <c r="F780" s="1">
        <f>IFERROR(__xludf.DUMMYFUNCTION("""COMPUTED_VALUE"""),15054.0)</f>
        <v>15054</v>
      </c>
    </row>
    <row r="781">
      <c r="A781" s="2">
        <f>IFERROR(__xludf.DUMMYFUNCTION("""COMPUTED_VALUE"""),42068.64583333333)</f>
        <v>42068.64583</v>
      </c>
      <c r="B781" s="1">
        <f>IFERROR(__xludf.DUMMYFUNCTION("""COMPUTED_VALUE"""),39500.0)</f>
        <v>39500</v>
      </c>
      <c r="C781" s="1">
        <f>IFERROR(__xludf.DUMMYFUNCTION("""COMPUTED_VALUE"""),40500.0)</f>
        <v>40500</v>
      </c>
      <c r="D781" s="1">
        <f>IFERROR(__xludf.DUMMYFUNCTION("""COMPUTED_VALUE"""),39500.0)</f>
        <v>39500</v>
      </c>
      <c r="E781" s="1">
        <f>IFERROR(__xludf.DUMMYFUNCTION("""COMPUTED_VALUE"""),40400.0)</f>
        <v>40400</v>
      </c>
      <c r="F781" s="1">
        <f>IFERROR(__xludf.DUMMYFUNCTION("""COMPUTED_VALUE"""),13129.0)</f>
        <v>13129</v>
      </c>
    </row>
    <row r="782">
      <c r="A782" s="2">
        <f>IFERROR(__xludf.DUMMYFUNCTION("""COMPUTED_VALUE"""),42069.64583333333)</f>
        <v>42069.64583</v>
      </c>
      <c r="B782" s="1">
        <f>IFERROR(__xludf.DUMMYFUNCTION("""COMPUTED_VALUE"""),40750.0)</f>
        <v>40750</v>
      </c>
      <c r="C782" s="1">
        <f>IFERROR(__xludf.DUMMYFUNCTION("""COMPUTED_VALUE"""),41000.0)</f>
        <v>41000</v>
      </c>
      <c r="D782" s="1">
        <f>IFERROR(__xludf.DUMMYFUNCTION("""COMPUTED_VALUE"""),40200.0)</f>
        <v>40200</v>
      </c>
      <c r="E782" s="1">
        <f>IFERROR(__xludf.DUMMYFUNCTION("""COMPUTED_VALUE"""),40750.0)</f>
        <v>40750</v>
      </c>
      <c r="F782" s="1">
        <f>IFERROR(__xludf.DUMMYFUNCTION("""COMPUTED_VALUE"""),9698.0)</f>
        <v>9698</v>
      </c>
    </row>
    <row r="783">
      <c r="A783" s="2">
        <f>IFERROR(__xludf.DUMMYFUNCTION("""COMPUTED_VALUE"""),42072.64583333333)</f>
        <v>42072.64583</v>
      </c>
      <c r="B783" s="1">
        <f>IFERROR(__xludf.DUMMYFUNCTION("""COMPUTED_VALUE"""),40600.0)</f>
        <v>40600</v>
      </c>
      <c r="C783" s="1">
        <f>IFERROR(__xludf.DUMMYFUNCTION("""COMPUTED_VALUE"""),41000.0)</f>
        <v>41000</v>
      </c>
      <c r="D783" s="1">
        <f>IFERROR(__xludf.DUMMYFUNCTION("""COMPUTED_VALUE"""),40350.0)</f>
        <v>40350</v>
      </c>
      <c r="E783" s="1">
        <f>IFERROR(__xludf.DUMMYFUNCTION("""COMPUTED_VALUE"""),40700.0)</f>
        <v>40700</v>
      </c>
      <c r="F783" s="1">
        <f>IFERROR(__xludf.DUMMYFUNCTION("""COMPUTED_VALUE"""),4098.0)</f>
        <v>4098</v>
      </c>
    </row>
    <row r="784">
      <c r="A784" s="2">
        <f>IFERROR(__xludf.DUMMYFUNCTION("""COMPUTED_VALUE"""),42073.64583333333)</f>
        <v>42073.64583</v>
      </c>
      <c r="B784" s="1">
        <f>IFERROR(__xludf.DUMMYFUNCTION("""COMPUTED_VALUE"""),41100.0)</f>
        <v>41100</v>
      </c>
      <c r="C784" s="1">
        <f>IFERROR(__xludf.DUMMYFUNCTION("""COMPUTED_VALUE"""),41150.0)</f>
        <v>41150</v>
      </c>
      <c r="D784" s="1">
        <f>IFERROR(__xludf.DUMMYFUNCTION("""COMPUTED_VALUE"""),38600.0)</f>
        <v>38600</v>
      </c>
      <c r="E784" s="1">
        <f>IFERROR(__xludf.DUMMYFUNCTION("""COMPUTED_VALUE"""),40100.0)</f>
        <v>40100</v>
      </c>
      <c r="F784" s="1">
        <f>IFERROR(__xludf.DUMMYFUNCTION("""COMPUTED_VALUE"""),5663.0)</f>
        <v>5663</v>
      </c>
    </row>
    <row r="785">
      <c r="A785" s="2">
        <f>IFERROR(__xludf.DUMMYFUNCTION("""COMPUTED_VALUE"""),42074.64583333333)</f>
        <v>42074.64583</v>
      </c>
      <c r="B785" s="1">
        <f>IFERROR(__xludf.DUMMYFUNCTION("""COMPUTED_VALUE"""),40050.0)</f>
        <v>40050</v>
      </c>
      <c r="C785" s="1">
        <f>IFERROR(__xludf.DUMMYFUNCTION("""COMPUTED_VALUE"""),40050.0)</f>
        <v>40050</v>
      </c>
      <c r="D785" s="1">
        <f>IFERROR(__xludf.DUMMYFUNCTION("""COMPUTED_VALUE"""),38050.0)</f>
        <v>38050</v>
      </c>
      <c r="E785" s="1">
        <f>IFERROR(__xludf.DUMMYFUNCTION("""COMPUTED_VALUE"""),39100.0)</f>
        <v>39100</v>
      </c>
      <c r="F785" s="1">
        <f>IFERROR(__xludf.DUMMYFUNCTION("""COMPUTED_VALUE"""),22499.0)</f>
        <v>22499</v>
      </c>
    </row>
    <row r="786">
      <c r="A786" s="2">
        <f>IFERROR(__xludf.DUMMYFUNCTION("""COMPUTED_VALUE"""),42075.64583333333)</f>
        <v>42075.64583</v>
      </c>
      <c r="B786" s="1">
        <f>IFERROR(__xludf.DUMMYFUNCTION("""COMPUTED_VALUE"""),39100.0)</f>
        <v>39100</v>
      </c>
      <c r="C786" s="1">
        <f>IFERROR(__xludf.DUMMYFUNCTION("""COMPUTED_VALUE"""),39750.0)</f>
        <v>39750</v>
      </c>
      <c r="D786" s="1">
        <f>IFERROR(__xludf.DUMMYFUNCTION("""COMPUTED_VALUE"""),38200.0)</f>
        <v>38200</v>
      </c>
      <c r="E786" s="1">
        <f>IFERROR(__xludf.DUMMYFUNCTION("""COMPUTED_VALUE"""),39600.0)</f>
        <v>39600</v>
      </c>
      <c r="F786" s="1">
        <f>IFERROR(__xludf.DUMMYFUNCTION("""COMPUTED_VALUE"""),5789.0)</f>
        <v>5789</v>
      </c>
    </row>
    <row r="787">
      <c r="A787" s="2">
        <f>IFERROR(__xludf.DUMMYFUNCTION("""COMPUTED_VALUE"""),42076.64583333333)</f>
        <v>42076.64583</v>
      </c>
      <c r="B787" s="1">
        <f>IFERROR(__xludf.DUMMYFUNCTION("""COMPUTED_VALUE"""),39500.0)</f>
        <v>39500</v>
      </c>
      <c r="C787" s="1">
        <f>IFERROR(__xludf.DUMMYFUNCTION("""COMPUTED_VALUE"""),39500.0)</f>
        <v>39500</v>
      </c>
      <c r="D787" s="1">
        <f>IFERROR(__xludf.DUMMYFUNCTION("""COMPUTED_VALUE"""),38400.0)</f>
        <v>38400</v>
      </c>
      <c r="E787" s="1">
        <f>IFERROR(__xludf.DUMMYFUNCTION("""COMPUTED_VALUE"""),38500.0)</f>
        <v>38500</v>
      </c>
      <c r="F787" s="1">
        <f>IFERROR(__xludf.DUMMYFUNCTION("""COMPUTED_VALUE"""),11039.0)</f>
        <v>11039</v>
      </c>
    </row>
    <row r="788">
      <c r="A788" s="2">
        <f>IFERROR(__xludf.DUMMYFUNCTION("""COMPUTED_VALUE"""),42079.64583333333)</f>
        <v>42079.64583</v>
      </c>
      <c r="B788" s="1">
        <f>IFERROR(__xludf.DUMMYFUNCTION("""COMPUTED_VALUE"""),38600.0)</f>
        <v>38600</v>
      </c>
      <c r="C788" s="1">
        <f>IFERROR(__xludf.DUMMYFUNCTION("""COMPUTED_VALUE"""),38600.0)</f>
        <v>38600</v>
      </c>
      <c r="D788" s="1">
        <f>IFERROR(__xludf.DUMMYFUNCTION("""COMPUTED_VALUE"""),36800.0)</f>
        <v>36800</v>
      </c>
      <c r="E788" s="1">
        <f>IFERROR(__xludf.DUMMYFUNCTION("""COMPUTED_VALUE"""),37100.0)</f>
        <v>37100</v>
      </c>
      <c r="F788" s="1">
        <f>IFERROR(__xludf.DUMMYFUNCTION("""COMPUTED_VALUE"""),12867.0)</f>
        <v>12867</v>
      </c>
    </row>
    <row r="789">
      <c r="A789" s="2">
        <f>IFERROR(__xludf.DUMMYFUNCTION("""COMPUTED_VALUE"""),42080.64583333333)</f>
        <v>42080.64583</v>
      </c>
      <c r="B789" s="1">
        <f>IFERROR(__xludf.DUMMYFUNCTION("""COMPUTED_VALUE"""),37000.0)</f>
        <v>37000</v>
      </c>
      <c r="C789" s="1">
        <f>IFERROR(__xludf.DUMMYFUNCTION("""COMPUTED_VALUE"""),38200.0)</f>
        <v>38200</v>
      </c>
      <c r="D789" s="1">
        <f>IFERROR(__xludf.DUMMYFUNCTION("""COMPUTED_VALUE"""),36650.0)</f>
        <v>36650</v>
      </c>
      <c r="E789" s="1">
        <f>IFERROR(__xludf.DUMMYFUNCTION("""COMPUTED_VALUE"""),38000.0)</f>
        <v>38000</v>
      </c>
      <c r="F789" s="1">
        <f>IFERROR(__xludf.DUMMYFUNCTION("""COMPUTED_VALUE"""),9534.0)</f>
        <v>9534</v>
      </c>
    </row>
    <row r="790">
      <c r="A790" s="2">
        <f>IFERROR(__xludf.DUMMYFUNCTION("""COMPUTED_VALUE"""),42081.64583333333)</f>
        <v>42081.64583</v>
      </c>
      <c r="B790" s="1">
        <f>IFERROR(__xludf.DUMMYFUNCTION("""COMPUTED_VALUE"""),38000.0)</f>
        <v>38000</v>
      </c>
      <c r="C790" s="1">
        <f>IFERROR(__xludf.DUMMYFUNCTION("""COMPUTED_VALUE"""),38000.0)</f>
        <v>38000</v>
      </c>
      <c r="D790" s="1">
        <f>IFERROR(__xludf.DUMMYFUNCTION("""COMPUTED_VALUE"""),36900.0)</f>
        <v>36900</v>
      </c>
      <c r="E790" s="1">
        <f>IFERROR(__xludf.DUMMYFUNCTION("""COMPUTED_VALUE"""),37050.0)</f>
        <v>37050</v>
      </c>
      <c r="F790" s="1">
        <f>IFERROR(__xludf.DUMMYFUNCTION("""COMPUTED_VALUE"""),9342.0)</f>
        <v>9342</v>
      </c>
    </row>
    <row r="791">
      <c r="A791" s="2">
        <f>IFERROR(__xludf.DUMMYFUNCTION("""COMPUTED_VALUE"""),42082.64583333333)</f>
        <v>42082.64583</v>
      </c>
      <c r="B791" s="1">
        <f>IFERROR(__xludf.DUMMYFUNCTION("""COMPUTED_VALUE"""),37550.0)</f>
        <v>37550</v>
      </c>
      <c r="C791" s="1">
        <f>IFERROR(__xludf.DUMMYFUNCTION("""COMPUTED_VALUE"""),37700.0)</f>
        <v>37700</v>
      </c>
      <c r="D791" s="1">
        <f>IFERROR(__xludf.DUMMYFUNCTION("""COMPUTED_VALUE"""),37000.0)</f>
        <v>37000</v>
      </c>
      <c r="E791" s="1">
        <f>IFERROR(__xludf.DUMMYFUNCTION("""COMPUTED_VALUE"""),37200.0)</f>
        <v>37200</v>
      </c>
      <c r="F791" s="1">
        <f>IFERROR(__xludf.DUMMYFUNCTION("""COMPUTED_VALUE"""),37337.0)</f>
        <v>37337</v>
      </c>
    </row>
    <row r="792">
      <c r="A792" s="2">
        <f>IFERROR(__xludf.DUMMYFUNCTION("""COMPUTED_VALUE"""),42083.64583333333)</f>
        <v>42083.64583</v>
      </c>
      <c r="B792" s="1">
        <f>IFERROR(__xludf.DUMMYFUNCTION("""COMPUTED_VALUE"""),36750.0)</f>
        <v>36750</v>
      </c>
      <c r="C792" s="1">
        <f>IFERROR(__xludf.DUMMYFUNCTION("""COMPUTED_VALUE"""),37400.0)</f>
        <v>37400</v>
      </c>
      <c r="D792" s="1">
        <f>IFERROR(__xludf.DUMMYFUNCTION("""COMPUTED_VALUE"""),36500.0)</f>
        <v>36500</v>
      </c>
      <c r="E792" s="1">
        <f>IFERROR(__xludf.DUMMYFUNCTION("""COMPUTED_VALUE"""),36850.0)</f>
        <v>36850</v>
      </c>
      <c r="F792" s="1">
        <f>IFERROR(__xludf.DUMMYFUNCTION("""COMPUTED_VALUE"""),15453.0)</f>
        <v>15453</v>
      </c>
    </row>
    <row r="793">
      <c r="A793" s="2">
        <f>IFERROR(__xludf.DUMMYFUNCTION("""COMPUTED_VALUE"""),42086.64583333333)</f>
        <v>42086.64583</v>
      </c>
      <c r="B793" s="1">
        <f>IFERROR(__xludf.DUMMYFUNCTION("""COMPUTED_VALUE"""),37500.0)</f>
        <v>37500</v>
      </c>
      <c r="C793" s="1">
        <f>IFERROR(__xludf.DUMMYFUNCTION("""COMPUTED_VALUE"""),37500.0)</f>
        <v>37500</v>
      </c>
      <c r="D793" s="1">
        <f>IFERROR(__xludf.DUMMYFUNCTION("""COMPUTED_VALUE"""),36700.0)</f>
        <v>36700</v>
      </c>
      <c r="E793" s="1">
        <f>IFERROR(__xludf.DUMMYFUNCTION("""COMPUTED_VALUE"""),37100.0)</f>
        <v>37100</v>
      </c>
      <c r="F793" s="1">
        <f>IFERROR(__xludf.DUMMYFUNCTION("""COMPUTED_VALUE"""),6074.0)</f>
        <v>6074</v>
      </c>
    </row>
    <row r="794">
      <c r="A794" s="2">
        <f>IFERROR(__xludf.DUMMYFUNCTION("""COMPUTED_VALUE"""),42087.64583333333)</f>
        <v>42087.64583</v>
      </c>
      <c r="B794" s="1">
        <f>IFERROR(__xludf.DUMMYFUNCTION("""COMPUTED_VALUE"""),37050.0)</f>
        <v>37050</v>
      </c>
      <c r="C794" s="1">
        <f>IFERROR(__xludf.DUMMYFUNCTION("""COMPUTED_VALUE"""),37400.0)</f>
        <v>37400</v>
      </c>
      <c r="D794" s="1">
        <f>IFERROR(__xludf.DUMMYFUNCTION("""COMPUTED_VALUE"""),37000.0)</f>
        <v>37000</v>
      </c>
      <c r="E794" s="1">
        <f>IFERROR(__xludf.DUMMYFUNCTION("""COMPUTED_VALUE"""),37250.0)</f>
        <v>37250</v>
      </c>
      <c r="F794" s="1">
        <f>IFERROR(__xludf.DUMMYFUNCTION("""COMPUTED_VALUE"""),6223.0)</f>
        <v>6223</v>
      </c>
    </row>
    <row r="795">
      <c r="A795" s="2">
        <f>IFERROR(__xludf.DUMMYFUNCTION("""COMPUTED_VALUE"""),42088.64583333333)</f>
        <v>42088.64583</v>
      </c>
      <c r="B795" s="1">
        <f>IFERROR(__xludf.DUMMYFUNCTION("""COMPUTED_VALUE"""),37300.0)</f>
        <v>37300</v>
      </c>
      <c r="C795" s="1">
        <f>IFERROR(__xludf.DUMMYFUNCTION("""COMPUTED_VALUE"""),37300.0)</f>
        <v>37300</v>
      </c>
      <c r="D795" s="1">
        <f>IFERROR(__xludf.DUMMYFUNCTION("""COMPUTED_VALUE"""),36700.0)</f>
        <v>36700</v>
      </c>
      <c r="E795" s="1">
        <f>IFERROR(__xludf.DUMMYFUNCTION("""COMPUTED_VALUE"""),36900.0)</f>
        <v>36900</v>
      </c>
      <c r="F795" s="1">
        <f>IFERROR(__xludf.DUMMYFUNCTION("""COMPUTED_VALUE"""),9200.0)</f>
        <v>9200</v>
      </c>
    </row>
    <row r="796">
      <c r="A796" s="2">
        <f>IFERROR(__xludf.DUMMYFUNCTION("""COMPUTED_VALUE"""),42089.64583333333)</f>
        <v>42089.64583</v>
      </c>
      <c r="B796" s="1">
        <f>IFERROR(__xludf.DUMMYFUNCTION("""COMPUTED_VALUE"""),36900.0)</f>
        <v>36900</v>
      </c>
      <c r="C796" s="1">
        <f>IFERROR(__xludf.DUMMYFUNCTION("""COMPUTED_VALUE"""),37500.0)</f>
        <v>37500</v>
      </c>
      <c r="D796" s="1">
        <f>IFERROR(__xludf.DUMMYFUNCTION("""COMPUTED_VALUE"""),36850.0)</f>
        <v>36850</v>
      </c>
      <c r="E796" s="1">
        <f>IFERROR(__xludf.DUMMYFUNCTION("""COMPUTED_VALUE"""),37400.0)</f>
        <v>37400</v>
      </c>
      <c r="F796" s="1">
        <f>IFERROR(__xludf.DUMMYFUNCTION("""COMPUTED_VALUE"""),6452.0)</f>
        <v>6452</v>
      </c>
    </row>
    <row r="797">
      <c r="A797" s="2">
        <f>IFERROR(__xludf.DUMMYFUNCTION("""COMPUTED_VALUE"""),42090.64583333333)</f>
        <v>42090.64583</v>
      </c>
      <c r="B797" s="1">
        <f>IFERROR(__xludf.DUMMYFUNCTION("""COMPUTED_VALUE"""),37950.0)</f>
        <v>37950</v>
      </c>
      <c r="C797" s="1">
        <f>IFERROR(__xludf.DUMMYFUNCTION("""COMPUTED_VALUE"""),37950.0)</f>
        <v>37950</v>
      </c>
      <c r="D797" s="1">
        <f>IFERROR(__xludf.DUMMYFUNCTION("""COMPUTED_VALUE"""),37500.0)</f>
        <v>37500</v>
      </c>
      <c r="E797" s="1">
        <f>IFERROR(__xludf.DUMMYFUNCTION("""COMPUTED_VALUE"""),37650.0)</f>
        <v>37650</v>
      </c>
      <c r="F797" s="1">
        <f>IFERROR(__xludf.DUMMYFUNCTION("""COMPUTED_VALUE"""),5562.0)</f>
        <v>5562</v>
      </c>
    </row>
    <row r="798">
      <c r="A798" s="2">
        <f>IFERROR(__xludf.DUMMYFUNCTION("""COMPUTED_VALUE"""),42093.64583333333)</f>
        <v>42093.64583</v>
      </c>
      <c r="B798" s="1">
        <f>IFERROR(__xludf.DUMMYFUNCTION("""COMPUTED_VALUE"""),37600.0)</f>
        <v>37600</v>
      </c>
      <c r="C798" s="1">
        <f>IFERROR(__xludf.DUMMYFUNCTION("""COMPUTED_VALUE"""),37600.0)</f>
        <v>37600</v>
      </c>
      <c r="D798" s="1">
        <f>IFERROR(__xludf.DUMMYFUNCTION("""COMPUTED_VALUE"""),36900.0)</f>
        <v>36900</v>
      </c>
      <c r="E798" s="1">
        <f>IFERROR(__xludf.DUMMYFUNCTION("""COMPUTED_VALUE"""),37500.0)</f>
        <v>37500</v>
      </c>
      <c r="F798" s="1">
        <f>IFERROR(__xludf.DUMMYFUNCTION("""COMPUTED_VALUE"""),5514.0)</f>
        <v>5514</v>
      </c>
    </row>
    <row r="799">
      <c r="A799" s="2">
        <f>IFERROR(__xludf.DUMMYFUNCTION("""COMPUTED_VALUE"""),42094.64583333333)</f>
        <v>42094.64583</v>
      </c>
      <c r="B799" s="1">
        <f>IFERROR(__xludf.DUMMYFUNCTION("""COMPUTED_VALUE"""),37800.0)</f>
        <v>37800</v>
      </c>
      <c r="C799" s="1">
        <f>IFERROR(__xludf.DUMMYFUNCTION("""COMPUTED_VALUE"""),37850.0)</f>
        <v>37850</v>
      </c>
      <c r="D799" s="1">
        <f>IFERROR(__xludf.DUMMYFUNCTION("""COMPUTED_VALUE"""),37400.0)</f>
        <v>37400</v>
      </c>
      <c r="E799" s="1">
        <f>IFERROR(__xludf.DUMMYFUNCTION("""COMPUTED_VALUE"""),37700.0)</f>
        <v>37700</v>
      </c>
      <c r="F799" s="1">
        <f>IFERROR(__xludf.DUMMYFUNCTION("""COMPUTED_VALUE"""),16936.0)</f>
        <v>16936</v>
      </c>
    </row>
    <row r="800">
      <c r="A800" s="2">
        <f>IFERROR(__xludf.DUMMYFUNCTION("""COMPUTED_VALUE"""),42095.64583333333)</f>
        <v>42095.64583</v>
      </c>
      <c r="B800" s="1">
        <f>IFERROR(__xludf.DUMMYFUNCTION("""COMPUTED_VALUE"""),37450.0)</f>
        <v>37450</v>
      </c>
      <c r="C800" s="1">
        <f>IFERROR(__xludf.DUMMYFUNCTION("""COMPUTED_VALUE"""),38600.0)</f>
        <v>38600</v>
      </c>
      <c r="D800" s="1">
        <f>IFERROR(__xludf.DUMMYFUNCTION("""COMPUTED_VALUE"""),37150.0)</f>
        <v>37150</v>
      </c>
      <c r="E800" s="1">
        <f>IFERROR(__xludf.DUMMYFUNCTION("""COMPUTED_VALUE"""),38600.0)</f>
        <v>38600</v>
      </c>
      <c r="F800" s="1">
        <f>IFERROR(__xludf.DUMMYFUNCTION("""COMPUTED_VALUE"""),24917.0)</f>
        <v>24917</v>
      </c>
    </row>
    <row r="801">
      <c r="A801" s="2">
        <f>IFERROR(__xludf.DUMMYFUNCTION("""COMPUTED_VALUE"""),42096.64583333333)</f>
        <v>42096.64583</v>
      </c>
      <c r="B801" s="1">
        <f>IFERROR(__xludf.DUMMYFUNCTION("""COMPUTED_VALUE"""),39000.0)</f>
        <v>39000</v>
      </c>
      <c r="C801" s="1">
        <f>IFERROR(__xludf.DUMMYFUNCTION("""COMPUTED_VALUE"""),39700.0)</f>
        <v>39700</v>
      </c>
      <c r="D801" s="1">
        <f>IFERROR(__xludf.DUMMYFUNCTION("""COMPUTED_VALUE"""),38200.0)</f>
        <v>38200</v>
      </c>
      <c r="E801" s="1">
        <f>IFERROR(__xludf.DUMMYFUNCTION("""COMPUTED_VALUE"""),38650.0)</f>
        <v>38650</v>
      </c>
      <c r="F801" s="1">
        <f>IFERROR(__xludf.DUMMYFUNCTION("""COMPUTED_VALUE"""),13065.0)</f>
        <v>13065</v>
      </c>
    </row>
    <row r="802">
      <c r="A802" s="2">
        <f>IFERROR(__xludf.DUMMYFUNCTION("""COMPUTED_VALUE"""),42097.64583333333)</f>
        <v>42097.64583</v>
      </c>
      <c r="B802" s="1">
        <f>IFERROR(__xludf.DUMMYFUNCTION("""COMPUTED_VALUE"""),39350.0)</f>
        <v>39350</v>
      </c>
      <c r="C802" s="1">
        <f>IFERROR(__xludf.DUMMYFUNCTION("""COMPUTED_VALUE"""),39350.0)</f>
        <v>39350</v>
      </c>
      <c r="D802" s="1">
        <f>IFERROR(__xludf.DUMMYFUNCTION("""COMPUTED_VALUE"""),38300.0)</f>
        <v>38300</v>
      </c>
      <c r="E802" s="1">
        <f>IFERROR(__xludf.DUMMYFUNCTION("""COMPUTED_VALUE"""),38600.0)</f>
        <v>38600</v>
      </c>
      <c r="F802" s="1">
        <f>IFERROR(__xludf.DUMMYFUNCTION("""COMPUTED_VALUE"""),9427.0)</f>
        <v>9427</v>
      </c>
    </row>
    <row r="803">
      <c r="A803" s="2">
        <f>IFERROR(__xludf.DUMMYFUNCTION("""COMPUTED_VALUE"""),42100.64583333333)</f>
        <v>42100.64583</v>
      </c>
      <c r="B803" s="1">
        <f>IFERROR(__xludf.DUMMYFUNCTION("""COMPUTED_VALUE"""),38400.0)</f>
        <v>38400</v>
      </c>
      <c r="C803" s="1">
        <f>IFERROR(__xludf.DUMMYFUNCTION("""COMPUTED_VALUE"""),38400.0)</f>
        <v>38400</v>
      </c>
      <c r="D803" s="1">
        <f>IFERROR(__xludf.DUMMYFUNCTION("""COMPUTED_VALUE"""),37700.0)</f>
        <v>37700</v>
      </c>
      <c r="E803" s="1">
        <f>IFERROR(__xludf.DUMMYFUNCTION("""COMPUTED_VALUE"""),37800.0)</f>
        <v>37800</v>
      </c>
      <c r="F803" s="1">
        <f>IFERROR(__xludf.DUMMYFUNCTION("""COMPUTED_VALUE"""),7982.0)</f>
        <v>7982</v>
      </c>
    </row>
    <row r="804">
      <c r="A804" s="2">
        <f>IFERROR(__xludf.DUMMYFUNCTION("""COMPUTED_VALUE"""),42101.64583333333)</f>
        <v>42101.64583</v>
      </c>
      <c r="B804" s="1">
        <f>IFERROR(__xludf.DUMMYFUNCTION("""COMPUTED_VALUE"""),38500.0)</f>
        <v>38500</v>
      </c>
      <c r="C804" s="1">
        <f>IFERROR(__xludf.DUMMYFUNCTION("""COMPUTED_VALUE"""),38700.0)</f>
        <v>38700</v>
      </c>
      <c r="D804" s="1">
        <f>IFERROR(__xludf.DUMMYFUNCTION("""COMPUTED_VALUE"""),37900.0)</f>
        <v>37900</v>
      </c>
      <c r="E804" s="1">
        <f>IFERROR(__xludf.DUMMYFUNCTION("""COMPUTED_VALUE"""),38450.0)</f>
        <v>38450</v>
      </c>
      <c r="F804" s="1">
        <f>IFERROR(__xludf.DUMMYFUNCTION("""COMPUTED_VALUE"""),19005.0)</f>
        <v>19005</v>
      </c>
    </row>
    <row r="805">
      <c r="A805" s="2">
        <f>IFERROR(__xludf.DUMMYFUNCTION("""COMPUTED_VALUE"""),42102.64583333333)</f>
        <v>42102.64583</v>
      </c>
      <c r="B805" s="1">
        <f>IFERROR(__xludf.DUMMYFUNCTION("""COMPUTED_VALUE"""),38950.0)</f>
        <v>38950</v>
      </c>
      <c r="C805" s="1">
        <f>IFERROR(__xludf.DUMMYFUNCTION("""COMPUTED_VALUE"""),40250.0)</f>
        <v>40250</v>
      </c>
      <c r="D805" s="1">
        <f>IFERROR(__xludf.DUMMYFUNCTION("""COMPUTED_VALUE"""),38850.0)</f>
        <v>38850</v>
      </c>
      <c r="E805" s="1">
        <f>IFERROR(__xludf.DUMMYFUNCTION("""COMPUTED_VALUE"""),40100.0)</f>
        <v>40100</v>
      </c>
      <c r="F805" s="1">
        <f>IFERROR(__xludf.DUMMYFUNCTION("""COMPUTED_VALUE"""),54704.0)</f>
        <v>54704</v>
      </c>
    </row>
    <row r="806">
      <c r="A806" s="2">
        <f>IFERROR(__xludf.DUMMYFUNCTION("""COMPUTED_VALUE"""),42103.64583333333)</f>
        <v>42103.64583</v>
      </c>
      <c r="B806" s="1">
        <f>IFERROR(__xludf.DUMMYFUNCTION("""COMPUTED_VALUE"""),39500.0)</f>
        <v>39500</v>
      </c>
      <c r="C806" s="1">
        <f>IFERROR(__xludf.DUMMYFUNCTION("""COMPUTED_VALUE"""),40400.0)</f>
        <v>40400</v>
      </c>
      <c r="D806" s="1">
        <f>IFERROR(__xludf.DUMMYFUNCTION("""COMPUTED_VALUE"""),39350.0)</f>
        <v>39350</v>
      </c>
      <c r="E806" s="1">
        <f>IFERROR(__xludf.DUMMYFUNCTION("""COMPUTED_VALUE"""),40400.0)</f>
        <v>40400</v>
      </c>
      <c r="F806" s="1">
        <f>IFERROR(__xludf.DUMMYFUNCTION("""COMPUTED_VALUE"""),12207.0)</f>
        <v>12207</v>
      </c>
    </row>
    <row r="807">
      <c r="A807" s="2">
        <f>IFERROR(__xludf.DUMMYFUNCTION("""COMPUTED_VALUE"""),42104.64583333333)</f>
        <v>42104.64583</v>
      </c>
      <c r="B807" s="1">
        <f>IFERROR(__xludf.DUMMYFUNCTION("""COMPUTED_VALUE"""),41250.0)</f>
        <v>41250</v>
      </c>
      <c r="C807" s="1">
        <f>IFERROR(__xludf.DUMMYFUNCTION("""COMPUTED_VALUE"""),41250.0)</f>
        <v>41250</v>
      </c>
      <c r="D807" s="1">
        <f>IFERROR(__xludf.DUMMYFUNCTION("""COMPUTED_VALUE"""),40400.0)</f>
        <v>40400</v>
      </c>
      <c r="E807" s="1">
        <f>IFERROR(__xludf.DUMMYFUNCTION("""COMPUTED_VALUE"""),40950.0)</f>
        <v>40950</v>
      </c>
      <c r="F807" s="1">
        <f>IFERROR(__xludf.DUMMYFUNCTION("""COMPUTED_VALUE"""),9745.0)</f>
        <v>9745</v>
      </c>
    </row>
    <row r="808">
      <c r="A808" s="2">
        <f>IFERROR(__xludf.DUMMYFUNCTION("""COMPUTED_VALUE"""),42107.64583333333)</f>
        <v>42107.64583</v>
      </c>
      <c r="B808" s="1">
        <f>IFERROR(__xludf.DUMMYFUNCTION("""COMPUTED_VALUE"""),41400.0)</f>
        <v>41400</v>
      </c>
      <c r="C808" s="1">
        <f>IFERROR(__xludf.DUMMYFUNCTION("""COMPUTED_VALUE"""),42850.0)</f>
        <v>42850</v>
      </c>
      <c r="D808" s="1">
        <f>IFERROR(__xludf.DUMMYFUNCTION("""COMPUTED_VALUE"""),41200.0)</f>
        <v>41200</v>
      </c>
      <c r="E808" s="1">
        <f>IFERROR(__xludf.DUMMYFUNCTION("""COMPUTED_VALUE"""),42650.0)</f>
        <v>42650</v>
      </c>
      <c r="F808" s="1">
        <f>IFERROR(__xludf.DUMMYFUNCTION("""COMPUTED_VALUE"""),20924.0)</f>
        <v>20924</v>
      </c>
    </row>
    <row r="809">
      <c r="A809" s="2">
        <f>IFERROR(__xludf.DUMMYFUNCTION("""COMPUTED_VALUE"""),42108.64583333333)</f>
        <v>42108.64583</v>
      </c>
      <c r="B809" s="1">
        <f>IFERROR(__xludf.DUMMYFUNCTION("""COMPUTED_VALUE"""),42650.0)</f>
        <v>42650</v>
      </c>
      <c r="C809" s="1">
        <f>IFERROR(__xludf.DUMMYFUNCTION("""COMPUTED_VALUE"""),44400.0)</f>
        <v>44400</v>
      </c>
      <c r="D809" s="1">
        <f>IFERROR(__xludf.DUMMYFUNCTION("""COMPUTED_VALUE"""),42650.0)</f>
        <v>42650</v>
      </c>
      <c r="E809" s="1">
        <f>IFERROR(__xludf.DUMMYFUNCTION("""COMPUTED_VALUE"""),43800.0)</f>
        <v>43800</v>
      </c>
      <c r="F809" s="1">
        <f>IFERROR(__xludf.DUMMYFUNCTION("""COMPUTED_VALUE"""),27553.0)</f>
        <v>27553</v>
      </c>
    </row>
    <row r="810">
      <c r="A810" s="2">
        <f>IFERROR(__xludf.DUMMYFUNCTION("""COMPUTED_VALUE"""),42109.64583333333)</f>
        <v>42109.64583</v>
      </c>
      <c r="B810" s="1">
        <f>IFERROR(__xludf.DUMMYFUNCTION("""COMPUTED_VALUE"""),43800.0)</f>
        <v>43800</v>
      </c>
      <c r="C810" s="1">
        <f>IFERROR(__xludf.DUMMYFUNCTION("""COMPUTED_VALUE"""),45450.0)</f>
        <v>45450</v>
      </c>
      <c r="D810" s="1">
        <f>IFERROR(__xludf.DUMMYFUNCTION("""COMPUTED_VALUE"""),43600.0)</f>
        <v>43600</v>
      </c>
      <c r="E810" s="1">
        <f>IFERROR(__xludf.DUMMYFUNCTION("""COMPUTED_VALUE"""),43600.0)</f>
        <v>43600</v>
      </c>
      <c r="F810" s="1">
        <f>IFERROR(__xludf.DUMMYFUNCTION("""COMPUTED_VALUE"""),38331.0)</f>
        <v>38331</v>
      </c>
    </row>
    <row r="811">
      <c r="A811" s="2">
        <f>IFERROR(__xludf.DUMMYFUNCTION("""COMPUTED_VALUE"""),42110.64583333333)</f>
        <v>42110.64583</v>
      </c>
      <c r="B811" s="1">
        <f>IFERROR(__xludf.DUMMYFUNCTION("""COMPUTED_VALUE"""),44900.0)</f>
        <v>44900</v>
      </c>
      <c r="C811" s="1">
        <f>IFERROR(__xludf.DUMMYFUNCTION("""COMPUTED_VALUE"""),45550.0)</f>
        <v>45550</v>
      </c>
      <c r="D811" s="1">
        <f>IFERROR(__xludf.DUMMYFUNCTION("""COMPUTED_VALUE"""),43850.0)</f>
        <v>43850</v>
      </c>
      <c r="E811" s="1">
        <f>IFERROR(__xludf.DUMMYFUNCTION("""COMPUTED_VALUE"""),44500.0)</f>
        <v>44500</v>
      </c>
      <c r="F811" s="1">
        <f>IFERROR(__xludf.DUMMYFUNCTION("""COMPUTED_VALUE"""),17337.0)</f>
        <v>17337</v>
      </c>
    </row>
    <row r="812">
      <c r="A812" s="2">
        <f>IFERROR(__xludf.DUMMYFUNCTION("""COMPUTED_VALUE"""),42111.64583333333)</f>
        <v>42111.64583</v>
      </c>
      <c r="B812" s="1">
        <f>IFERROR(__xludf.DUMMYFUNCTION("""COMPUTED_VALUE"""),44500.0)</f>
        <v>44500</v>
      </c>
      <c r="C812" s="1">
        <f>IFERROR(__xludf.DUMMYFUNCTION("""COMPUTED_VALUE"""),44500.0)</f>
        <v>44500</v>
      </c>
      <c r="D812" s="1">
        <f>IFERROR(__xludf.DUMMYFUNCTION("""COMPUTED_VALUE"""),43150.0)</f>
        <v>43150</v>
      </c>
      <c r="E812" s="1">
        <f>IFERROR(__xludf.DUMMYFUNCTION("""COMPUTED_VALUE"""),44450.0)</f>
        <v>44450</v>
      </c>
      <c r="F812" s="1">
        <f>IFERROR(__xludf.DUMMYFUNCTION("""COMPUTED_VALUE"""),16298.0)</f>
        <v>16298</v>
      </c>
    </row>
    <row r="813">
      <c r="A813" s="2">
        <f>IFERROR(__xludf.DUMMYFUNCTION("""COMPUTED_VALUE"""),42114.64583333333)</f>
        <v>42114.64583</v>
      </c>
      <c r="B813" s="1">
        <f>IFERROR(__xludf.DUMMYFUNCTION("""COMPUTED_VALUE"""),43600.0)</f>
        <v>43600</v>
      </c>
      <c r="C813" s="1">
        <f>IFERROR(__xludf.DUMMYFUNCTION("""COMPUTED_VALUE"""),45650.0)</f>
        <v>45650</v>
      </c>
      <c r="D813" s="1">
        <f>IFERROR(__xludf.DUMMYFUNCTION("""COMPUTED_VALUE"""),43600.0)</f>
        <v>43600</v>
      </c>
      <c r="E813" s="1">
        <f>IFERROR(__xludf.DUMMYFUNCTION("""COMPUTED_VALUE"""),45600.0)</f>
        <v>45600</v>
      </c>
      <c r="F813" s="1">
        <f>IFERROR(__xludf.DUMMYFUNCTION("""COMPUTED_VALUE"""),13888.0)</f>
        <v>13888</v>
      </c>
    </row>
    <row r="814">
      <c r="A814" s="2">
        <f>IFERROR(__xludf.DUMMYFUNCTION("""COMPUTED_VALUE"""),42115.64583333333)</f>
        <v>42115.64583</v>
      </c>
      <c r="B814" s="1">
        <f>IFERROR(__xludf.DUMMYFUNCTION("""COMPUTED_VALUE"""),45800.0)</f>
        <v>45800</v>
      </c>
      <c r="C814" s="1">
        <f>IFERROR(__xludf.DUMMYFUNCTION("""COMPUTED_VALUE"""),46350.0)</f>
        <v>46350</v>
      </c>
      <c r="D814" s="1">
        <f>IFERROR(__xludf.DUMMYFUNCTION("""COMPUTED_VALUE"""),45100.0)</f>
        <v>45100</v>
      </c>
      <c r="E814" s="1">
        <f>IFERROR(__xludf.DUMMYFUNCTION("""COMPUTED_VALUE"""),46350.0)</f>
        <v>46350</v>
      </c>
      <c r="F814" s="1">
        <f>IFERROR(__xludf.DUMMYFUNCTION("""COMPUTED_VALUE"""),14225.0)</f>
        <v>14225</v>
      </c>
    </row>
    <row r="815">
      <c r="A815" s="2">
        <f>IFERROR(__xludf.DUMMYFUNCTION("""COMPUTED_VALUE"""),42116.64583333333)</f>
        <v>42116.64583</v>
      </c>
      <c r="B815" s="1">
        <f>IFERROR(__xludf.DUMMYFUNCTION("""COMPUTED_VALUE"""),46350.0)</f>
        <v>46350</v>
      </c>
      <c r="C815" s="1">
        <f>IFERROR(__xludf.DUMMYFUNCTION("""COMPUTED_VALUE"""),47050.0)</f>
        <v>47050</v>
      </c>
      <c r="D815" s="1">
        <f>IFERROR(__xludf.DUMMYFUNCTION("""COMPUTED_VALUE"""),46100.0)</f>
        <v>46100</v>
      </c>
      <c r="E815" s="1">
        <f>IFERROR(__xludf.DUMMYFUNCTION("""COMPUTED_VALUE"""),46800.0)</f>
        <v>46800</v>
      </c>
      <c r="F815" s="1">
        <f>IFERROR(__xludf.DUMMYFUNCTION("""COMPUTED_VALUE"""),17912.0)</f>
        <v>17912</v>
      </c>
    </row>
    <row r="816">
      <c r="A816" s="2">
        <f>IFERROR(__xludf.DUMMYFUNCTION("""COMPUTED_VALUE"""),42117.64583333333)</f>
        <v>42117.64583</v>
      </c>
      <c r="B816" s="1">
        <f>IFERROR(__xludf.DUMMYFUNCTION("""COMPUTED_VALUE"""),46950.0)</f>
        <v>46950</v>
      </c>
      <c r="C816" s="1">
        <f>IFERROR(__xludf.DUMMYFUNCTION("""COMPUTED_VALUE"""),47600.0)</f>
        <v>47600</v>
      </c>
      <c r="D816" s="1">
        <f>IFERROR(__xludf.DUMMYFUNCTION("""COMPUTED_VALUE"""),46700.0)</f>
        <v>46700</v>
      </c>
      <c r="E816" s="1">
        <f>IFERROR(__xludf.DUMMYFUNCTION("""COMPUTED_VALUE"""),47350.0)</f>
        <v>47350</v>
      </c>
      <c r="F816" s="1">
        <f>IFERROR(__xludf.DUMMYFUNCTION("""COMPUTED_VALUE"""),18111.0)</f>
        <v>18111</v>
      </c>
    </row>
    <row r="817">
      <c r="A817" s="2">
        <f>IFERROR(__xludf.DUMMYFUNCTION("""COMPUTED_VALUE"""),42118.64583333333)</f>
        <v>42118.64583</v>
      </c>
      <c r="B817" s="1">
        <f>IFERROR(__xludf.DUMMYFUNCTION("""COMPUTED_VALUE"""),47850.0)</f>
        <v>47850</v>
      </c>
      <c r="C817" s="1">
        <f>IFERROR(__xludf.DUMMYFUNCTION("""COMPUTED_VALUE"""),48000.0)</f>
        <v>48000</v>
      </c>
      <c r="D817" s="1">
        <f>IFERROR(__xludf.DUMMYFUNCTION("""COMPUTED_VALUE"""),45700.0)</f>
        <v>45700</v>
      </c>
      <c r="E817" s="1">
        <f>IFERROR(__xludf.DUMMYFUNCTION("""COMPUTED_VALUE"""),46700.0)</f>
        <v>46700</v>
      </c>
      <c r="F817" s="1">
        <f>IFERROR(__xludf.DUMMYFUNCTION("""COMPUTED_VALUE"""),27748.0)</f>
        <v>27748</v>
      </c>
    </row>
    <row r="818">
      <c r="A818" s="2">
        <f>IFERROR(__xludf.DUMMYFUNCTION("""COMPUTED_VALUE"""),42121.64583333333)</f>
        <v>42121.64583</v>
      </c>
      <c r="B818" s="1">
        <f>IFERROR(__xludf.DUMMYFUNCTION("""COMPUTED_VALUE"""),46900.0)</f>
        <v>46900</v>
      </c>
      <c r="C818" s="1">
        <f>IFERROR(__xludf.DUMMYFUNCTION("""COMPUTED_VALUE"""),47700.0)</f>
        <v>47700</v>
      </c>
      <c r="D818" s="1">
        <f>IFERROR(__xludf.DUMMYFUNCTION("""COMPUTED_VALUE"""),45150.0)</f>
        <v>45150</v>
      </c>
      <c r="E818" s="1">
        <f>IFERROR(__xludf.DUMMYFUNCTION("""COMPUTED_VALUE"""),45800.0)</f>
        <v>45800</v>
      </c>
      <c r="F818" s="1">
        <f>IFERROR(__xludf.DUMMYFUNCTION("""COMPUTED_VALUE"""),12578.0)</f>
        <v>12578</v>
      </c>
    </row>
    <row r="819">
      <c r="A819" s="2">
        <f>IFERROR(__xludf.DUMMYFUNCTION("""COMPUTED_VALUE"""),42122.64583333333)</f>
        <v>42122.64583</v>
      </c>
      <c r="B819" s="1">
        <f>IFERROR(__xludf.DUMMYFUNCTION("""COMPUTED_VALUE"""),46000.0)</f>
        <v>46000</v>
      </c>
      <c r="C819" s="1">
        <f>IFERROR(__xludf.DUMMYFUNCTION("""COMPUTED_VALUE"""),46950.0)</f>
        <v>46950</v>
      </c>
      <c r="D819" s="1">
        <f>IFERROR(__xludf.DUMMYFUNCTION("""COMPUTED_VALUE"""),45650.0)</f>
        <v>45650</v>
      </c>
      <c r="E819" s="1">
        <f>IFERROR(__xludf.DUMMYFUNCTION("""COMPUTED_VALUE"""),46400.0)</f>
        <v>46400</v>
      </c>
      <c r="F819" s="1">
        <f>IFERROR(__xludf.DUMMYFUNCTION("""COMPUTED_VALUE"""),11199.0)</f>
        <v>11199</v>
      </c>
    </row>
    <row r="820">
      <c r="A820" s="2">
        <f>IFERROR(__xludf.DUMMYFUNCTION("""COMPUTED_VALUE"""),42123.64583333333)</f>
        <v>42123.64583</v>
      </c>
      <c r="B820" s="1">
        <f>IFERROR(__xludf.DUMMYFUNCTION("""COMPUTED_VALUE"""),47000.0)</f>
        <v>47000</v>
      </c>
      <c r="C820" s="1">
        <f>IFERROR(__xludf.DUMMYFUNCTION("""COMPUTED_VALUE"""),47000.0)</f>
        <v>47000</v>
      </c>
      <c r="D820" s="1">
        <f>IFERROR(__xludf.DUMMYFUNCTION("""COMPUTED_VALUE"""),45100.0)</f>
        <v>45100</v>
      </c>
      <c r="E820" s="1">
        <f>IFERROR(__xludf.DUMMYFUNCTION("""COMPUTED_VALUE"""),45900.0)</f>
        <v>45900</v>
      </c>
      <c r="F820" s="1">
        <f>IFERROR(__xludf.DUMMYFUNCTION("""COMPUTED_VALUE"""),14804.0)</f>
        <v>14804</v>
      </c>
    </row>
    <row r="821">
      <c r="A821" s="2">
        <f>IFERROR(__xludf.DUMMYFUNCTION("""COMPUTED_VALUE"""),42124.64583333333)</f>
        <v>42124.64583</v>
      </c>
      <c r="B821" s="1">
        <f>IFERROR(__xludf.DUMMYFUNCTION("""COMPUTED_VALUE"""),45600.0)</f>
        <v>45600</v>
      </c>
      <c r="C821" s="1">
        <f>IFERROR(__xludf.DUMMYFUNCTION("""COMPUTED_VALUE"""),46500.0)</f>
        <v>46500</v>
      </c>
      <c r="D821" s="1">
        <f>IFERROR(__xludf.DUMMYFUNCTION("""COMPUTED_VALUE"""),45300.0)</f>
        <v>45300</v>
      </c>
      <c r="E821" s="1">
        <f>IFERROR(__xludf.DUMMYFUNCTION("""COMPUTED_VALUE"""),45850.0)</f>
        <v>45850</v>
      </c>
      <c r="F821" s="1">
        <f>IFERROR(__xludf.DUMMYFUNCTION("""COMPUTED_VALUE"""),4323.0)</f>
        <v>4323</v>
      </c>
    </row>
    <row r="822">
      <c r="A822" s="2">
        <f>IFERROR(__xludf.DUMMYFUNCTION("""COMPUTED_VALUE"""),42128.64583333333)</f>
        <v>42128.64583</v>
      </c>
      <c r="B822" s="1">
        <f>IFERROR(__xludf.DUMMYFUNCTION("""COMPUTED_VALUE"""),46250.0)</f>
        <v>46250</v>
      </c>
      <c r="C822" s="1">
        <f>IFERROR(__xludf.DUMMYFUNCTION("""COMPUTED_VALUE"""),46250.0)</f>
        <v>46250</v>
      </c>
      <c r="D822" s="1">
        <f>IFERROR(__xludf.DUMMYFUNCTION("""COMPUTED_VALUE"""),44900.0)</f>
        <v>44900</v>
      </c>
      <c r="E822" s="1">
        <f>IFERROR(__xludf.DUMMYFUNCTION("""COMPUTED_VALUE"""),45250.0)</f>
        <v>45250</v>
      </c>
      <c r="F822" s="1">
        <f>IFERROR(__xludf.DUMMYFUNCTION("""COMPUTED_VALUE"""),7083.0)</f>
        <v>7083</v>
      </c>
    </row>
    <row r="823">
      <c r="A823" s="2">
        <f>IFERROR(__xludf.DUMMYFUNCTION("""COMPUTED_VALUE"""),42130.64583333333)</f>
        <v>42130.64583</v>
      </c>
      <c r="B823" s="1">
        <f>IFERROR(__xludf.DUMMYFUNCTION("""COMPUTED_VALUE"""),45850.0)</f>
        <v>45850</v>
      </c>
      <c r="C823" s="1">
        <f>IFERROR(__xludf.DUMMYFUNCTION("""COMPUTED_VALUE"""),45850.0)</f>
        <v>45850</v>
      </c>
      <c r="D823" s="1">
        <f>IFERROR(__xludf.DUMMYFUNCTION("""COMPUTED_VALUE"""),44600.0)</f>
        <v>44600</v>
      </c>
      <c r="E823" s="1">
        <f>IFERROR(__xludf.DUMMYFUNCTION("""COMPUTED_VALUE"""),44700.0)</f>
        <v>44700</v>
      </c>
      <c r="F823" s="1">
        <f>IFERROR(__xludf.DUMMYFUNCTION("""COMPUTED_VALUE"""),7341.0)</f>
        <v>7341</v>
      </c>
    </row>
    <row r="824">
      <c r="A824" s="2">
        <f>IFERROR(__xludf.DUMMYFUNCTION("""COMPUTED_VALUE"""),42131.64583333333)</f>
        <v>42131.64583</v>
      </c>
      <c r="B824" s="1">
        <f>IFERROR(__xludf.DUMMYFUNCTION("""COMPUTED_VALUE"""),44900.0)</f>
        <v>44900</v>
      </c>
      <c r="C824" s="1">
        <f>IFERROR(__xludf.DUMMYFUNCTION("""COMPUTED_VALUE"""),44900.0)</f>
        <v>44900</v>
      </c>
      <c r="D824" s="1">
        <f>IFERROR(__xludf.DUMMYFUNCTION("""COMPUTED_VALUE"""),43950.0)</f>
        <v>43950</v>
      </c>
      <c r="E824" s="1">
        <f>IFERROR(__xludf.DUMMYFUNCTION("""COMPUTED_VALUE"""),44300.0)</f>
        <v>44300</v>
      </c>
      <c r="F824" s="1">
        <f>IFERROR(__xludf.DUMMYFUNCTION("""COMPUTED_VALUE"""),8981.0)</f>
        <v>8981</v>
      </c>
    </row>
    <row r="825">
      <c r="A825" s="2">
        <f>IFERROR(__xludf.DUMMYFUNCTION("""COMPUTED_VALUE"""),42132.64583333333)</f>
        <v>42132.64583</v>
      </c>
      <c r="B825" s="1">
        <f>IFERROR(__xludf.DUMMYFUNCTION("""COMPUTED_VALUE"""),44600.0)</f>
        <v>44600</v>
      </c>
      <c r="C825" s="1">
        <f>IFERROR(__xludf.DUMMYFUNCTION("""COMPUTED_VALUE"""),44600.0)</f>
        <v>44600</v>
      </c>
      <c r="D825" s="1">
        <f>IFERROR(__xludf.DUMMYFUNCTION("""COMPUTED_VALUE"""),43200.0)</f>
        <v>43200</v>
      </c>
      <c r="E825" s="1">
        <f>IFERROR(__xludf.DUMMYFUNCTION("""COMPUTED_VALUE"""),44250.0)</f>
        <v>44250</v>
      </c>
      <c r="F825" s="1">
        <f>IFERROR(__xludf.DUMMYFUNCTION("""COMPUTED_VALUE"""),5958.0)</f>
        <v>5958</v>
      </c>
    </row>
    <row r="826">
      <c r="A826" s="2">
        <f>IFERROR(__xludf.DUMMYFUNCTION("""COMPUTED_VALUE"""),42135.64583333333)</f>
        <v>42135.64583</v>
      </c>
      <c r="B826" s="1">
        <f>IFERROR(__xludf.DUMMYFUNCTION("""COMPUTED_VALUE"""),43800.0)</f>
        <v>43800</v>
      </c>
      <c r="C826" s="1">
        <f>IFERROR(__xludf.DUMMYFUNCTION("""COMPUTED_VALUE"""),44650.0)</f>
        <v>44650</v>
      </c>
      <c r="D826" s="1">
        <f>IFERROR(__xludf.DUMMYFUNCTION("""COMPUTED_VALUE"""),43800.0)</f>
        <v>43800</v>
      </c>
      <c r="E826" s="1">
        <f>IFERROR(__xludf.DUMMYFUNCTION("""COMPUTED_VALUE"""),44300.0)</f>
        <v>44300</v>
      </c>
      <c r="F826" s="1">
        <f>IFERROR(__xludf.DUMMYFUNCTION("""COMPUTED_VALUE"""),5046.0)</f>
        <v>5046</v>
      </c>
    </row>
    <row r="827">
      <c r="A827" s="2">
        <f>IFERROR(__xludf.DUMMYFUNCTION("""COMPUTED_VALUE"""),42136.64583333333)</f>
        <v>42136.64583</v>
      </c>
      <c r="B827" s="1">
        <f>IFERROR(__xludf.DUMMYFUNCTION("""COMPUTED_VALUE"""),44050.0)</f>
        <v>44050</v>
      </c>
      <c r="C827" s="1">
        <f>IFERROR(__xludf.DUMMYFUNCTION("""COMPUTED_VALUE"""),44250.0)</f>
        <v>44250</v>
      </c>
      <c r="D827" s="1">
        <f>IFERROR(__xludf.DUMMYFUNCTION("""COMPUTED_VALUE"""),43050.0)</f>
        <v>43050</v>
      </c>
      <c r="E827" s="1">
        <f>IFERROR(__xludf.DUMMYFUNCTION("""COMPUTED_VALUE"""),43150.0)</f>
        <v>43150</v>
      </c>
      <c r="F827" s="1">
        <f>IFERROR(__xludf.DUMMYFUNCTION("""COMPUTED_VALUE"""),11631.0)</f>
        <v>11631</v>
      </c>
    </row>
    <row r="828">
      <c r="A828" s="2">
        <f>IFERROR(__xludf.DUMMYFUNCTION("""COMPUTED_VALUE"""),42137.64583333333)</f>
        <v>42137.64583</v>
      </c>
      <c r="B828" s="1">
        <f>IFERROR(__xludf.DUMMYFUNCTION("""COMPUTED_VALUE"""),43700.0)</f>
        <v>43700</v>
      </c>
      <c r="C828" s="1">
        <f>IFERROR(__xludf.DUMMYFUNCTION("""COMPUTED_VALUE"""),43900.0)</f>
        <v>43900</v>
      </c>
      <c r="D828" s="1">
        <f>IFERROR(__xludf.DUMMYFUNCTION("""COMPUTED_VALUE"""),43350.0)</f>
        <v>43350</v>
      </c>
      <c r="E828" s="1">
        <f>IFERROR(__xludf.DUMMYFUNCTION("""COMPUTED_VALUE"""),43750.0)</f>
        <v>43750</v>
      </c>
      <c r="F828" s="1">
        <f>IFERROR(__xludf.DUMMYFUNCTION("""COMPUTED_VALUE"""),6321.0)</f>
        <v>6321</v>
      </c>
    </row>
    <row r="829">
      <c r="A829" s="2">
        <f>IFERROR(__xludf.DUMMYFUNCTION("""COMPUTED_VALUE"""),42138.64583333333)</f>
        <v>42138.64583</v>
      </c>
      <c r="B829" s="1">
        <f>IFERROR(__xludf.DUMMYFUNCTION("""COMPUTED_VALUE"""),43750.0)</f>
        <v>43750</v>
      </c>
      <c r="C829" s="1">
        <f>IFERROR(__xludf.DUMMYFUNCTION("""COMPUTED_VALUE"""),43900.0)</f>
        <v>43900</v>
      </c>
      <c r="D829" s="1">
        <f>IFERROR(__xludf.DUMMYFUNCTION("""COMPUTED_VALUE"""),43050.0)</f>
        <v>43050</v>
      </c>
      <c r="E829" s="1">
        <f>IFERROR(__xludf.DUMMYFUNCTION("""COMPUTED_VALUE"""),43550.0)</f>
        <v>43550</v>
      </c>
      <c r="F829" s="1">
        <f>IFERROR(__xludf.DUMMYFUNCTION("""COMPUTED_VALUE"""),5588.0)</f>
        <v>5588</v>
      </c>
    </row>
    <row r="830">
      <c r="A830" s="2">
        <f>IFERROR(__xludf.DUMMYFUNCTION("""COMPUTED_VALUE"""),42139.64583333333)</f>
        <v>42139.64583</v>
      </c>
      <c r="B830" s="1">
        <f>IFERROR(__xludf.DUMMYFUNCTION("""COMPUTED_VALUE"""),43600.0)</f>
        <v>43600</v>
      </c>
      <c r="C830" s="1">
        <f>IFERROR(__xludf.DUMMYFUNCTION("""COMPUTED_VALUE"""),43600.0)</f>
        <v>43600</v>
      </c>
      <c r="D830" s="1">
        <f>IFERROR(__xludf.DUMMYFUNCTION("""COMPUTED_VALUE"""),42200.0)</f>
        <v>42200</v>
      </c>
      <c r="E830" s="1">
        <f>IFERROR(__xludf.DUMMYFUNCTION("""COMPUTED_VALUE"""),42750.0)</f>
        <v>42750</v>
      </c>
      <c r="F830" s="1">
        <f>IFERROR(__xludf.DUMMYFUNCTION("""COMPUTED_VALUE"""),12935.0)</f>
        <v>12935</v>
      </c>
    </row>
    <row r="831">
      <c r="A831" s="2">
        <f>IFERROR(__xludf.DUMMYFUNCTION("""COMPUTED_VALUE"""),42142.64583333333)</f>
        <v>42142.64583</v>
      </c>
      <c r="B831" s="1">
        <f>IFERROR(__xludf.DUMMYFUNCTION("""COMPUTED_VALUE"""),42650.0)</f>
        <v>42650</v>
      </c>
      <c r="C831" s="1">
        <f>IFERROR(__xludf.DUMMYFUNCTION("""COMPUTED_VALUE"""),42900.0)</f>
        <v>42900</v>
      </c>
      <c r="D831" s="1">
        <f>IFERROR(__xludf.DUMMYFUNCTION("""COMPUTED_VALUE"""),42000.0)</f>
        <v>42000</v>
      </c>
      <c r="E831" s="1">
        <f>IFERROR(__xludf.DUMMYFUNCTION("""COMPUTED_VALUE"""),42900.0)</f>
        <v>42900</v>
      </c>
      <c r="F831" s="1">
        <f>IFERROR(__xludf.DUMMYFUNCTION("""COMPUTED_VALUE"""),5445.0)</f>
        <v>5445</v>
      </c>
    </row>
    <row r="832">
      <c r="A832" s="2">
        <f>IFERROR(__xludf.DUMMYFUNCTION("""COMPUTED_VALUE"""),42143.64583333333)</f>
        <v>42143.64583</v>
      </c>
      <c r="B832" s="1">
        <f>IFERROR(__xludf.DUMMYFUNCTION("""COMPUTED_VALUE"""),42900.0)</f>
        <v>42900</v>
      </c>
      <c r="C832" s="1">
        <f>IFERROR(__xludf.DUMMYFUNCTION("""COMPUTED_VALUE"""),43800.0)</f>
        <v>43800</v>
      </c>
      <c r="D832" s="1">
        <f>IFERROR(__xludf.DUMMYFUNCTION("""COMPUTED_VALUE"""),42150.0)</f>
        <v>42150</v>
      </c>
      <c r="E832" s="1">
        <f>IFERROR(__xludf.DUMMYFUNCTION("""COMPUTED_VALUE"""),43750.0)</f>
        <v>43750</v>
      </c>
      <c r="F832" s="1">
        <f>IFERROR(__xludf.DUMMYFUNCTION("""COMPUTED_VALUE"""),5572.0)</f>
        <v>5572</v>
      </c>
    </row>
    <row r="833">
      <c r="A833" s="2">
        <f>IFERROR(__xludf.DUMMYFUNCTION("""COMPUTED_VALUE"""),42144.64583333333)</f>
        <v>42144.64583</v>
      </c>
      <c r="B833" s="1">
        <f>IFERROR(__xludf.DUMMYFUNCTION("""COMPUTED_VALUE"""),43150.0)</f>
        <v>43150</v>
      </c>
      <c r="C833" s="1">
        <f>IFERROR(__xludf.DUMMYFUNCTION("""COMPUTED_VALUE"""),43850.0)</f>
        <v>43850</v>
      </c>
      <c r="D833" s="1">
        <f>IFERROR(__xludf.DUMMYFUNCTION("""COMPUTED_VALUE"""),42250.0)</f>
        <v>42250</v>
      </c>
      <c r="E833" s="1">
        <f>IFERROR(__xludf.DUMMYFUNCTION("""COMPUTED_VALUE"""),43000.0)</f>
        <v>43000</v>
      </c>
      <c r="F833" s="1">
        <f>IFERROR(__xludf.DUMMYFUNCTION("""COMPUTED_VALUE"""),10425.0)</f>
        <v>10425</v>
      </c>
    </row>
    <row r="834">
      <c r="A834" s="2">
        <f>IFERROR(__xludf.DUMMYFUNCTION("""COMPUTED_VALUE"""),42145.64583333333)</f>
        <v>42145.64583</v>
      </c>
      <c r="B834" s="1">
        <f>IFERROR(__xludf.DUMMYFUNCTION("""COMPUTED_VALUE"""),42700.0)</f>
        <v>42700</v>
      </c>
      <c r="C834" s="1">
        <f>IFERROR(__xludf.DUMMYFUNCTION("""COMPUTED_VALUE"""),43250.0)</f>
        <v>43250</v>
      </c>
      <c r="D834" s="1">
        <f>IFERROR(__xludf.DUMMYFUNCTION("""COMPUTED_VALUE"""),41700.0)</f>
        <v>41700</v>
      </c>
      <c r="E834" s="1">
        <f>IFERROR(__xludf.DUMMYFUNCTION("""COMPUTED_VALUE"""),42000.0)</f>
        <v>42000</v>
      </c>
      <c r="F834" s="1">
        <f>IFERROR(__xludf.DUMMYFUNCTION("""COMPUTED_VALUE"""),12151.0)</f>
        <v>12151</v>
      </c>
    </row>
    <row r="835">
      <c r="A835" s="2">
        <f>IFERROR(__xludf.DUMMYFUNCTION("""COMPUTED_VALUE"""),42146.64583333333)</f>
        <v>42146.64583</v>
      </c>
      <c r="B835" s="1">
        <f>IFERROR(__xludf.DUMMYFUNCTION("""COMPUTED_VALUE"""),42100.0)</f>
        <v>42100</v>
      </c>
      <c r="C835" s="1">
        <f>IFERROR(__xludf.DUMMYFUNCTION("""COMPUTED_VALUE"""),43000.0)</f>
        <v>43000</v>
      </c>
      <c r="D835" s="1">
        <f>IFERROR(__xludf.DUMMYFUNCTION("""COMPUTED_VALUE"""),42100.0)</f>
        <v>42100</v>
      </c>
      <c r="E835" s="1">
        <f>IFERROR(__xludf.DUMMYFUNCTION("""COMPUTED_VALUE"""),43000.0)</f>
        <v>43000</v>
      </c>
      <c r="F835" s="1">
        <f>IFERROR(__xludf.DUMMYFUNCTION("""COMPUTED_VALUE"""),3900.0)</f>
        <v>3900</v>
      </c>
    </row>
    <row r="836">
      <c r="A836" s="2">
        <f>IFERROR(__xludf.DUMMYFUNCTION("""COMPUTED_VALUE"""),42150.64583333333)</f>
        <v>42150.64583</v>
      </c>
      <c r="B836" s="1">
        <f>IFERROR(__xludf.DUMMYFUNCTION("""COMPUTED_VALUE"""),43400.0)</f>
        <v>43400</v>
      </c>
      <c r="C836" s="1">
        <f>IFERROR(__xludf.DUMMYFUNCTION("""COMPUTED_VALUE"""),43400.0)</f>
        <v>43400</v>
      </c>
      <c r="D836" s="1">
        <f>IFERROR(__xludf.DUMMYFUNCTION("""COMPUTED_VALUE"""),42150.0)</f>
        <v>42150</v>
      </c>
      <c r="E836" s="1">
        <f>IFERROR(__xludf.DUMMYFUNCTION("""COMPUTED_VALUE"""),42800.0)</f>
        <v>42800</v>
      </c>
      <c r="F836" s="1">
        <f>IFERROR(__xludf.DUMMYFUNCTION("""COMPUTED_VALUE"""),4961.0)</f>
        <v>4961</v>
      </c>
    </row>
    <row r="837">
      <c r="A837" s="2">
        <f>IFERROR(__xludf.DUMMYFUNCTION("""COMPUTED_VALUE"""),42151.64583333333)</f>
        <v>42151.64583</v>
      </c>
      <c r="B837" s="1">
        <f>IFERROR(__xludf.DUMMYFUNCTION("""COMPUTED_VALUE"""),42600.0)</f>
        <v>42600</v>
      </c>
      <c r="C837" s="1">
        <f>IFERROR(__xludf.DUMMYFUNCTION("""COMPUTED_VALUE"""),42600.0)</f>
        <v>42600</v>
      </c>
      <c r="D837" s="1">
        <f>IFERROR(__xludf.DUMMYFUNCTION("""COMPUTED_VALUE"""),41850.0)</f>
        <v>41850</v>
      </c>
      <c r="E837" s="1">
        <f>IFERROR(__xludf.DUMMYFUNCTION("""COMPUTED_VALUE"""),42000.0)</f>
        <v>42000</v>
      </c>
      <c r="F837" s="1">
        <f>IFERROR(__xludf.DUMMYFUNCTION("""COMPUTED_VALUE"""),5563.0)</f>
        <v>5563</v>
      </c>
    </row>
    <row r="838">
      <c r="A838" s="2">
        <f>IFERROR(__xludf.DUMMYFUNCTION("""COMPUTED_VALUE"""),42152.64583333333)</f>
        <v>42152.64583</v>
      </c>
      <c r="B838" s="1">
        <f>IFERROR(__xludf.DUMMYFUNCTION("""COMPUTED_VALUE"""),42000.0)</f>
        <v>42000</v>
      </c>
      <c r="C838" s="1">
        <f>IFERROR(__xludf.DUMMYFUNCTION("""COMPUTED_VALUE"""),42000.0)</f>
        <v>42000</v>
      </c>
      <c r="D838" s="1">
        <f>IFERROR(__xludf.DUMMYFUNCTION("""COMPUTED_VALUE"""),41150.0)</f>
        <v>41150</v>
      </c>
      <c r="E838" s="1">
        <f>IFERROR(__xludf.DUMMYFUNCTION("""COMPUTED_VALUE"""),41150.0)</f>
        <v>41150</v>
      </c>
      <c r="F838" s="1">
        <f>IFERROR(__xludf.DUMMYFUNCTION("""COMPUTED_VALUE"""),8885.0)</f>
        <v>8885</v>
      </c>
    </row>
    <row r="839">
      <c r="A839" s="2">
        <f>IFERROR(__xludf.DUMMYFUNCTION("""COMPUTED_VALUE"""),42153.64583333333)</f>
        <v>42153.64583</v>
      </c>
      <c r="B839" s="1">
        <f>IFERROR(__xludf.DUMMYFUNCTION("""COMPUTED_VALUE"""),41150.0)</f>
        <v>41150</v>
      </c>
      <c r="C839" s="1">
        <f>IFERROR(__xludf.DUMMYFUNCTION("""COMPUTED_VALUE"""),41350.0)</f>
        <v>41350</v>
      </c>
      <c r="D839" s="1">
        <f>IFERROR(__xludf.DUMMYFUNCTION("""COMPUTED_VALUE"""),40600.0)</f>
        <v>40600</v>
      </c>
      <c r="E839" s="1">
        <f>IFERROR(__xludf.DUMMYFUNCTION("""COMPUTED_VALUE"""),40750.0)</f>
        <v>40750</v>
      </c>
      <c r="F839" s="1">
        <f>IFERROR(__xludf.DUMMYFUNCTION("""COMPUTED_VALUE"""),8642.0)</f>
        <v>8642</v>
      </c>
    </row>
    <row r="840">
      <c r="A840" s="2">
        <f>IFERROR(__xludf.DUMMYFUNCTION("""COMPUTED_VALUE"""),42156.64583333333)</f>
        <v>42156.64583</v>
      </c>
      <c r="B840" s="1">
        <f>IFERROR(__xludf.DUMMYFUNCTION("""COMPUTED_VALUE"""),40900.0)</f>
        <v>40900</v>
      </c>
      <c r="C840" s="1">
        <f>IFERROR(__xludf.DUMMYFUNCTION("""COMPUTED_VALUE"""),41350.0)</f>
        <v>41350</v>
      </c>
      <c r="D840" s="1">
        <f>IFERROR(__xludf.DUMMYFUNCTION("""COMPUTED_VALUE"""),40700.0)</f>
        <v>40700</v>
      </c>
      <c r="E840" s="1">
        <f>IFERROR(__xludf.DUMMYFUNCTION("""COMPUTED_VALUE"""),41000.0)</f>
        <v>41000</v>
      </c>
      <c r="F840" s="1">
        <f>IFERROR(__xludf.DUMMYFUNCTION("""COMPUTED_VALUE"""),4509.0)</f>
        <v>4509</v>
      </c>
    </row>
    <row r="841">
      <c r="A841" s="2">
        <f>IFERROR(__xludf.DUMMYFUNCTION("""COMPUTED_VALUE"""),42157.64583333333)</f>
        <v>42157.64583</v>
      </c>
      <c r="B841" s="1">
        <f>IFERROR(__xludf.DUMMYFUNCTION("""COMPUTED_VALUE"""),41000.0)</f>
        <v>41000</v>
      </c>
      <c r="C841" s="1">
        <f>IFERROR(__xludf.DUMMYFUNCTION("""COMPUTED_VALUE"""),41300.0)</f>
        <v>41300</v>
      </c>
      <c r="D841" s="1">
        <f>IFERROR(__xludf.DUMMYFUNCTION("""COMPUTED_VALUE"""),40550.0)</f>
        <v>40550</v>
      </c>
      <c r="E841" s="1">
        <f>IFERROR(__xludf.DUMMYFUNCTION("""COMPUTED_VALUE"""),40650.0)</f>
        <v>40650</v>
      </c>
      <c r="F841" s="1">
        <f>IFERROR(__xludf.DUMMYFUNCTION("""COMPUTED_VALUE"""),2169.0)</f>
        <v>2169</v>
      </c>
    </row>
    <row r="842">
      <c r="A842" s="2">
        <f>IFERROR(__xludf.DUMMYFUNCTION("""COMPUTED_VALUE"""),42158.64583333333)</f>
        <v>42158.64583</v>
      </c>
      <c r="B842" s="1">
        <f>IFERROR(__xludf.DUMMYFUNCTION("""COMPUTED_VALUE"""),40950.0)</f>
        <v>40950</v>
      </c>
      <c r="C842" s="1">
        <f>IFERROR(__xludf.DUMMYFUNCTION("""COMPUTED_VALUE"""),41200.0)</f>
        <v>41200</v>
      </c>
      <c r="D842" s="1">
        <f>IFERROR(__xludf.DUMMYFUNCTION("""COMPUTED_VALUE"""),40600.0)</f>
        <v>40600</v>
      </c>
      <c r="E842" s="1">
        <f>IFERROR(__xludf.DUMMYFUNCTION("""COMPUTED_VALUE"""),41100.0)</f>
        <v>41100</v>
      </c>
      <c r="F842" s="1">
        <f>IFERROR(__xludf.DUMMYFUNCTION("""COMPUTED_VALUE"""),3719.0)</f>
        <v>3719</v>
      </c>
    </row>
    <row r="843">
      <c r="A843" s="2">
        <f>IFERROR(__xludf.DUMMYFUNCTION("""COMPUTED_VALUE"""),42159.64583333333)</f>
        <v>42159.64583</v>
      </c>
      <c r="B843" s="1">
        <f>IFERROR(__xludf.DUMMYFUNCTION("""COMPUTED_VALUE"""),41150.0)</f>
        <v>41150</v>
      </c>
      <c r="C843" s="1">
        <f>IFERROR(__xludf.DUMMYFUNCTION("""COMPUTED_VALUE"""),41200.0)</f>
        <v>41200</v>
      </c>
      <c r="D843" s="1">
        <f>IFERROR(__xludf.DUMMYFUNCTION("""COMPUTED_VALUE"""),40000.0)</f>
        <v>40000</v>
      </c>
      <c r="E843" s="1">
        <f>IFERROR(__xludf.DUMMYFUNCTION("""COMPUTED_VALUE"""),40450.0)</f>
        <v>40450</v>
      </c>
      <c r="F843" s="1">
        <f>IFERROR(__xludf.DUMMYFUNCTION("""COMPUTED_VALUE"""),3625.0)</f>
        <v>3625</v>
      </c>
    </row>
    <row r="844">
      <c r="A844" s="2">
        <f>IFERROR(__xludf.DUMMYFUNCTION("""COMPUTED_VALUE"""),42160.64583333333)</f>
        <v>42160.64583</v>
      </c>
      <c r="B844" s="1">
        <f>IFERROR(__xludf.DUMMYFUNCTION("""COMPUTED_VALUE"""),40950.0)</f>
        <v>40950</v>
      </c>
      <c r="C844" s="1">
        <f>IFERROR(__xludf.DUMMYFUNCTION("""COMPUTED_VALUE"""),40950.0)</f>
        <v>40950</v>
      </c>
      <c r="D844" s="1">
        <f>IFERROR(__xludf.DUMMYFUNCTION("""COMPUTED_VALUE"""),39900.0)</f>
        <v>39900</v>
      </c>
      <c r="E844" s="1">
        <f>IFERROR(__xludf.DUMMYFUNCTION("""COMPUTED_VALUE"""),40250.0)</f>
        <v>40250</v>
      </c>
      <c r="F844" s="1">
        <f>IFERROR(__xludf.DUMMYFUNCTION("""COMPUTED_VALUE"""),4319.0)</f>
        <v>4319</v>
      </c>
    </row>
    <row r="845">
      <c r="A845" s="2">
        <f>IFERROR(__xludf.DUMMYFUNCTION("""COMPUTED_VALUE"""),42163.64583333333)</f>
        <v>42163.64583</v>
      </c>
      <c r="B845" s="1">
        <f>IFERROR(__xludf.DUMMYFUNCTION("""COMPUTED_VALUE"""),40750.0)</f>
        <v>40750</v>
      </c>
      <c r="C845" s="1">
        <f>IFERROR(__xludf.DUMMYFUNCTION("""COMPUTED_VALUE"""),41200.0)</f>
        <v>41200</v>
      </c>
      <c r="D845" s="1">
        <f>IFERROR(__xludf.DUMMYFUNCTION("""COMPUTED_VALUE"""),40200.0)</f>
        <v>40200</v>
      </c>
      <c r="E845" s="1">
        <f>IFERROR(__xludf.DUMMYFUNCTION("""COMPUTED_VALUE"""),40850.0)</f>
        <v>40850</v>
      </c>
      <c r="F845" s="1">
        <f>IFERROR(__xludf.DUMMYFUNCTION("""COMPUTED_VALUE"""),11128.0)</f>
        <v>11128</v>
      </c>
    </row>
    <row r="846">
      <c r="A846" s="2">
        <f>IFERROR(__xludf.DUMMYFUNCTION("""COMPUTED_VALUE"""),42164.64583333333)</f>
        <v>42164.64583</v>
      </c>
      <c r="B846" s="1">
        <f>IFERROR(__xludf.DUMMYFUNCTION("""COMPUTED_VALUE"""),40850.0)</f>
        <v>40850</v>
      </c>
      <c r="C846" s="1">
        <f>IFERROR(__xludf.DUMMYFUNCTION("""COMPUTED_VALUE"""),41750.0)</f>
        <v>41750</v>
      </c>
      <c r="D846" s="1">
        <f>IFERROR(__xludf.DUMMYFUNCTION("""COMPUTED_VALUE"""),40850.0)</f>
        <v>40850</v>
      </c>
      <c r="E846" s="1">
        <f>IFERROR(__xludf.DUMMYFUNCTION("""COMPUTED_VALUE"""),41000.0)</f>
        <v>41000</v>
      </c>
      <c r="F846" s="1">
        <f>IFERROR(__xludf.DUMMYFUNCTION("""COMPUTED_VALUE"""),7120.0)</f>
        <v>7120</v>
      </c>
    </row>
    <row r="847">
      <c r="A847" s="2">
        <f>IFERROR(__xludf.DUMMYFUNCTION("""COMPUTED_VALUE"""),42165.64583333333)</f>
        <v>42165.64583</v>
      </c>
      <c r="B847" s="1">
        <f>IFERROR(__xludf.DUMMYFUNCTION("""COMPUTED_VALUE"""),41500.0)</f>
        <v>41500</v>
      </c>
      <c r="C847" s="1">
        <f>IFERROR(__xludf.DUMMYFUNCTION("""COMPUTED_VALUE"""),41850.0)</f>
        <v>41850</v>
      </c>
      <c r="D847" s="1">
        <f>IFERROR(__xludf.DUMMYFUNCTION("""COMPUTED_VALUE"""),41150.0)</f>
        <v>41150</v>
      </c>
      <c r="E847" s="1">
        <f>IFERROR(__xludf.DUMMYFUNCTION("""COMPUTED_VALUE"""),41700.0)</f>
        <v>41700</v>
      </c>
      <c r="F847" s="1">
        <f>IFERROR(__xludf.DUMMYFUNCTION("""COMPUTED_VALUE"""),11994.0)</f>
        <v>11994</v>
      </c>
    </row>
    <row r="848">
      <c r="A848" s="2">
        <f>IFERROR(__xludf.DUMMYFUNCTION("""COMPUTED_VALUE"""),42166.64583333333)</f>
        <v>42166.64583</v>
      </c>
      <c r="B848" s="1">
        <f>IFERROR(__xludf.DUMMYFUNCTION("""COMPUTED_VALUE"""),42050.0)</f>
        <v>42050</v>
      </c>
      <c r="C848" s="1">
        <f>IFERROR(__xludf.DUMMYFUNCTION("""COMPUTED_VALUE"""),42050.0)</f>
        <v>42050</v>
      </c>
      <c r="D848" s="1">
        <f>IFERROR(__xludf.DUMMYFUNCTION("""COMPUTED_VALUE"""),41000.0)</f>
        <v>41000</v>
      </c>
      <c r="E848" s="1">
        <f>IFERROR(__xludf.DUMMYFUNCTION("""COMPUTED_VALUE"""),41700.0)</f>
        <v>41700</v>
      </c>
      <c r="F848" s="1">
        <f>IFERROR(__xludf.DUMMYFUNCTION("""COMPUTED_VALUE"""),8495.0)</f>
        <v>8495</v>
      </c>
    </row>
    <row r="849">
      <c r="A849" s="2">
        <f>IFERROR(__xludf.DUMMYFUNCTION("""COMPUTED_VALUE"""),42167.64583333333)</f>
        <v>42167.64583</v>
      </c>
      <c r="B849" s="1">
        <f>IFERROR(__xludf.DUMMYFUNCTION("""COMPUTED_VALUE"""),41700.0)</f>
        <v>41700</v>
      </c>
      <c r="C849" s="1">
        <f>IFERROR(__xludf.DUMMYFUNCTION("""COMPUTED_VALUE"""),42000.0)</f>
        <v>42000</v>
      </c>
      <c r="D849" s="1">
        <f>IFERROR(__xludf.DUMMYFUNCTION("""COMPUTED_VALUE"""),41250.0)</f>
        <v>41250</v>
      </c>
      <c r="E849" s="1">
        <f>IFERROR(__xludf.DUMMYFUNCTION("""COMPUTED_VALUE"""),41350.0)</f>
        <v>41350</v>
      </c>
      <c r="F849" s="1">
        <f>IFERROR(__xludf.DUMMYFUNCTION("""COMPUTED_VALUE"""),2361.0)</f>
        <v>2361</v>
      </c>
    </row>
    <row r="850">
      <c r="A850" s="2">
        <f>IFERROR(__xludf.DUMMYFUNCTION("""COMPUTED_VALUE"""),42170.64583333333)</f>
        <v>42170.64583</v>
      </c>
      <c r="B850" s="1">
        <f>IFERROR(__xludf.DUMMYFUNCTION("""COMPUTED_VALUE"""),41550.0)</f>
        <v>41550</v>
      </c>
      <c r="C850" s="1">
        <f>IFERROR(__xludf.DUMMYFUNCTION("""COMPUTED_VALUE"""),41950.0)</f>
        <v>41950</v>
      </c>
      <c r="D850" s="1">
        <f>IFERROR(__xludf.DUMMYFUNCTION("""COMPUTED_VALUE"""),41350.0)</f>
        <v>41350</v>
      </c>
      <c r="E850" s="1">
        <f>IFERROR(__xludf.DUMMYFUNCTION("""COMPUTED_VALUE"""),41700.0)</f>
        <v>41700</v>
      </c>
      <c r="F850" s="1">
        <f>IFERROR(__xludf.DUMMYFUNCTION("""COMPUTED_VALUE"""),6448.0)</f>
        <v>6448</v>
      </c>
    </row>
    <row r="851">
      <c r="A851" s="2">
        <f>IFERROR(__xludf.DUMMYFUNCTION("""COMPUTED_VALUE"""),42171.64583333333)</f>
        <v>42171.64583</v>
      </c>
      <c r="B851" s="1">
        <f>IFERROR(__xludf.DUMMYFUNCTION("""COMPUTED_VALUE"""),41700.0)</f>
        <v>41700</v>
      </c>
      <c r="C851" s="1">
        <f>IFERROR(__xludf.DUMMYFUNCTION("""COMPUTED_VALUE"""),41850.0)</f>
        <v>41850</v>
      </c>
      <c r="D851" s="1">
        <f>IFERROR(__xludf.DUMMYFUNCTION("""COMPUTED_VALUE"""),40950.0)</f>
        <v>40950</v>
      </c>
      <c r="E851" s="1">
        <f>IFERROR(__xludf.DUMMYFUNCTION("""COMPUTED_VALUE"""),41450.0)</f>
        <v>41450</v>
      </c>
      <c r="F851" s="1">
        <f>IFERROR(__xludf.DUMMYFUNCTION("""COMPUTED_VALUE"""),5652.0)</f>
        <v>5652</v>
      </c>
    </row>
    <row r="852">
      <c r="A852" s="2">
        <f>IFERROR(__xludf.DUMMYFUNCTION("""COMPUTED_VALUE"""),42172.64583333333)</f>
        <v>42172.64583</v>
      </c>
      <c r="B852" s="1">
        <f>IFERROR(__xludf.DUMMYFUNCTION("""COMPUTED_VALUE"""),41600.0)</f>
        <v>41600</v>
      </c>
      <c r="C852" s="1">
        <f>IFERROR(__xludf.DUMMYFUNCTION("""COMPUTED_VALUE"""),41600.0)</f>
        <v>41600</v>
      </c>
      <c r="D852" s="1">
        <f>IFERROR(__xludf.DUMMYFUNCTION("""COMPUTED_VALUE"""),41000.0)</f>
        <v>41000</v>
      </c>
      <c r="E852" s="1">
        <f>IFERROR(__xludf.DUMMYFUNCTION("""COMPUTED_VALUE"""),41550.0)</f>
        <v>41550</v>
      </c>
      <c r="F852" s="1">
        <f>IFERROR(__xludf.DUMMYFUNCTION("""COMPUTED_VALUE"""),3040.0)</f>
        <v>3040</v>
      </c>
    </row>
    <row r="853">
      <c r="A853" s="2">
        <f>IFERROR(__xludf.DUMMYFUNCTION("""COMPUTED_VALUE"""),42173.64583333333)</f>
        <v>42173.64583</v>
      </c>
      <c r="B853" s="1">
        <f>IFERROR(__xludf.DUMMYFUNCTION("""COMPUTED_VALUE"""),41650.0)</f>
        <v>41650</v>
      </c>
      <c r="C853" s="1">
        <f>IFERROR(__xludf.DUMMYFUNCTION("""COMPUTED_VALUE"""),43350.0)</f>
        <v>43350</v>
      </c>
      <c r="D853" s="1">
        <f>IFERROR(__xludf.DUMMYFUNCTION("""COMPUTED_VALUE"""),41400.0)</f>
        <v>41400</v>
      </c>
      <c r="E853" s="1">
        <f>IFERROR(__xludf.DUMMYFUNCTION("""COMPUTED_VALUE"""),42900.0)</f>
        <v>42900</v>
      </c>
      <c r="F853" s="1">
        <f>IFERROR(__xludf.DUMMYFUNCTION("""COMPUTED_VALUE"""),11676.0)</f>
        <v>11676</v>
      </c>
    </row>
    <row r="854">
      <c r="A854" s="2">
        <f>IFERROR(__xludf.DUMMYFUNCTION("""COMPUTED_VALUE"""),42174.64583333333)</f>
        <v>42174.64583</v>
      </c>
      <c r="B854" s="1">
        <f>IFERROR(__xludf.DUMMYFUNCTION("""COMPUTED_VALUE"""),43350.0)</f>
        <v>43350</v>
      </c>
      <c r="C854" s="1">
        <f>IFERROR(__xludf.DUMMYFUNCTION("""COMPUTED_VALUE"""),43700.0)</f>
        <v>43700</v>
      </c>
      <c r="D854" s="1">
        <f>IFERROR(__xludf.DUMMYFUNCTION("""COMPUTED_VALUE"""),42900.0)</f>
        <v>42900</v>
      </c>
      <c r="E854" s="1">
        <f>IFERROR(__xludf.DUMMYFUNCTION("""COMPUTED_VALUE"""),43500.0)</f>
        <v>43500</v>
      </c>
      <c r="F854" s="1">
        <f>IFERROR(__xludf.DUMMYFUNCTION("""COMPUTED_VALUE"""),9143.0)</f>
        <v>9143</v>
      </c>
    </row>
    <row r="855">
      <c r="A855" s="2">
        <f>IFERROR(__xludf.DUMMYFUNCTION("""COMPUTED_VALUE"""),42177.64583333333)</f>
        <v>42177.64583</v>
      </c>
      <c r="B855" s="1">
        <f>IFERROR(__xludf.DUMMYFUNCTION("""COMPUTED_VALUE"""),43500.0)</f>
        <v>43500</v>
      </c>
      <c r="C855" s="1">
        <f>IFERROR(__xludf.DUMMYFUNCTION("""COMPUTED_VALUE"""),43900.0)</f>
        <v>43900</v>
      </c>
      <c r="D855" s="1">
        <f>IFERROR(__xludf.DUMMYFUNCTION("""COMPUTED_VALUE"""),43100.0)</f>
        <v>43100</v>
      </c>
      <c r="E855" s="1">
        <f>IFERROR(__xludf.DUMMYFUNCTION("""COMPUTED_VALUE"""),43150.0)</f>
        <v>43150</v>
      </c>
      <c r="F855" s="1">
        <f>IFERROR(__xludf.DUMMYFUNCTION("""COMPUTED_VALUE"""),5473.0)</f>
        <v>5473</v>
      </c>
    </row>
    <row r="856">
      <c r="A856" s="2">
        <f>IFERROR(__xludf.DUMMYFUNCTION("""COMPUTED_VALUE"""),42178.64583333333)</f>
        <v>42178.64583</v>
      </c>
      <c r="B856" s="1">
        <f>IFERROR(__xludf.DUMMYFUNCTION("""COMPUTED_VALUE"""),43600.0)</f>
        <v>43600</v>
      </c>
      <c r="C856" s="1">
        <f>IFERROR(__xludf.DUMMYFUNCTION("""COMPUTED_VALUE"""),43600.0)</f>
        <v>43600</v>
      </c>
      <c r="D856" s="1">
        <f>IFERROR(__xludf.DUMMYFUNCTION("""COMPUTED_VALUE"""),43000.0)</f>
        <v>43000</v>
      </c>
      <c r="E856" s="1">
        <f>IFERROR(__xludf.DUMMYFUNCTION("""COMPUTED_VALUE"""),43300.0)</f>
        <v>43300</v>
      </c>
      <c r="F856" s="1">
        <f>IFERROR(__xludf.DUMMYFUNCTION("""COMPUTED_VALUE"""),1967.0)</f>
        <v>1967</v>
      </c>
    </row>
    <row r="857">
      <c r="A857" s="2">
        <f>IFERROR(__xludf.DUMMYFUNCTION("""COMPUTED_VALUE"""),42179.64583333333)</f>
        <v>42179.64583</v>
      </c>
      <c r="B857" s="1">
        <f>IFERROR(__xludf.DUMMYFUNCTION("""COMPUTED_VALUE"""),43500.0)</f>
        <v>43500</v>
      </c>
      <c r="C857" s="1">
        <f>IFERROR(__xludf.DUMMYFUNCTION("""COMPUTED_VALUE"""),44400.0)</f>
        <v>44400</v>
      </c>
      <c r="D857" s="1">
        <f>IFERROR(__xludf.DUMMYFUNCTION("""COMPUTED_VALUE"""),43500.0)</f>
        <v>43500</v>
      </c>
      <c r="E857" s="1">
        <f>IFERROR(__xludf.DUMMYFUNCTION("""COMPUTED_VALUE"""),44350.0)</f>
        <v>44350</v>
      </c>
      <c r="F857" s="1">
        <f>IFERROR(__xludf.DUMMYFUNCTION("""COMPUTED_VALUE"""),11552.0)</f>
        <v>11552</v>
      </c>
    </row>
    <row r="858">
      <c r="A858" s="2">
        <f>IFERROR(__xludf.DUMMYFUNCTION("""COMPUTED_VALUE"""),42180.64583333333)</f>
        <v>42180.64583</v>
      </c>
      <c r="B858" s="1">
        <f>IFERROR(__xludf.DUMMYFUNCTION("""COMPUTED_VALUE"""),44650.0)</f>
        <v>44650</v>
      </c>
      <c r="C858" s="1">
        <f>IFERROR(__xludf.DUMMYFUNCTION("""COMPUTED_VALUE"""),44750.0)</f>
        <v>44750</v>
      </c>
      <c r="D858" s="1">
        <f>IFERROR(__xludf.DUMMYFUNCTION("""COMPUTED_VALUE"""),44000.0)</f>
        <v>44000</v>
      </c>
      <c r="E858" s="1">
        <f>IFERROR(__xludf.DUMMYFUNCTION("""COMPUTED_VALUE"""),44300.0)</f>
        <v>44300</v>
      </c>
      <c r="F858" s="1">
        <f>IFERROR(__xludf.DUMMYFUNCTION("""COMPUTED_VALUE"""),8040.0)</f>
        <v>8040</v>
      </c>
    </row>
    <row r="859">
      <c r="A859" s="2">
        <f>IFERROR(__xludf.DUMMYFUNCTION("""COMPUTED_VALUE"""),42181.64583333333)</f>
        <v>42181.64583</v>
      </c>
      <c r="B859" s="1">
        <f>IFERROR(__xludf.DUMMYFUNCTION("""COMPUTED_VALUE"""),44300.0)</f>
        <v>44300</v>
      </c>
      <c r="C859" s="1">
        <f>IFERROR(__xludf.DUMMYFUNCTION("""COMPUTED_VALUE"""),44450.0)</f>
        <v>44450</v>
      </c>
      <c r="D859" s="1">
        <f>IFERROR(__xludf.DUMMYFUNCTION("""COMPUTED_VALUE"""),43750.0)</f>
        <v>43750</v>
      </c>
      <c r="E859" s="1">
        <f>IFERROR(__xludf.DUMMYFUNCTION("""COMPUTED_VALUE"""),44000.0)</f>
        <v>44000</v>
      </c>
      <c r="F859" s="1">
        <f>IFERROR(__xludf.DUMMYFUNCTION("""COMPUTED_VALUE"""),7157.0)</f>
        <v>7157</v>
      </c>
    </row>
    <row r="860">
      <c r="A860" s="2">
        <f>IFERROR(__xludf.DUMMYFUNCTION("""COMPUTED_VALUE"""),42184.64583333333)</f>
        <v>42184.64583</v>
      </c>
      <c r="B860" s="1">
        <f>IFERROR(__xludf.DUMMYFUNCTION("""COMPUTED_VALUE"""),43000.0)</f>
        <v>43000</v>
      </c>
      <c r="C860" s="1">
        <f>IFERROR(__xludf.DUMMYFUNCTION("""COMPUTED_VALUE"""),43000.0)</f>
        <v>43000</v>
      </c>
      <c r="D860" s="1">
        <f>IFERROR(__xludf.DUMMYFUNCTION("""COMPUTED_VALUE"""),41150.0)</f>
        <v>41150</v>
      </c>
      <c r="E860" s="1">
        <f>IFERROR(__xludf.DUMMYFUNCTION("""COMPUTED_VALUE"""),41350.0)</f>
        <v>41350</v>
      </c>
      <c r="F860" s="1">
        <f>IFERROR(__xludf.DUMMYFUNCTION("""COMPUTED_VALUE"""),11517.0)</f>
        <v>11517</v>
      </c>
    </row>
    <row r="861">
      <c r="A861" s="2">
        <f>IFERROR(__xludf.DUMMYFUNCTION("""COMPUTED_VALUE"""),42185.64583333333)</f>
        <v>42185.64583</v>
      </c>
      <c r="B861" s="1">
        <f>IFERROR(__xludf.DUMMYFUNCTION("""COMPUTED_VALUE"""),40800.0)</f>
        <v>40800</v>
      </c>
      <c r="C861" s="1">
        <f>IFERROR(__xludf.DUMMYFUNCTION("""COMPUTED_VALUE"""),41900.0)</f>
        <v>41900</v>
      </c>
      <c r="D861" s="1">
        <f>IFERROR(__xludf.DUMMYFUNCTION("""COMPUTED_VALUE"""),39900.0)</f>
        <v>39900</v>
      </c>
      <c r="E861" s="1">
        <f>IFERROR(__xludf.DUMMYFUNCTION("""COMPUTED_VALUE"""),41750.0)</f>
        <v>41750</v>
      </c>
      <c r="F861" s="1">
        <f>IFERROR(__xludf.DUMMYFUNCTION("""COMPUTED_VALUE"""),8355.0)</f>
        <v>8355</v>
      </c>
    </row>
    <row r="862">
      <c r="A862" s="2">
        <f>IFERROR(__xludf.DUMMYFUNCTION("""COMPUTED_VALUE"""),42186.64583333333)</f>
        <v>42186.64583</v>
      </c>
      <c r="B862" s="1">
        <f>IFERROR(__xludf.DUMMYFUNCTION("""COMPUTED_VALUE"""),41750.0)</f>
        <v>41750</v>
      </c>
      <c r="C862" s="1">
        <f>IFERROR(__xludf.DUMMYFUNCTION("""COMPUTED_VALUE"""),41950.0)</f>
        <v>41950</v>
      </c>
      <c r="D862" s="1">
        <f>IFERROR(__xludf.DUMMYFUNCTION("""COMPUTED_VALUE"""),41000.0)</f>
        <v>41000</v>
      </c>
      <c r="E862" s="1">
        <f>IFERROR(__xludf.DUMMYFUNCTION("""COMPUTED_VALUE"""),41900.0)</f>
        <v>41900</v>
      </c>
      <c r="F862" s="1">
        <f>IFERROR(__xludf.DUMMYFUNCTION("""COMPUTED_VALUE"""),3865.0)</f>
        <v>3865</v>
      </c>
    </row>
    <row r="863">
      <c r="A863" s="2">
        <f>IFERROR(__xludf.DUMMYFUNCTION("""COMPUTED_VALUE"""),42187.64583333333)</f>
        <v>42187.64583</v>
      </c>
      <c r="B863" s="1">
        <f>IFERROR(__xludf.DUMMYFUNCTION("""COMPUTED_VALUE"""),41850.0)</f>
        <v>41850</v>
      </c>
      <c r="C863" s="1">
        <f>IFERROR(__xludf.DUMMYFUNCTION("""COMPUTED_VALUE"""),41900.0)</f>
        <v>41900</v>
      </c>
      <c r="D863" s="1">
        <f>IFERROR(__xludf.DUMMYFUNCTION("""COMPUTED_VALUE"""),41100.0)</f>
        <v>41100</v>
      </c>
      <c r="E863" s="1">
        <f>IFERROR(__xludf.DUMMYFUNCTION("""COMPUTED_VALUE"""),41100.0)</f>
        <v>41100</v>
      </c>
      <c r="F863" s="1">
        <f>IFERROR(__xludf.DUMMYFUNCTION("""COMPUTED_VALUE"""),7417.0)</f>
        <v>7417</v>
      </c>
    </row>
    <row r="864">
      <c r="A864" s="2">
        <f>IFERROR(__xludf.DUMMYFUNCTION("""COMPUTED_VALUE"""),42188.64583333333)</f>
        <v>42188.64583</v>
      </c>
      <c r="B864" s="1">
        <f>IFERROR(__xludf.DUMMYFUNCTION("""COMPUTED_VALUE"""),41450.0)</f>
        <v>41450</v>
      </c>
      <c r="C864" s="1">
        <f>IFERROR(__xludf.DUMMYFUNCTION("""COMPUTED_VALUE"""),41900.0)</f>
        <v>41900</v>
      </c>
      <c r="D864" s="1">
        <f>IFERROR(__xludf.DUMMYFUNCTION("""COMPUTED_VALUE"""),40300.0)</f>
        <v>40300</v>
      </c>
      <c r="E864" s="1">
        <f>IFERROR(__xludf.DUMMYFUNCTION("""COMPUTED_VALUE"""),40800.0)</f>
        <v>40800</v>
      </c>
      <c r="F864" s="1">
        <f>IFERROR(__xludf.DUMMYFUNCTION("""COMPUTED_VALUE"""),11531.0)</f>
        <v>11531</v>
      </c>
    </row>
    <row r="865">
      <c r="A865" s="2">
        <f>IFERROR(__xludf.DUMMYFUNCTION("""COMPUTED_VALUE"""),42191.64583333333)</f>
        <v>42191.64583</v>
      </c>
      <c r="B865" s="1">
        <f>IFERROR(__xludf.DUMMYFUNCTION("""COMPUTED_VALUE"""),40650.0)</f>
        <v>40650</v>
      </c>
      <c r="C865" s="1">
        <f>IFERROR(__xludf.DUMMYFUNCTION("""COMPUTED_VALUE"""),40800.0)</f>
        <v>40800</v>
      </c>
      <c r="D865" s="1">
        <f>IFERROR(__xludf.DUMMYFUNCTION("""COMPUTED_VALUE"""),38800.0)</f>
        <v>38800</v>
      </c>
      <c r="E865" s="1">
        <f>IFERROR(__xludf.DUMMYFUNCTION("""COMPUTED_VALUE"""),39300.0)</f>
        <v>39300</v>
      </c>
      <c r="F865" s="1">
        <f>IFERROR(__xludf.DUMMYFUNCTION("""COMPUTED_VALUE"""),20054.0)</f>
        <v>20054</v>
      </c>
    </row>
    <row r="866">
      <c r="A866" s="2">
        <f>IFERROR(__xludf.DUMMYFUNCTION("""COMPUTED_VALUE"""),42192.64583333333)</f>
        <v>42192.64583</v>
      </c>
      <c r="B866" s="1">
        <f>IFERROR(__xludf.DUMMYFUNCTION("""COMPUTED_VALUE"""),39300.0)</f>
        <v>39300</v>
      </c>
      <c r="C866" s="1">
        <f>IFERROR(__xludf.DUMMYFUNCTION("""COMPUTED_VALUE"""),39400.0)</f>
        <v>39400</v>
      </c>
      <c r="D866" s="1">
        <f>IFERROR(__xludf.DUMMYFUNCTION("""COMPUTED_VALUE"""),38350.0)</f>
        <v>38350</v>
      </c>
      <c r="E866" s="1">
        <f>IFERROR(__xludf.DUMMYFUNCTION("""COMPUTED_VALUE"""),39150.0)</f>
        <v>39150</v>
      </c>
      <c r="F866" s="1">
        <f>IFERROR(__xludf.DUMMYFUNCTION("""COMPUTED_VALUE"""),5995.0)</f>
        <v>5995</v>
      </c>
    </row>
    <row r="867">
      <c r="A867" s="2">
        <f>IFERROR(__xludf.DUMMYFUNCTION("""COMPUTED_VALUE"""),42193.64583333333)</f>
        <v>42193.64583</v>
      </c>
      <c r="B867" s="1">
        <f>IFERROR(__xludf.DUMMYFUNCTION("""COMPUTED_VALUE"""),38700.0)</f>
        <v>38700</v>
      </c>
      <c r="C867" s="1">
        <f>IFERROR(__xludf.DUMMYFUNCTION("""COMPUTED_VALUE"""),39150.0)</f>
        <v>39150</v>
      </c>
      <c r="D867" s="1">
        <f>IFERROR(__xludf.DUMMYFUNCTION("""COMPUTED_VALUE"""),38200.0)</f>
        <v>38200</v>
      </c>
      <c r="E867" s="1">
        <f>IFERROR(__xludf.DUMMYFUNCTION("""COMPUTED_VALUE"""),38500.0)</f>
        <v>38500</v>
      </c>
      <c r="F867" s="1">
        <f>IFERROR(__xludf.DUMMYFUNCTION("""COMPUTED_VALUE"""),5535.0)</f>
        <v>5535</v>
      </c>
    </row>
    <row r="868">
      <c r="A868" s="2">
        <f>IFERROR(__xludf.DUMMYFUNCTION("""COMPUTED_VALUE"""),42194.64583333333)</f>
        <v>42194.64583</v>
      </c>
      <c r="B868" s="1">
        <f>IFERROR(__xludf.DUMMYFUNCTION("""COMPUTED_VALUE"""),38600.0)</f>
        <v>38600</v>
      </c>
      <c r="C868" s="1">
        <f>IFERROR(__xludf.DUMMYFUNCTION("""COMPUTED_VALUE"""),38600.0)</f>
        <v>38600</v>
      </c>
      <c r="D868" s="1">
        <f>IFERROR(__xludf.DUMMYFUNCTION("""COMPUTED_VALUE"""),37400.0)</f>
        <v>37400</v>
      </c>
      <c r="E868" s="1">
        <f>IFERROR(__xludf.DUMMYFUNCTION("""COMPUTED_VALUE"""),38200.0)</f>
        <v>38200</v>
      </c>
      <c r="F868" s="1">
        <f>IFERROR(__xludf.DUMMYFUNCTION("""COMPUTED_VALUE"""),11527.0)</f>
        <v>11527</v>
      </c>
    </row>
    <row r="869">
      <c r="A869" s="2">
        <f>IFERROR(__xludf.DUMMYFUNCTION("""COMPUTED_VALUE"""),42195.64583333333)</f>
        <v>42195.64583</v>
      </c>
      <c r="B869" s="1">
        <f>IFERROR(__xludf.DUMMYFUNCTION("""COMPUTED_VALUE"""),39050.0)</f>
        <v>39050</v>
      </c>
      <c r="C869" s="1">
        <f>IFERROR(__xludf.DUMMYFUNCTION("""COMPUTED_VALUE"""),40200.0)</f>
        <v>40200</v>
      </c>
      <c r="D869" s="1">
        <f>IFERROR(__xludf.DUMMYFUNCTION("""COMPUTED_VALUE"""),39050.0)</f>
        <v>39050</v>
      </c>
      <c r="E869" s="1">
        <f>IFERROR(__xludf.DUMMYFUNCTION("""COMPUTED_VALUE"""),40200.0)</f>
        <v>40200</v>
      </c>
      <c r="F869" s="1">
        <f>IFERROR(__xludf.DUMMYFUNCTION("""COMPUTED_VALUE"""),17114.0)</f>
        <v>17114</v>
      </c>
    </row>
    <row r="870">
      <c r="A870" s="2">
        <f>IFERROR(__xludf.DUMMYFUNCTION("""COMPUTED_VALUE"""),42198.64583333333)</f>
        <v>42198.64583</v>
      </c>
      <c r="B870" s="1">
        <f>IFERROR(__xludf.DUMMYFUNCTION("""COMPUTED_VALUE"""),41750.0)</f>
        <v>41750</v>
      </c>
      <c r="C870" s="1">
        <f>IFERROR(__xludf.DUMMYFUNCTION("""COMPUTED_VALUE"""),42200.0)</f>
        <v>42200</v>
      </c>
      <c r="D870" s="1">
        <f>IFERROR(__xludf.DUMMYFUNCTION("""COMPUTED_VALUE"""),40700.0)</f>
        <v>40700</v>
      </c>
      <c r="E870" s="1">
        <f>IFERROR(__xludf.DUMMYFUNCTION("""COMPUTED_VALUE"""),42150.0)</f>
        <v>42150</v>
      </c>
      <c r="F870" s="1">
        <f>IFERROR(__xludf.DUMMYFUNCTION("""COMPUTED_VALUE"""),18658.0)</f>
        <v>18658</v>
      </c>
    </row>
    <row r="871">
      <c r="A871" s="2">
        <f>IFERROR(__xludf.DUMMYFUNCTION("""COMPUTED_VALUE"""),42199.64583333333)</f>
        <v>42199.64583</v>
      </c>
      <c r="B871" s="1">
        <f>IFERROR(__xludf.DUMMYFUNCTION("""COMPUTED_VALUE"""),42700.0)</f>
        <v>42700</v>
      </c>
      <c r="C871" s="1">
        <f>IFERROR(__xludf.DUMMYFUNCTION("""COMPUTED_VALUE"""),43500.0)</f>
        <v>43500</v>
      </c>
      <c r="D871" s="1">
        <f>IFERROR(__xludf.DUMMYFUNCTION("""COMPUTED_VALUE"""),42250.0)</f>
        <v>42250</v>
      </c>
      <c r="E871" s="1">
        <f>IFERROR(__xludf.DUMMYFUNCTION("""COMPUTED_VALUE"""),43300.0)</f>
        <v>43300</v>
      </c>
      <c r="F871" s="1">
        <f>IFERROR(__xludf.DUMMYFUNCTION("""COMPUTED_VALUE"""),10621.0)</f>
        <v>10621</v>
      </c>
    </row>
    <row r="872">
      <c r="A872" s="2">
        <f>IFERROR(__xludf.DUMMYFUNCTION("""COMPUTED_VALUE"""),42200.64583333333)</f>
        <v>42200.64583</v>
      </c>
      <c r="B872" s="1">
        <f>IFERROR(__xludf.DUMMYFUNCTION("""COMPUTED_VALUE"""),43750.0)</f>
        <v>43750</v>
      </c>
      <c r="C872" s="1">
        <f>IFERROR(__xludf.DUMMYFUNCTION("""COMPUTED_VALUE"""),44200.0)</f>
        <v>44200</v>
      </c>
      <c r="D872" s="1">
        <f>IFERROR(__xludf.DUMMYFUNCTION("""COMPUTED_VALUE"""),43300.0)</f>
        <v>43300</v>
      </c>
      <c r="E872" s="1">
        <f>IFERROR(__xludf.DUMMYFUNCTION("""COMPUTED_VALUE"""),44000.0)</f>
        <v>44000</v>
      </c>
      <c r="F872" s="1">
        <f>IFERROR(__xludf.DUMMYFUNCTION("""COMPUTED_VALUE"""),11326.0)</f>
        <v>11326</v>
      </c>
    </row>
    <row r="873">
      <c r="A873" s="2">
        <f>IFERROR(__xludf.DUMMYFUNCTION("""COMPUTED_VALUE"""),42201.64583333333)</f>
        <v>42201.64583</v>
      </c>
      <c r="B873" s="1">
        <f>IFERROR(__xludf.DUMMYFUNCTION("""COMPUTED_VALUE"""),44350.0)</f>
        <v>44350</v>
      </c>
      <c r="C873" s="1">
        <f>IFERROR(__xludf.DUMMYFUNCTION("""COMPUTED_VALUE"""),44350.0)</f>
        <v>44350</v>
      </c>
      <c r="D873" s="1">
        <f>IFERROR(__xludf.DUMMYFUNCTION("""COMPUTED_VALUE"""),43200.0)</f>
        <v>43200</v>
      </c>
      <c r="E873" s="1">
        <f>IFERROR(__xludf.DUMMYFUNCTION("""COMPUTED_VALUE"""),43600.0)</f>
        <v>43600</v>
      </c>
      <c r="F873" s="1">
        <f>IFERROR(__xludf.DUMMYFUNCTION("""COMPUTED_VALUE"""),7146.0)</f>
        <v>7146</v>
      </c>
    </row>
    <row r="874">
      <c r="A874" s="2">
        <f>IFERROR(__xludf.DUMMYFUNCTION("""COMPUTED_VALUE"""),42202.64583333333)</f>
        <v>42202.64583</v>
      </c>
      <c r="B874" s="1">
        <f>IFERROR(__xludf.DUMMYFUNCTION("""COMPUTED_VALUE"""),43700.0)</f>
        <v>43700</v>
      </c>
      <c r="C874" s="1">
        <f>IFERROR(__xludf.DUMMYFUNCTION("""COMPUTED_VALUE"""),43850.0)</f>
        <v>43850</v>
      </c>
      <c r="D874" s="1">
        <f>IFERROR(__xludf.DUMMYFUNCTION("""COMPUTED_VALUE"""),43000.0)</f>
        <v>43000</v>
      </c>
      <c r="E874" s="1">
        <f>IFERROR(__xludf.DUMMYFUNCTION("""COMPUTED_VALUE"""),43650.0)</f>
        <v>43650</v>
      </c>
      <c r="F874" s="1">
        <f>IFERROR(__xludf.DUMMYFUNCTION("""COMPUTED_VALUE"""),2442.0)</f>
        <v>2442</v>
      </c>
    </row>
    <row r="875">
      <c r="A875" s="2">
        <f>IFERROR(__xludf.DUMMYFUNCTION("""COMPUTED_VALUE"""),42205.64583333333)</f>
        <v>42205.64583</v>
      </c>
      <c r="B875" s="1">
        <f>IFERROR(__xludf.DUMMYFUNCTION("""COMPUTED_VALUE"""),43850.0)</f>
        <v>43850</v>
      </c>
      <c r="C875" s="1">
        <f>IFERROR(__xludf.DUMMYFUNCTION("""COMPUTED_VALUE"""),43850.0)</f>
        <v>43850</v>
      </c>
      <c r="D875" s="1">
        <f>IFERROR(__xludf.DUMMYFUNCTION("""COMPUTED_VALUE"""),42400.0)</f>
        <v>42400</v>
      </c>
      <c r="E875" s="1">
        <f>IFERROR(__xludf.DUMMYFUNCTION("""COMPUTED_VALUE"""),42850.0)</f>
        <v>42850</v>
      </c>
      <c r="F875" s="1">
        <f>IFERROR(__xludf.DUMMYFUNCTION("""COMPUTED_VALUE"""),3440.0)</f>
        <v>3440</v>
      </c>
    </row>
    <row r="876">
      <c r="A876" s="2">
        <f>IFERROR(__xludf.DUMMYFUNCTION("""COMPUTED_VALUE"""),42206.64583333333)</f>
        <v>42206.64583</v>
      </c>
      <c r="B876" s="1">
        <f>IFERROR(__xludf.DUMMYFUNCTION("""COMPUTED_VALUE"""),42000.0)</f>
        <v>42000</v>
      </c>
      <c r="C876" s="1">
        <f>IFERROR(__xludf.DUMMYFUNCTION("""COMPUTED_VALUE"""),42650.0)</f>
        <v>42650</v>
      </c>
      <c r="D876" s="1">
        <f>IFERROR(__xludf.DUMMYFUNCTION("""COMPUTED_VALUE"""),41650.0)</f>
        <v>41650</v>
      </c>
      <c r="E876" s="1">
        <f>IFERROR(__xludf.DUMMYFUNCTION("""COMPUTED_VALUE"""),42000.0)</f>
        <v>42000</v>
      </c>
      <c r="F876" s="1">
        <f>IFERROR(__xludf.DUMMYFUNCTION("""COMPUTED_VALUE"""),5865.0)</f>
        <v>5865</v>
      </c>
    </row>
    <row r="877">
      <c r="A877" s="2">
        <f>IFERROR(__xludf.DUMMYFUNCTION("""COMPUTED_VALUE"""),42207.64583333333)</f>
        <v>42207.64583</v>
      </c>
      <c r="B877" s="1">
        <f>IFERROR(__xludf.DUMMYFUNCTION("""COMPUTED_VALUE"""),42150.0)</f>
        <v>42150</v>
      </c>
      <c r="C877" s="1">
        <f>IFERROR(__xludf.DUMMYFUNCTION("""COMPUTED_VALUE"""),44250.0)</f>
        <v>44250</v>
      </c>
      <c r="D877" s="1">
        <f>IFERROR(__xludf.DUMMYFUNCTION("""COMPUTED_VALUE"""),42000.0)</f>
        <v>42000</v>
      </c>
      <c r="E877" s="1">
        <f>IFERROR(__xludf.DUMMYFUNCTION("""COMPUTED_VALUE"""),43200.0)</f>
        <v>43200</v>
      </c>
      <c r="F877" s="1">
        <f>IFERROR(__xludf.DUMMYFUNCTION("""COMPUTED_VALUE"""),20252.0)</f>
        <v>20252</v>
      </c>
    </row>
    <row r="878">
      <c r="A878" s="2">
        <f>IFERROR(__xludf.DUMMYFUNCTION("""COMPUTED_VALUE"""),42208.64583333333)</f>
        <v>42208.64583</v>
      </c>
      <c r="B878" s="1">
        <f>IFERROR(__xludf.DUMMYFUNCTION("""COMPUTED_VALUE"""),43750.0)</f>
        <v>43750</v>
      </c>
      <c r="C878" s="1">
        <f>IFERROR(__xludf.DUMMYFUNCTION("""COMPUTED_VALUE"""),43750.0)</f>
        <v>43750</v>
      </c>
      <c r="D878" s="1">
        <f>IFERROR(__xludf.DUMMYFUNCTION("""COMPUTED_VALUE"""),41300.0)</f>
        <v>41300</v>
      </c>
      <c r="E878" s="1">
        <f>IFERROR(__xludf.DUMMYFUNCTION("""COMPUTED_VALUE"""),41500.0)</f>
        <v>41500</v>
      </c>
      <c r="F878" s="1">
        <f>IFERROR(__xludf.DUMMYFUNCTION("""COMPUTED_VALUE"""),12802.0)</f>
        <v>12802</v>
      </c>
    </row>
    <row r="879">
      <c r="A879" s="2">
        <f>IFERROR(__xludf.DUMMYFUNCTION("""COMPUTED_VALUE"""),42209.64583333333)</f>
        <v>42209.64583</v>
      </c>
      <c r="B879" s="1">
        <f>IFERROR(__xludf.DUMMYFUNCTION("""COMPUTED_VALUE"""),42400.0)</f>
        <v>42400</v>
      </c>
      <c r="C879" s="1">
        <f>IFERROR(__xludf.DUMMYFUNCTION("""COMPUTED_VALUE"""),42400.0)</f>
        <v>42400</v>
      </c>
      <c r="D879" s="1">
        <f>IFERROR(__xludf.DUMMYFUNCTION("""COMPUTED_VALUE"""),40600.0)</f>
        <v>40600</v>
      </c>
      <c r="E879" s="1">
        <f>IFERROR(__xludf.DUMMYFUNCTION("""COMPUTED_VALUE"""),41600.0)</f>
        <v>41600</v>
      </c>
      <c r="F879" s="1">
        <f>IFERROR(__xludf.DUMMYFUNCTION("""COMPUTED_VALUE"""),9346.0)</f>
        <v>9346</v>
      </c>
    </row>
    <row r="880">
      <c r="A880" s="2">
        <f>IFERROR(__xludf.DUMMYFUNCTION("""COMPUTED_VALUE"""),42212.64583333333)</f>
        <v>42212.64583</v>
      </c>
      <c r="B880" s="1">
        <f>IFERROR(__xludf.DUMMYFUNCTION("""COMPUTED_VALUE"""),41000.0)</f>
        <v>41000</v>
      </c>
      <c r="C880" s="1">
        <f>IFERROR(__xludf.DUMMYFUNCTION("""COMPUTED_VALUE"""),41700.0)</f>
        <v>41700</v>
      </c>
      <c r="D880" s="1">
        <f>IFERROR(__xludf.DUMMYFUNCTION("""COMPUTED_VALUE"""),40750.0)</f>
        <v>40750</v>
      </c>
      <c r="E880" s="1">
        <f>IFERROR(__xludf.DUMMYFUNCTION("""COMPUTED_VALUE"""),41400.0)</f>
        <v>41400</v>
      </c>
      <c r="F880" s="1">
        <f>IFERROR(__xludf.DUMMYFUNCTION("""COMPUTED_VALUE"""),7447.0)</f>
        <v>7447</v>
      </c>
    </row>
    <row r="881">
      <c r="A881" s="2">
        <f>IFERROR(__xludf.DUMMYFUNCTION("""COMPUTED_VALUE"""),42213.64583333333)</f>
        <v>42213.64583</v>
      </c>
      <c r="B881" s="1">
        <f>IFERROR(__xludf.DUMMYFUNCTION("""COMPUTED_VALUE"""),41500.0)</f>
        <v>41500</v>
      </c>
      <c r="C881" s="1">
        <f>IFERROR(__xludf.DUMMYFUNCTION("""COMPUTED_VALUE"""),41600.0)</f>
        <v>41600</v>
      </c>
      <c r="D881" s="1">
        <f>IFERROR(__xludf.DUMMYFUNCTION("""COMPUTED_VALUE"""),40750.0)</f>
        <v>40750</v>
      </c>
      <c r="E881" s="1">
        <f>IFERROR(__xludf.DUMMYFUNCTION("""COMPUTED_VALUE"""),41150.0)</f>
        <v>41150</v>
      </c>
      <c r="F881" s="1">
        <f>IFERROR(__xludf.DUMMYFUNCTION("""COMPUTED_VALUE"""),2999.0)</f>
        <v>2999</v>
      </c>
    </row>
    <row r="882">
      <c r="A882" s="2">
        <f>IFERROR(__xludf.DUMMYFUNCTION("""COMPUTED_VALUE"""),42214.64583333333)</f>
        <v>42214.64583</v>
      </c>
      <c r="B882" s="1">
        <f>IFERROR(__xludf.DUMMYFUNCTION("""COMPUTED_VALUE"""),41900.0)</f>
        <v>41900</v>
      </c>
      <c r="C882" s="1">
        <f>IFERROR(__xludf.DUMMYFUNCTION("""COMPUTED_VALUE"""),42000.0)</f>
        <v>42000</v>
      </c>
      <c r="D882" s="1">
        <f>IFERROR(__xludf.DUMMYFUNCTION("""COMPUTED_VALUE"""),40450.0)</f>
        <v>40450</v>
      </c>
      <c r="E882" s="1">
        <f>IFERROR(__xludf.DUMMYFUNCTION("""COMPUTED_VALUE"""),41300.0)</f>
        <v>41300</v>
      </c>
      <c r="F882" s="1">
        <f>IFERROR(__xludf.DUMMYFUNCTION("""COMPUTED_VALUE"""),6042.0)</f>
        <v>6042</v>
      </c>
    </row>
    <row r="883">
      <c r="A883" s="2">
        <f>IFERROR(__xludf.DUMMYFUNCTION("""COMPUTED_VALUE"""),42215.64583333333)</f>
        <v>42215.64583</v>
      </c>
      <c r="B883" s="1">
        <f>IFERROR(__xludf.DUMMYFUNCTION("""COMPUTED_VALUE"""),41300.0)</f>
        <v>41300</v>
      </c>
      <c r="C883" s="1">
        <f>IFERROR(__xludf.DUMMYFUNCTION("""COMPUTED_VALUE"""),41450.0)</f>
        <v>41450</v>
      </c>
      <c r="D883" s="1">
        <f>IFERROR(__xludf.DUMMYFUNCTION("""COMPUTED_VALUE"""),40550.0)</f>
        <v>40550</v>
      </c>
      <c r="E883" s="1">
        <f>IFERROR(__xludf.DUMMYFUNCTION("""COMPUTED_VALUE"""),40900.0)</f>
        <v>40900</v>
      </c>
      <c r="F883" s="1">
        <f>IFERROR(__xludf.DUMMYFUNCTION("""COMPUTED_VALUE"""),7643.0)</f>
        <v>7643</v>
      </c>
    </row>
    <row r="884">
      <c r="A884" s="2">
        <f>IFERROR(__xludf.DUMMYFUNCTION("""COMPUTED_VALUE"""),42216.64583333333)</f>
        <v>42216.64583</v>
      </c>
      <c r="B884" s="1">
        <f>IFERROR(__xludf.DUMMYFUNCTION("""COMPUTED_VALUE"""),41100.0)</f>
        <v>41100</v>
      </c>
      <c r="C884" s="1">
        <f>IFERROR(__xludf.DUMMYFUNCTION("""COMPUTED_VALUE"""),41100.0)</f>
        <v>41100</v>
      </c>
      <c r="D884" s="1">
        <f>IFERROR(__xludf.DUMMYFUNCTION("""COMPUTED_VALUE"""),40200.0)</f>
        <v>40200</v>
      </c>
      <c r="E884" s="1">
        <f>IFERROR(__xludf.DUMMYFUNCTION("""COMPUTED_VALUE"""),40600.0)</f>
        <v>40600</v>
      </c>
      <c r="F884" s="1">
        <f>IFERROR(__xludf.DUMMYFUNCTION("""COMPUTED_VALUE"""),6522.0)</f>
        <v>6522</v>
      </c>
    </row>
    <row r="885">
      <c r="A885" s="2">
        <f>IFERROR(__xludf.DUMMYFUNCTION("""COMPUTED_VALUE"""),42219.64583333333)</f>
        <v>42219.64583</v>
      </c>
      <c r="B885" s="1">
        <f>IFERROR(__xludf.DUMMYFUNCTION("""COMPUTED_VALUE"""),40050.0)</f>
        <v>40050</v>
      </c>
      <c r="C885" s="1">
        <f>IFERROR(__xludf.DUMMYFUNCTION("""COMPUTED_VALUE"""),40200.0)</f>
        <v>40200</v>
      </c>
      <c r="D885" s="1">
        <f>IFERROR(__xludf.DUMMYFUNCTION("""COMPUTED_VALUE"""),38900.0)</f>
        <v>38900</v>
      </c>
      <c r="E885" s="1">
        <f>IFERROR(__xludf.DUMMYFUNCTION("""COMPUTED_VALUE"""),39550.0)</f>
        <v>39550</v>
      </c>
      <c r="F885" s="1">
        <f>IFERROR(__xludf.DUMMYFUNCTION("""COMPUTED_VALUE"""),12150.0)</f>
        <v>12150</v>
      </c>
    </row>
    <row r="886">
      <c r="A886" s="2">
        <f>IFERROR(__xludf.DUMMYFUNCTION("""COMPUTED_VALUE"""),42220.64583333333)</f>
        <v>42220.64583</v>
      </c>
      <c r="B886" s="1">
        <f>IFERROR(__xludf.DUMMYFUNCTION("""COMPUTED_VALUE"""),38900.0)</f>
        <v>38900</v>
      </c>
      <c r="C886" s="1">
        <f>IFERROR(__xludf.DUMMYFUNCTION("""COMPUTED_VALUE"""),39950.0)</f>
        <v>39950</v>
      </c>
      <c r="D886" s="1">
        <f>IFERROR(__xludf.DUMMYFUNCTION("""COMPUTED_VALUE"""),38900.0)</f>
        <v>38900</v>
      </c>
      <c r="E886" s="1">
        <f>IFERROR(__xludf.DUMMYFUNCTION("""COMPUTED_VALUE"""),39750.0)</f>
        <v>39750</v>
      </c>
      <c r="F886" s="1">
        <f>IFERROR(__xludf.DUMMYFUNCTION("""COMPUTED_VALUE"""),5032.0)</f>
        <v>5032</v>
      </c>
    </row>
    <row r="887">
      <c r="A887" s="2">
        <f>IFERROR(__xludf.DUMMYFUNCTION("""COMPUTED_VALUE"""),42221.64583333333)</f>
        <v>42221.64583</v>
      </c>
      <c r="B887" s="1">
        <f>IFERROR(__xludf.DUMMYFUNCTION("""COMPUTED_VALUE"""),40100.0)</f>
        <v>40100</v>
      </c>
      <c r="C887" s="1">
        <f>IFERROR(__xludf.DUMMYFUNCTION("""COMPUTED_VALUE"""),40100.0)</f>
        <v>40100</v>
      </c>
      <c r="D887" s="1">
        <f>IFERROR(__xludf.DUMMYFUNCTION("""COMPUTED_VALUE"""),39350.0)</f>
        <v>39350</v>
      </c>
      <c r="E887" s="1">
        <f>IFERROR(__xludf.DUMMYFUNCTION("""COMPUTED_VALUE"""),39850.0)</f>
        <v>39850</v>
      </c>
      <c r="F887" s="1">
        <f>IFERROR(__xludf.DUMMYFUNCTION("""COMPUTED_VALUE"""),3792.0)</f>
        <v>3792</v>
      </c>
    </row>
    <row r="888">
      <c r="A888" s="2">
        <f>IFERROR(__xludf.DUMMYFUNCTION("""COMPUTED_VALUE"""),42222.64583333333)</f>
        <v>42222.64583</v>
      </c>
      <c r="B888" s="1">
        <f>IFERROR(__xludf.DUMMYFUNCTION("""COMPUTED_VALUE"""),39850.0)</f>
        <v>39850</v>
      </c>
      <c r="C888" s="1">
        <f>IFERROR(__xludf.DUMMYFUNCTION("""COMPUTED_VALUE"""),40050.0)</f>
        <v>40050</v>
      </c>
      <c r="D888" s="1">
        <f>IFERROR(__xludf.DUMMYFUNCTION("""COMPUTED_VALUE"""),39500.0)</f>
        <v>39500</v>
      </c>
      <c r="E888" s="1">
        <f>IFERROR(__xludf.DUMMYFUNCTION("""COMPUTED_VALUE"""),39900.0)</f>
        <v>39900</v>
      </c>
      <c r="F888" s="1">
        <f>IFERROR(__xludf.DUMMYFUNCTION("""COMPUTED_VALUE"""),2428.0)</f>
        <v>2428</v>
      </c>
    </row>
    <row r="889">
      <c r="A889" s="2">
        <f>IFERROR(__xludf.DUMMYFUNCTION("""COMPUTED_VALUE"""),42223.64583333333)</f>
        <v>42223.64583</v>
      </c>
      <c r="B889" s="1">
        <f>IFERROR(__xludf.DUMMYFUNCTION("""COMPUTED_VALUE"""),39850.0)</f>
        <v>39850</v>
      </c>
      <c r="C889" s="1">
        <f>IFERROR(__xludf.DUMMYFUNCTION("""COMPUTED_VALUE"""),40100.0)</f>
        <v>40100</v>
      </c>
      <c r="D889" s="1">
        <f>IFERROR(__xludf.DUMMYFUNCTION("""COMPUTED_VALUE"""),39400.0)</f>
        <v>39400</v>
      </c>
      <c r="E889" s="1">
        <f>IFERROR(__xludf.DUMMYFUNCTION("""COMPUTED_VALUE"""),40100.0)</f>
        <v>40100</v>
      </c>
      <c r="F889" s="1">
        <f>IFERROR(__xludf.DUMMYFUNCTION("""COMPUTED_VALUE"""),3561.0)</f>
        <v>3561</v>
      </c>
    </row>
    <row r="890">
      <c r="A890" s="2">
        <f>IFERROR(__xludf.DUMMYFUNCTION("""COMPUTED_VALUE"""),42226.64583333333)</f>
        <v>42226.64583</v>
      </c>
      <c r="B890" s="1">
        <f>IFERROR(__xludf.DUMMYFUNCTION("""COMPUTED_VALUE"""),40200.0)</f>
        <v>40200</v>
      </c>
      <c r="C890" s="1">
        <f>IFERROR(__xludf.DUMMYFUNCTION("""COMPUTED_VALUE"""),40200.0)</f>
        <v>40200</v>
      </c>
      <c r="D890" s="1">
        <f>IFERROR(__xludf.DUMMYFUNCTION("""COMPUTED_VALUE"""),39250.0)</f>
        <v>39250</v>
      </c>
      <c r="E890" s="1">
        <f>IFERROR(__xludf.DUMMYFUNCTION("""COMPUTED_VALUE"""),39250.0)</f>
        <v>39250</v>
      </c>
      <c r="F890" s="1">
        <f>IFERROR(__xludf.DUMMYFUNCTION("""COMPUTED_VALUE"""),3238.0)</f>
        <v>3238</v>
      </c>
    </row>
    <row r="891">
      <c r="A891" s="2">
        <f>IFERROR(__xludf.DUMMYFUNCTION("""COMPUTED_VALUE"""),42227.64583333333)</f>
        <v>42227.64583</v>
      </c>
      <c r="B891" s="1">
        <f>IFERROR(__xludf.DUMMYFUNCTION("""COMPUTED_VALUE"""),39550.0)</f>
        <v>39550</v>
      </c>
      <c r="C891" s="1">
        <f>IFERROR(__xludf.DUMMYFUNCTION("""COMPUTED_VALUE"""),39850.0)</f>
        <v>39850</v>
      </c>
      <c r="D891" s="1">
        <f>IFERROR(__xludf.DUMMYFUNCTION("""COMPUTED_VALUE"""),39250.0)</f>
        <v>39250</v>
      </c>
      <c r="E891" s="1">
        <f>IFERROR(__xludf.DUMMYFUNCTION("""COMPUTED_VALUE"""),39450.0)</f>
        <v>39450</v>
      </c>
      <c r="F891" s="1">
        <f>IFERROR(__xludf.DUMMYFUNCTION("""COMPUTED_VALUE"""),4611.0)</f>
        <v>4611</v>
      </c>
    </row>
    <row r="892">
      <c r="A892" s="2">
        <f>IFERROR(__xludf.DUMMYFUNCTION("""COMPUTED_VALUE"""),42228.64583333333)</f>
        <v>42228.64583</v>
      </c>
      <c r="B892" s="1">
        <f>IFERROR(__xludf.DUMMYFUNCTION("""COMPUTED_VALUE"""),39500.0)</f>
        <v>39500</v>
      </c>
      <c r="C892" s="1">
        <f>IFERROR(__xludf.DUMMYFUNCTION("""COMPUTED_VALUE"""),39500.0)</f>
        <v>39500</v>
      </c>
      <c r="D892" s="1">
        <f>IFERROR(__xludf.DUMMYFUNCTION("""COMPUTED_VALUE"""),38850.0)</f>
        <v>38850</v>
      </c>
      <c r="E892" s="1">
        <f>IFERROR(__xludf.DUMMYFUNCTION("""COMPUTED_VALUE"""),39300.0)</f>
        <v>39300</v>
      </c>
      <c r="F892" s="1">
        <f>IFERROR(__xludf.DUMMYFUNCTION("""COMPUTED_VALUE"""),13581.0)</f>
        <v>13581</v>
      </c>
    </row>
    <row r="893">
      <c r="A893" s="2">
        <f>IFERROR(__xludf.DUMMYFUNCTION("""COMPUTED_VALUE"""),42229.64583333333)</f>
        <v>42229.64583</v>
      </c>
      <c r="B893" s="1">
        <f>IFERROR(__xludf.DUMMYFUNCTION("""COMPUTED_VALUE"""),39700.0)</f>
        <v>39700</v>
      </c>
      <c r="C893" s="1">
        <f>IFERROR(__xludf.DUMMYFUNCTION("""COMPUTED_VALUE"""),40600.0)</f>
        <v>40600</v>
      </c>
      <c r="D893" s="1">
        <f>IFERROR(__xludf.DUMMYFUNCTION("""COMPUTED_VALUE"""),39300.0)</f>
        <v>39300</v>
      </c>
      <c r="E893" s="1">
        <f>IFERROR(__xludf.DUMMYFUNCTION("""COMPUTED_VALUE"""),40400.0)</f>
        <v>40400</v>
      </c>
      <c r="F893" s="1">
        <f>IFERROR(__xludf.DUMMYFUNCTION("""COMPUTED_VALUE"""),11053.0)</f>
        <v>11053</v>
      </c>
    </row>
    <row r="894">
      <c r="A894" s="2">
        <f>IFERROR(__xludf.DUMMYFUNCTION("""COMPUTED_VALUE"""),42233.64583333333)</f>
        <v>42233.64583</v>
      </c>
      <c r="B894" s="1">
        <f>IFERROR(__xludf.DUMMYFUNCTION("""COMPUTED_VALUE"""),40400.0)</f>
        <v>40400</v>
      </c>
      <c r="C894" s="1">
        <f>IFERROR(__xludf.DUMMYFUNCTION("""COMPUTED_VALUE"""),40400.0)</f>
        <v>40400</v>
      </c>
      <c r="D894" s="1">
        <f>IFERROR(__xludf.DUMMYFUNCTION("""COMPUTED_VALUE"""),39700.0)</f>
        <v>39700</v>
      </c>
      <c r="E894" s="1">
        <f>IFERROR(__xludf.DUMMYFUNCTION("""COMPUTED_VALUE"""),39950.0)</f>
        <v>39950</v>
      </c>
      <c r="F894" s="1">
        <f>IFERROR(__xludf.DUMMYFUNCTION("""COMPUTED_VALUE"""),4342.0)</f>
        <v>4342</v>
      </c>
    </row>
    <row r="895">
      <c r="A895" s="2">
        <f>IFERROR(__xludf.DUMMYFUNCTION("""COMPUTED_VALUE"""),42234.64583333333)</f>
        <v>42234.64583</v>
      </c>
      <c r="B895" s="1">
        <f>IFERROR(__xludf.DUMMYFUNCTION("""COMPUTED_VALUE"""),39750.0)</f>
        <v>39750</v>
      </c>
      <c r="C895" s="1">
        <f>IFERROR(__xludf.DUMMYFUNCTION("""COMPUTED_VALUE"""),39800.0)</f>
        <v>39800</v>
      </c>
      <c r="D895" s="1">
        <f>IFERROR(__xludf.DUMMYFUNCTION("""COMPUTED_VALUE"""),38900.0)</f>
        <v>38900</v>
      </c>
      <c r="E895" s="1">
        <f>IFERROR(__xludf.DUMMYFUNCTION("""COMPUTED_VALUE"""),38950.0)</f>
        <v>38950</v>
      </c>
      <c r="F895" s="1">
        <f>IFERROR(__xludf.DUMMYFUNCTION("""COMPUTED_VALUE"""),10743.0)</f>
        <v>10743</v>
      </c>
    </row>
    <row r="896">
      <c r="A896" s="2">
        <f>IFERROR(__xludf.DUMMYFUNCTION("""COMPUTED_VALUE"""),42235.64583333333)</f>
        <v>42235.64583</v>
      </c>
      <c r="B896" s="1">
        <f>IFERROR(__xludf.DUMMYFUNCTION("""COMPUTED_VALUE"""),38650.0)</f>
        <v>38650</v>
      </c>
      <c r="C896" s="1">
        <f>IFERROR(__xludf.DUMMYFUNCTION("""COMPUTED_VALUE"""),39100.0)</f>
        <v>39100</v>
      </c>
      <c r="D896" s="1">
        <f>IFERROR(__xludf.DUMMYFUNCTION("""COMPUTED_VALUE"""),38500.0)</f>
        <v>38500</v>
      </c>
      <c r="E896" s="1">
        <f>IFERROR(__xludf.DUMMYFUNCTION("""COMPUTED_VALUE"""),38800.0)</f>
        <v>38800</v>
      </c>
      <c r="F896" s="1">
        <f>IFERROR(__xludf.DUMMYFUNCTION("""COMPUTED_VALUE"""),14980.0)</f>
        <v>14980</v>
      </c>
    </row>
    <row r="897">
      <c r="A897" s="2">
        <f>IFERROR(__xludf.DUMMYFUNCTION("""COMPUTED_VALUE"""),42236.64583333333)</f>
        <v>42236.64583</v>
      </c>
      <c r="B897" s="1">
        <f>IFERROR(__xludf.DUMMYFUNCTION("""COMPUTED_VALUE"""),38650.0)</f>
        <v>38650</v>
      </c>
      <c r="C897" s="1">
        <f>IFERROR(__xludf.DUMMYFUNCTION("""COMPUTED_VALUE"""),38700.0)</f>
        <v>38700</v>
      </c>
      <c r="D897" s="1">
        <f>IFERROR(__xludf.DUMMYFUNCTION("""COMPUTED_VALUE"""),38050.0)</f>
        <v>38050</v>
      </c>
      <c r="E897" s="1">
        <f>IFERROR(__xludf.DUMMYFUNCTION("""COMPUTED_VALUE"""),38150.0)</f>
        <v>38150</v>
      </c>
      <c r="F897" s="1">
        <f>IFERROR(__xludf.DUMMYFUNCTION("""COMPUTED_VALUE"""),3990.0)</f>
        <v>3990</v>
      </c>
    </row>
    <row r="898">
      <c r="A898" s="2">
        <f>IFERROR(__xludf.DUMMYFUNCTION("""COMPUTED_VALUE"""),42237.64583333333)</f>
        <v>42237.64583</v>
      </c>
      <c r="B898" s="1">
        <f>IFERROR(__xludf.DUMMYFUNCTION("""COMPUTED_VALUE"""),37800.0)</f>
        <v>37800</v>
      </c>
      <c r="C898" s="1">
        <f>IFERROR(__xludf.DUMMYFUNCTION("""COMPUTED_VALUE"""),38050.0)</f>
        <v>38050</v>
      </c>
      <c r="D898" s="1">
        <f>IFERROR(__xludf.DUMMYFUNCTION("""COMPUTED_VALUE"""),37250.0)</f>
        <v>37250</v>
      </c>
      <c r="E898" s="1">
        <f>IFERROR(__xludf.DUMMYFUNCTION("""COMPUTED_VALUE"""),37650.0)</f>
        <v>37650</v>
      </c>
      <c r="F898" s="1">
        <f>IFERROR(__xludf.DUMMYFUNCTION("""COMPUTED_VALUE"""),7171.0)</f>
        <v>7171</v>
      </c>
    </row>
    <row r="899">
      <c r="A899" s="2">
        <f>IFERROR(__xludf.DUMMYFUNCTION("""COMPUTED_VALUE"""),42240.64583333333)</f>
        <v>42240.64583</v>
      </c>
      <c r="B899" s="1">
        <f>IFERROR(__xludf.DUMMYFUNCTION("""COMPUTED_VALUE"""),37800.0)</f>
        <v>37800</v>
      </c>
      <c r="C899" s="1">
        <f>IFERROR(__xludf.DUMMYFUNCTION("""COMPUTED_VALUE"""),37800.0)</f>
        <v>37800</v>
      </c>
      <c r="D899" s="1">
        <f>IFERROR(__xludf.DUMMYFUNCTION("""COMPUTED_VALUE"""),34550.0)</f>
        <v>34550</v>
      </c>
      <c r="E899" s="1">
        <f>IFERROR(__xludf.DUMMYFUNCTION("""COMPUTED_VALUE"""),35450.0)</f>
        <v>35450</v>
      </c>
      <c r="F899" s="1">
        <f>IFERROR(__xludf.DUMMYFUNCTION("""COMPUTED_VALUE"""),20985.0)</f>
        <v>20985</v>
      </c>
    </row>
    <row r="900">
      <c r="A900" s="2">
        <f>IFERROR(__xludf.DUMMYFUNCTION("""COMPUTED_VALUE"""),42241.64583333333)</f>
        <v>42241.64583</v>
      </c>
      <c r="B900" s="1">
        <f>IFERROR(__xludf.DUMMYFUNCTION("""COMPUTED_VALUE"""),35400.0)</f>
        <v>35400</v>
      </c>
      <c r="C900" s="1">
        <f>IFERROR(__xludf.DUMMYFUNCTION("""COMPUTED_VALUE"""),36500.0)</f>
        <v>36500</v>
      </c>
      <c r="D900" s="1">
        <f>IFERROR(__xludf.DUMMYFUNCTION("""COMPUTED_VALUE"""),35200.0)</f>
        <v>35200</v>
      </c>
      <c r="E900" s="1">
        <f>IFERROR(__xludf.DUMMYFUNCTION("""COMPUTED_VALUE"""),36400.0)</f>
        <v>36400</v>
      </c>
      <c r="F900" s="1">
        <f>IFERROR(__xludf.DUMMYFUNCTION("""COMPUTED_VALUE"""),9589.0)</f>
        <v>9589</v>
      </c>
    </row>
    <row r="901">
      <c r="A901" s="2">
        <f>IFERROR(__xludf.DUMMYFUNCTION("""COMPUTED_VALUE"""),42242.64583333333)</f>
        <v>42242.64583</v>
      </c>
      <c r="B901" s="1">
        <f>IFERROR(__xludf.DUMMYFUNCTION("""COMPUTED_VALUE"""),36400.0)</f>
        <v>36400</v>
      </c>
      <c r="C901" s="1">
        <f>IFERROR(__xludf.DUMMYFUNCTION("""COMPUTED_VALUE"""),38300.0)</f>
        <v>38300</v>
      </c>
      <c r="D901" s="1">
        <f>IFERROR(__xludf.DUMMYFUNCTION("""COMPUTED_VALUE"""),36100.0)</f>
        <v>36100</v>
      </c>
      <c r="E901" s="1">
        <f>IFERROR(__xludf.DUMMYFUNCTION("""COMPUTED_VALUE"""),38300.0)</f>
        <v>38300</v>
      </c>
      <c r="F901" s="1">
        <f>IFERROR(__xludf.DUMMYFUNCTION("""COMPUTED_VALUE"""),14470.0)</f>
        <v>14470</v>
      </c>
    </row>
    <row r="902">
      <c r="A902" s="2">
        <f>IFERROR(__xludf.DUMMYFUNCTION("""COMPUTED_VALUE"""),42243.64583333333)</f>
        <v>42243.64583</v>
      </c>
      <c r="B902" s="1">
        <f>IFERROR(__xludf.DUMMYFUNCTION("""COMPUTED_VALUE"""),38400.0)</f>
        <v>38400</v>
      </c>
      <c r="C902" s="1">
        <f>IFERROR(__xludf.DUMMYFUNCTION("""COMPUTED_VALUE"""),38500.0)</f>
        <v>38500</v>
      </c>
      <c r="D902" s="1">
        <f>IFERROR(__xludf.DUMMYFUNCTION("""COMPUTED_VALUE"""),37900.0)</f>
        <v>37900</v>
      </c>
      <c r="E902" s="1">
        <f>IFERROR(__xludf.DUMMYFUNCTION("""COMPUTED_VALUE"""),38100.0)</f>
        <v>38100</v>
      </c>
      <c r="F902" s="1">
        <f>IFERROR(__xludf.DUMMYFUNCTION("""COMPUTED_VALUE"""),3089.0)</f>
        <v>3089</v>
      </c>
    </row>
    <row r="903">
      <c r="A903" s="2">
        <f>IFERROR(__xludf.DUMMYFUNCTION("""COMPUTED_VALUE"""),42244.64583333333)</f>
        <v>42244.64583</v>
      </c>
      <c r="B903" s="1">
        <f>IFERROR(__xludf.DUMMYFUNCTION("""COMPUTED_VALUE"""),39800.0)</f>
        <v>39800</v>
      </c>
      <c r="C903" s="1">
        <f>IFERROR(__xludf.DUMMYFUNCTION("""COMPUTED_VALUE"""),40100.0)</f>
        <v>40100</v>
      </c>
      <c r="D903" s="1">
        <f>IFERROR(__xludf.DUMMYFUNCTION("""COMPUTED_VALUE"""),39000.0)</f>
        <v>39000</v>
      </c>
      <c r="E903" s="1">
        <f>IFERROR(__xludf.DUMMYFUNCTION("""COMPUTED_VALUE"""),39100.0)</f>
        <v>39100</v>
      </c>
      <c r="F903" s="1">
        <f>IFERROR(__xludf.DUMMYFUNCTION("""COMPUTED_VALUE"""),9027.0)</f>
        <v>9027</v>
      </c>
    </row>
    <row r="904">
      <c r="A904" s="2">
        <f>IFERROR(__xludf.DUMMYFUNCTION("""COMPUTED_VALUE"""),42247.64583333333)</f>
        <v>42247.64583</v>
      </c>
      <c r="B904" s="1">
        <f>IFERROR(__xludf.DUMMYFUNCTION("""COMPUTED_VALUE"""),39800.0)</f>
        <v>39800</v>
      </c>
      <c r="C904" s="1">
        <f>IFERROR(__xludf.DUMMYFUNCTION("""COMPUTED_VALUE"""),39800.0)</f>
        <v>39800</v>
      </c>
      <c r="D904" s="1">
        <f>IFERROR(__xludf.DUMMYFUNCTION("""COMPUTED_VALUE"""),38800.0)</f>
        <v>38800</v>
      </c>
      <c r="E904" s="1">
        <f>IFERROR(__xludf.DUMMYFUNCTION("""COMPUTED_VALUE"""),38850.0)</f>
        <v>38850</v>
      </c>
      <c r="F904" s="1">
        <f>IFERROR(__xludf.DUMMYFUNCTION("""COMPUTED_VALUE"""),3905.0)</f>
        <v>3905</v>
      </c>
    </row>
    <row r="905">
      <c r="A905" s="2">
        <f>IFERROR(__xludf.DUMMYFUNCTION("""COMPUTED_VALUE"""),42248.64583333333)</f>
        <v>42248.64583</v>
      </c>
      <c r="B905" s="1">
        <f>IFERROR(__xludf.DUMMYFUNCTION("""COMPUTED_VALUE"""),39900.0)</f>
        <v>39900</v>
      </c>
      <c r="C905" s="1">
        <f>IFERROR(__xludf.DUMMYFUNCTION("""COMPUTED_VALUE"""),40200.0)</f>
        <v>40200</v>
      </c>
      <c r="D905" s="1">
        <f>IFERROR(__xludf.DUMMYFUNCTION("""COMPUTED_VALUE"""),39100.0)</f>
        <v>39100</v>
      </c>
      <c r="E905" s="1">
        <f>IFERROR(__xludf.DUMMYFUNCTION("""COMPUTED_VALUE"""),39450.0)</f>
        <v>39450</v>
      </c>
      <c r="F905" s="1">
        <f>IFERROR(__xludf.DUMMYFUNCTION("""COMPUTED_VALUE"""),8962.0)</f>
        <v>8962</v>
      </c>
    </row>
    <row r="906">
      <c r="A906" s="2">
        <f>IFERROR(__xludf.DUMMYFUNCTION("""COMPUTED_VALUE"""),42249.64583333333)</f>
        <v>42249.64583</v>
      </c>
      <c r="B906" s="1">
        <f>IFERROR(__xludf.DUMMYFUNCTION("""COMPUTED_VALUE"""),38950.0)</f>
        <v>38950</v>
      </c>
      <c r="C906" s="1">
        <f>IFERROR(__xludf.DUMMYFUNCTION("""COMPUTED_VALUE"""),38950.0)</f>
        <v>38950</v>
      </c>
      <c r="D906" s="1">
        <f>IFERROR(__xludf.DUMMYFUNCTION("""COMPUTED_VALUE"""),38150.0)</f>
        <v>38150</v>
      </c>
      <c r="E906" s="1">
        <f>IFERROR(__xludf.DUMMYFUNCTION("""COMPUTED_VALUE"""),38600.0)</f>
        <v>38600</v>
      </c>
      <c r="F906" s="1">
        <f>IFERROR(__xludf.DUMMYFUNCTION("""COMPUTED_VALUE"""),5762.0)</f>
        <v>5762</v>
      </c>
    </row>
    <row r="907">
      <c r="A907" s="2">
        <f>IFERROR(__xludf.DUMMYFUNCTION("""COMPUTED_VALUE"""),42250.64583333333)</f>
        <v>42250.64583</v>
      </c>
      <c r="B907" s="1">
        <f>IFERROR(__xludf.DUMMYFUNCTION("""COMPUTED_VALUE"""),38600.0)</f>
        <v>38600</v>
      </c>
      <c r="C907" s="1">
        <f>IFERROR(__xludf.DUMMYFUNCTION("""COMPUTED_VALUE"""),39000.0)</f>
        <v>39000</v>
      </c>
      <c r="D907" s="1">
        <f>IFERROR(__xludf.DUMMYFUNCTION("""COMPUTED_VALUE"""),38250.0)</f>
        <v>38250</v>
      </c>
      <c r="E907" s="1">
        <f>IFERROR(__xludf.DUMMYFUNCTION("""COMPUTED_VALUE"""),38500.0)</f>
        <v>38500</v>
      </c>
      <c r="F907" s="1">
        <f>IFERROR(__xludf.DUMMYFUNCTION("""COMPUTED_VALUE"""),2756.0)</f>
        <v>2756</v>
      </c>
    </row>
    <row r="908">
      <c r="A908" s="2">
        <f>IFERROR(__xludf.DUMMYFUNCTION("""COMPUTED_VALUE"""),42251.64583333333)</f>
        <v>42251.64583</v>
      </c>
      <c r="B908" s="1">
        <f>IFERROR(__xludf.DUMMYFUNCTION("""COMPUTED_VALUE"""),38500.0)</f>
        <v>38500</v>
      </c>
      <c r="C908" s="1">
        <f>IFERROR(__xludf.DUMMYFUNCTION("""COMPUTED_VALUE"""),38950.0)</f>
        <v>38950</v>
      </c>
      <c r="D908" s="1">
        <f>IFERROR(__xludf.DUMMYFUNCTION("""COMPUTED_VALUE"""),37950.0)</f>
        <v>37950</v>
      </c>
      <c r="E908" s="1">
        <f>IFERROR(__xludf.DUMMYFUNCTION("""COMPUTED_VALUE"""),38050.0)</f>
        <v>38050</v>
      </c>
      <c r="F908" s="1">
        <f>IFERROR(__xludf.DUMMYFUNCTION("""COMPUTED_VALUE"""),2285.0)</f>
        <v>2285</v>
      </c>
    </row>
    <row r="909">
      <c r="A909" s="2">
        <f>IFERROR(__xludf.DUMMYFUNCTION("""COMPUTED_VALUE"""),42254.64583333333)</f>
        <v>42254.64583</v>
      </c>
      <c r="B909" s="1">
        <f>IFERROR(__xludf.DUMMYFUNCTION("""COMPUTED_VALUE"""),37900.0)</f>
        <v>37900</v>
      </c>
      <c r="C909" s="1">
        <f>IFERROR(__xludf.DUMMYFUNCTION("""COMPUTED_VALUE"""),37900.0)</f>
        <v>37900</v>
      </c>
      <c r="D909" s="1">
        <f>IFERROR(__xludf.DUMMYFUNCTION("""COMPUTED_VALUE"""),37000.0)</f>
        <v>37000</v>
      </c>
      <c r="E909" s="1">
        <f>IFERROR(__xludf.DUMMYFUNCTION("""COMPUTED_VALUE"""),37800.0)</f>
        <v>37800</v>
      </c>
      <c r="F909" s="1">
        <f>IFERROR(__xludf.DUMMYFUNCTION("""COMPUTED_VALUE"""),3941.0)</f>
        <v>3941</v>
      </c>
    </row>
    <row r="910">
      <c r="A910" s="2">
        <f>IFERROR(__xludf.DUMMYFUNCTION("""COMPUTED_VALUE"""),42255.64583333333)</f>
        <v>42255.64583</v>
      </c>
      <c r="B910" s="1">
        <f>IFERROR(__xludf.DUMMYFUNCTION("""COMPUTED_VALUE"""),38000.0)</f>
        <v>38000</v>
      </c>
      <c r="C910" s="1">
        <f>IFERROR(__xludf.DUMMYFUNCTION("""COMPUTED_VALUE"""),38000.0)</f>
        <v>38000</v>
      </c>
      <c r="D910" s="1">
        <f>IFERROR(__xludf.DUMMYFUNCTION("""COMPUTED_VALUE"""),36900.0)</f>
        <v>36900</v>
      </c>
      <c r="E910" s="1">
        <f>IFERROR(__xludf.DUMMYFUNCTION("""COMPUTED_VALUE"""),37200.0)</f>
        <v>37200</v>
      </c>
      <c r="F910" s="1">
        <f>IFERROR(__xludf.DUMMYFUNCTION("""COMPUTED_VALUE"""),5907.0)</f>
        <v>5907</v>
      </c>
    </row>
    <row r="911">
      <c r="A911" s="2">
        <f>IFERROR(__xludf.DUMMYFUNCTION("""COMPUTED_VALUE"""),42256.64583333333)</f>
        <v>42256.64583</v>
      </c>
      <c r="B911" s="1">
        <f>IFERROR(__xludf.DUMMYFUNCTION("""COMPUTED_VALUE"""),37550.0)</f>
        <v>37550</v>
      </c>
      <c r="C911" s="1">
        <f>IFERROR(__xludf.DUMMYFUNCTION("""COMPUTED_VALUE"""),38200.0)</f>
        <v>38200</v>
      </c>
      <c r="D911" s="1">
        <f>IFERROR(__xludf.DUMMYFUNCTION("""COMPUTED_VALUE"""),37500.0)</f>
        <v>37500</v>
      </c>
      <c r="E911" s="1">
        <f>IFERROR(__xludf.DUMMYFUNCTION("""COMPUTED_VALUE"""),38000.0)</f>
        <v>38000</v>
      </c>
      <c r="F911" s="1">
        <f>IFERROR(__xludf.DUMMYFUNCTION("""COMPUTED_VALUE"""),6301.0)</f>
        <v>6301</v>
      </c>
    </row>
    <row r="912">
      <c r="A912" s="2">
        <f>IFERROR(__xludf.DUMMYFUNCTION("""COMPUTED_VALUE"""),42257.64583333333)</f>
        <v>42257.64583</v>
      </c>
      <c r="B912" s="1">
        <f>IFERROR(__xludf.DUMMYFUNCTION("""COMPUTED_VALUE"""),37550.0)</f>
        <v>37550</v>
      </c>
      <c r="C912" s="1">
        <f>IFERROR(__xludf.DUMMYFUNCTION("""COMPUTED_VALUE"""),38650.0)</f>
        <v>38650</v>
      </c>
      <c r="D912" s="1">
        <f>IFERROR(__xludf.DUMMYFUNCTION("""COMPUTED_VALUE"""),37550.0)</f>
        <v>37550</v>
      </c>
      <c r="E912" s="1">
        <f>IFERROR(__xludf.DUMMYFUNCTION("""COMPUTED_VALUE"""),38650.0)</f>
        <v>38650</v>
      </c>
      <c r="F912" s="1">
        <f>IFERROR(__xludf.DUMMYFUNCTION("""COMPUTED_VALUE"""),1676.0)</f>
        <v>1676</v>
      </c>
    </row>
    <row r="913">
      <c r="A913" s="2">
        <f>IFERROR(__xludf.DUMMYFUNCTION("""COMPUTED_VALUE"""),42258.64583333333)</f>
        <v>42258.64583</v>
      </c>
      <c r="B913" s="1">
        <f>IFERROR(__xludf.DUMMYFUNCTION("""COMPUTED_VALUE"""),38900.0)</f>
        <v>38900</v>
      </c>
      <c r="C913" s="1">
        <f>IFERROR(__xludf.DUMMYFUNCTION("""COMPUTED_VALUE"""),39050.0)</f>
        <v>39050</v>
      </c>
      <c r="D913" s="1">
        <f>IFERROR(__xludf.DUMMYFUNCTION("""COMPUTED_VALUE"""),38550.0)</f>
        <v>38550</v>
      </c>
      <c r="E913" s="1">
        <f>IFERROR(__xludf.DUMMYFUNCTION("""COMPUTED_VALUE"""),38950.0)</f>
        <v>38950</v>
      </c>
      <c r="F913" s="1">
        <f>IFERROR(__xludf.DUMMYFUNCTION("""COMPUTED_VALUE"""),4676.0)</f>
        <v>4676</v>
      </c>
    </row>
    <row r="914">
      <c r="A914" s="2">
        <f>IFERROR(__xludf.DUMMYFUNCTION("""COMPUTED_VALUE"""),42261.64583333333)</f>
        <v>42261.64583</v>
      </c>
      <c r="B914" s="1">
        <f>IFERROR(__xludf.DUMMYFUNCTION("""COMPUTED_VALUE"""),38500.0)</f>
        <v>38500</v>
      </c>
      <c r="C914" s="1">
        <f>IFERROR(__xludf.DUMMYFUNCTION("""COMPUTED_VALUE"""),39000.0)</f>
        <v>39000</v>
      </c>
      <c r="D914" s="1">
        <f>IFERROR(__xludf.DUMMYFUNCTION("""COMPUTED_VALUE"""),38350.0)</f>
        <v>38350</v>
      </c>
      <c r="E914" s="1">
        <f>IFERROR(__xludf.DUMMYFUNCTION("""COMPUTED_VALUE"""),39000.0)</f>
        <v>39000</v>
      </c>
      <c r="F914" s="1">
        <f>IFERROR(__xludf.DUMMYFUNCTION("""COMPUTED_VALUE"""),2901.0)</f>
        <v>2901</v>
      </c>
    </row>
    <row r="915">
      <c r="A915" s="2">
        <f>IFERROR(__xludf.DUMMYFUNCTION("""COMPUTED_VALUE"""),42262.64583333333)</f>
        <v>42262.64583</v>
      </c>
      <c r="B915" s="1">
        <f>IFERROR(__xludf.DUMMYFUNCTION("""COMPUTED_VALUE"""),38950.0)</f>
        <v>38950</v>
      </c>
      <c r="C915" s="1">
        <f>IFERROR(__xludf.DUMMYFUNCTION("""COMPUTED_VALUE"""),38950.0)</f>
        <v>38950</v>
      </c>
      <c r="D915" s="1">
        <f>IFERROR(__xludf.DUMMYFUNCTION("""COMPUTED_VALUE"""),38550.0)</f>
        <v>38550</v>
      </c>
      <c r="E915" s="1">
        <f>IFERROR(__xludf.DUMMYFUNCTION("""COMPUTED_VALUE"""),38900.0)</f>
        <v>38900</v>
      </c>
      <c r="F915" s="1">
        <f>IFERROR(__xludf.DUMMYFUNCTION("""COMPUTED_VALUE"""),2623.0)</f>
        <v>2623</v>
      </c>
    </row>
    <row r="916">
      <c r="A916" s="2">
        <f>IFERROR(__xludf.DUMMYFUNCTION("""COMPUTED_VALUE"""),42263.64583333333)</f>
        <v>42263.64583</v>
      </c>
      <c r="B916" s="1">
        <f>IFERROR(__xludf.DUMMYFUNCTION("""COMPUTED_VALUE"""),39000.0)</f>
        <v>39000</v>
      </c>
      <c r="C916" s="1">
        <f>IFERROR(__xludf.DUMMYFUNCTION("""COMPUTED_VALUE"""),40050.0)</f>
        <v>40050</v>
      </c>
      <c r="D916" s="1">
        <f>IFERROR(__xludf.DUMMYFUNCTION("""COMPUTED_VALUE"""),38900.0)</f>
        <v>38900</v>
      </c>
      <c r="E916" s="1">
        <f>IFERROR(__xludf.DUMMYFUNCTION("""COMPUTED_VALUE"""),39900.0)</f>
        <v>39900</v>
      </c>
      <c r="F916" s="1">
        <f>IFERROR(__xludf.DUMMYFUNCTION("""COMPUTED_VALUE"""),9280.0)</f>
        <v>9280</v>
      </c>
    </row>
    <row r="917">
      <c r="A917" s="2">
        <f>IFERROR(__xludf.DUMMYFUNCTION("""COMPUTED_VALUE"""),42264.64583333333)</f>
        <v>42264.64583</v>
      </c>
      <c r="B917" s="1">
        <f>IFERROR(__xludf.DUMMYFUNCTION("""COMPUTED_VALUE"""),40400.0)</f>
        <v>40400</v>
      </c>
      <c r="C917" s="1">
        <f>IFERROR(__xludf.DUMMYFUNCTION("""COMPUTED_VALUE"""),41150.0)</f>
        <v>41150</v>
      </c>
      <c r="D917" s="1">
        <f>IFERROR(__xludf.DUMMYFUNCTION("""COMPUTED_VALUE"""),40000.0)</f>
        <v>40000</v>
      </c>
      <c r="E917" s="1">
        <f>IFERROR(__xludf.DUMMYFUNCTION("""COMPUTED_VALUE"""),40650.0)</f>
        <v>40650</v>
      </c>
      <c r="F917" s="1">
        <f>IFERROR(__xludf.DUMMYFUNCTION("""COMPUTED_VALUE"""),14068.0)</f>
        <v>14068</v>
      </c>
    </row>
    <row r="918">
      <c r="A918" s="2">
        <f>IFERROR(__xludf.DUMMYFUNCTION("""COMPUTED_VALUE"""),42265.64583333333)</f>
        <v>42265.64583</v>
      </c>
      <c r="B918" s="1">
        <f>IFERROR(__xludf.DUMMYFUNCTION("""COMPUTED_VALUE"""),40650.0)</f>
        <v>40650</v>
      </c>
      <c r="C918" s="1">
        <f>IFERROR(__xludf.DUMMYFUNCTION("""COMPUTED_VALUE"""),40700.0)</f>
        <v>40700</v>
      </c>
      <c r="D918" s="1">
        <f>IFERROR(__xludf.DUMMYFUNCTION("""COMPUTED_VALUE"""),40000.0)</f>
        <v>40000</v>
      </c>
      <c r="E918" s="1">
        <f>IFERROR(__xludf.DUMMYFUNCTION("""COMPUTED_VALUE"""),40400.0)</f>
        <v>40400</v>
      </c>
      <c r="F918" s="1">
        <f>IFERROR(__xludf.DUMMYFUNCTION("""COMPUTED_VALUE"""),3633.0)</f>
        <v>3633</v>
      </c>
    </row>
    <row r="919">
      <c r="A919" s="2">
        <f>IFERROR(__xludf.DUMMYFUNCTION("""COMPUTED_VALUE"""),42268.64583333333)</f>
        <v>42268.64583</v>
      </c>
      <c r="B919" s="1">
        <f>IFERROR(__xludf.DUMMYFUNCTION("""COMPUTED_VALUE"""),39750.0)</f>
        <v>39750</v>
      </c>
      <c r="C919" s="1">
        <f>IFERROR(__xludf.DUMMYFUNCTION("""COMPUTED_VALUE"""),40000.0)</f>
        <v>40000</v>
      </c>
      <c r="D919" s="1">
        <f>IFERROR(__xludf.DUMMYFUNCTION("""COMPUTED_VALUE"""),39500.0)</f>
        <v>39500</v>
      </c>
      <c r="E919" s="1">
        <f>IFERROR(__xludf.DUMMYFUNCTION("""COMPUTED_VALUE"""),39800.0)</f>
        <v>39800</v>
      </c>
      <c r="F919" s="1">
        <f>IFERROR(__xludf.DUMMYFUNCTION("""COMPUTED_VALUE"""),4165.0)</f>
        <v>4165</v>
      </c>
    </row>
    <row r="920">
      <c r="A920" s="2">
        <f>IFERROR(__xludf.DUMMYFUNCTION("""COMPUTED_VALUE"""),42269.64583333333)</f>
        <v>42269.64583</v>
      </c>
      <c r="B920" s="1">
        <f>IFERROR(__xludf.DUMMYFUNCTION("""COMPUTED_VALUE"""),40300.0)</f>
        <v>40300</v>
      </c>
      <c r="C920" s="1">
        <f>IFERROR(__xludf.DUMMYFUNCTION("""COMPUTED_VALUE"""),40400.0)</f>
        <v>40400</v>
      </c>
      <c r="D920" s="1">
        <f>IFERROR(__xludf.DUMMYFUNCTION("""COMPUTED_VALUE"""),40000.0)</f>
        <v>40000</v>
      </c>
      <c r="E920" s="1">
        <f>IFERROR(__xludf.DUMMYFUNCTION("""COMPUTED_VALUE"""),40050.0)</f>
        <v>40050</v>
      </c>
      <c r="F920" s="1">
        <f>IFERROR(__xludf.DUMMYFUNCTION("""COMPUTED_VALUE"""),2439.0)</f>
        <v>2439</v>
      </c>
    </row>
    <row r="921">
      <c r="A921" s="2">
        <f>IFERROR(__xludf.DUMMYFUNCTION("""COMPUTED_VALUE"""),42270.64583333333)</f>
        <v>42270.64583</v>
      </c>
      <c r="B921" s="1">
        <f>IFERROR(__xludf.DUMMYFUNCTION("""COMPUTED_VALUE"""),40150.0)</f>
        <v>40150</v>
      </c>
      <c r="C921" s="1">
        <f>IFERROR(__xludf.DUMMYFUNCTION("""COMPUTED_VALUE"""),40200.0)</f>
        <v>40200</v>
      </c>
      <c r="D921" s="1">
        <f>IFERROR(__xludf.DUMMYFUNCTION("""COMPUTED_VALUE"""),39700.0)</f>
        <v>39700</v>
      </c>
      <c r="E921" s="1">
        <f>IFERROR(__xludf.DUMMYFUNCTION("""COMPUTED_VALUE"""),40050.0)</f>
        <v>40050</v>
      </c>
      <c r="F921" s="1">
        <f>IFERROR(__xludf.DUMMYFUNCTION("""COMPUTED_VALUE"""),4550.0)</f>
        <v>4550</v>
      </c>
    </row>
    <row r="922">
      <c r="A922" s="2">
        <f>IFERROR(__xludf.DUMMYFUNCTION("""COMPUTED_VALUE"""),42271.64583333333)</f>
        <v>42271.64583</v>
      </c>
      <c r="B922" s="1">
        <f>IFERROR(__xludf.DUMMYFUNCTION("""COMPUTED_VALUE"""),40150.0)</f>
        <v>40150</v>
      </c>
      <c r="C922" s="1">
        <f>IFERROR(__xludf.DUMMYFUNCTION("""COMPUTED_VALUE"""),40150.0)</f>
        <v>40150</v>
      </c>
      <c r="D922" s="1">
        <f>IFERROR(__xludf.DUMMYFUNCTION("""COMPUTED_VALUE"""),39600.0)</f>
        <v>39600</v>
      </c>
      <c r="E922" s="1">
        <f>IFERROR(__xludf.DUMMYFUNCTION("""COMPUTED_VALUE"""),40000.0)</f>
        <v>40000</v>
      </c>
      <c r="F922" s="1">
        <f>IFERROR(__xludf.DUMMYFUNCTION("""COMPUTED_VALUE"""),3133.0)</f>
        <v>3133</v>
      </c>
    </row>
    <row r="923">
      <c r="A923" s="2">
        <f>IFERROR(__xludf.DUMMYFUNCTION("""COMPUTED_VALUE"""),42272.64583333333)</f>
        <v>42272.64583</v>
      </c>
      <c r="B923" s="1">
        <f>IFERROR(__xludf.DUMMYFUNCTION("""COMPUTED_VALUE"""),40500.0)</f>
        <v>40500</v>
      </c>
      <c r="C923" s="1">
        <f>IFERROR(__xludf.DUMMYFUNCTION("""COMPUTED_VALUE"""),40500.0)</f>
        <v>40500</v>
      </c>
      <c r="D923" s="1">
        <f>IFERROR(__xludf.DUMMYFUNCTION("""COMPUTED_VALUE"""),39650.0)</f>
        <v>39650</v>
      </c>
      <c r="E923" s="1">
        <f>IFERROR(__xludf.DUMMYFUNCTION("""COMPUTED_VALUE"""),40250.0)</f>
        <v>40250</v>
      </c>
      <c r="F923" s="1">
        <f>IFERROR(__xludf.DUMMYFUNCTION("""COMPUTED_VALUE"""),6749.0)</f>
        <v>6749</v>
      </c>
    </row>
    <row r="924">
      <c r="A924" s="2">
        <f>IFERROR(__xludf.DUMMYFUNCTION("""COMPUTED_VALUE"""),42277.64583333333)</f>
        <v>42277.64583</v>
      </c>
      <c r="B924" s="1">
        <f>IFERROR(__xludf.DUMMYFUNCTION("""COMPUTED_VALUE"""),40300.0)</f>
        <v>40300</v>
      </c>
      <c r="C924" s="1">
        <f>IFERROR(__xludf.DUMMYFUNCTION("""COMPUTED_VALUE"""),40700.0)</f>
        <v>40700</v>
      </c>
      <c r="D924" s="1">
        <f>IFERROR(__xludf.DUMMYFUNCTION("""COMPUTED_VALUE"""),39850.0)</f>
        <v>39850</v>
      </c>
      <c r="E924" s="1">
        <f>IFERROR(__xludf.DUMMYFUNCTION("""COMPUTED_VALUE"""),40650.0)</f>
        <v>40650</v>
      </c>
      <c r="F924" s="1">
        <f>IFERROR(__xludf.DUMMYFUNCTION("""COMPUTED_VALUE"""),4826.0)</f>
        <v>4826</v>
      </c>
    </row>
    <row r="925">
      <c r="A925" s="2">
        <f>IFERROR(__xludf.DUMMYFUNCTION("""COMPUTED_VALUE"""),42278.64583333333)</f>
        <v>42278.64583</v>
      </c>
      <c r="B925" s="1">
        <f>IFERROR(__xludf.DUMMYFUNCTION("""COMPUTED_VALUE"""),40700.0)</f>
        <v>40700</v>
      </c>
      <c r="C925" s="1">
        <f>IFERROR(__xludf.DUMMYFUNCTION("""COMPUTED_VALUE"""),40950.0)</f>
        <v>40950</v>
      </c>
      <c r="D925" s="1">
        <f>IFERROR(__xludf.DUMMYFUNCTION("""COMPUTED_VALUE"""),40550.0)</f>
        <v>40550</v>
      </c>
      <c r="E925" s="1">
        <f>IFERROR(__xludf.DUMMYFUNCTION("""COMPUTED_VALUE"""),40800.0)</f>
        <v>40800</v>
      </c>
      <c r="F925" s="1">
        <f>IFERROR(__xludf.DUMMYFUNCTION("""COMPUTED_VALUE"""),5811.0)</f>
        <v>5811</v>
      </c>
    </row>
    <row r="926">
      <c r="A926" s="2">
        <f>IFERROR(__xludf.DUMMYFUNCTION("""COMPUTED_VALUE"""),42279.64583333333)</f>
        <v>42279.64583</v>
      </c>
      <c r="B926" s="1">
        <f>IFERROR(__xludf.DUMMYFUNCTION("""COMPUTED_VALUE"""),40700.0)</f>
        <v>40700</v>
      </c>
      <c r="C926" s="1">
        <f>IFERROR(__xludf.DUMMYFUNCTION("""COMPUTED_VALUE"""),40900.0)</f>
        <v>40900</v>
      </c>
      <c r="D926" s="1">
        <f>IFERROR(__xludf.DUMMYFUNCTION("""COMPUTED_VALUE"""),40500.0)</f>
        <v>40500</v>
      </c>
      <c r="E926" s="1">
        <f>IFERROR(__xludf.DUMMYFUNCTION("""COMPUTED_VALUE"""),40700.0)</f>
        <v>40700</v>
      </c>
      <c r="F926" s="1">
        <f>IFERROR(__xludf.DUMMYFUNCTION("""COMPUTED_VALUE"""),4244.0)</f>
        <v>4244</v>
      </c>
    </row>
    <row r="927">
      <c r="A927" s="2">
        <f>IFERROR(__xludf.DUMMYFUNCTION("""COMPUTED_VALUE"""),42282.64583333333)</f>
        <v>42282.64583</v>
      </c>
      <c r="B927" s="1">
        <f>IFERROR(__xludf.DUMMYFUNCTION("""COMPUTED_VALUE"""),40700.0)</f>
        <v>40700</v>
      </c>
      <c r="C927" s="1">
        <f>IFERROR(__xludf.DUMMYFUNCTION("""COMPUTED_VALUE"""),41550.0)</f>
        <v>41550</v>
      </c>
      <c r="D927" s="1">
        <f>IFERROR(__xludf.DUMMYFUNCTION("""COMPUTED_VALUE"""),40700.0)</f>
        <v>40700</v>
      </c>
      <c r="E927" s="1">
        <f>IFERROR(__xludf.DUMMYFUNCTION("""COMPUTED_VALUE"""),41400.0)</f>
        <v>41400</v>
      </c>
      <c r="F927" s="1">
        <f>IFERROR(__xludf.DUMMYFUNCTION("""COMPUTED_VALUE"""),14710.0)</f>
        <v>14710</v>
      </c>
    </row>
    <row r="928">
      <c r="A928" s="2">
        <f>IFERROR(__xludf.DUMMYFUNCTION("""COMPUTED_VALUE"""),42283.64583333333)</f>
        <v>42283.64583</v>
      </c>
      <c r="B928" s="1">
        <f>IFERROR(__xludf.DUMMYFUNCTION("""COMPUTED_VALUE"""),41600.0)</f>
        <v>41600</v>
      </c>
      <c r="C928" s="1">
        <f>IFERROR(__xludf.DUMMYFUNCTION("""COMPUTED_VALUE"""),42450.0)</f>
        <v>42450</v>
      </c>
      <c r="D928" s="1">
        <f>IFERROR(__xludf.DUMMYFUNCTION("""COMPUTED_VALUE"""),41550.0)</f>
        <v>41550</v>
      </c>
      <c r="E928" s="1">
        <f>IFERROR(__xludf.DUMMYFUNCTION("""COMPUTED_VALUE"""),42200.0)</f>
        <v>42200</v>
      </c>
      <c r="F928" s="1">
        <f>IFERROR(__xludf.DUMMYFUNCTION("""COMPUTED_VALUE"""),20704.0)</f>
        <v>20704</v>
      </c>
    </row>
    <row r="929">
      <c r="A929" s="2">
        <f>IFERROR(__xludf.DUMMYFUNCTION("""COMPUTED_VALUE"""),42284.64583333333)</f>
        <v>42284.64583</v>
      </c>
      <c r="B929" s="1">
        <f>IFERROR(__xludf.DUMMYFUNCTION("""COMPUTED_VALUE"""),43250.0)</f>
        <v>43250</v>
      </c>
      <c r="C929" s="1">
        <f>IFERROR(__xludf.DUMMYFUNCTION("""COMPUTED_VALUE"""),43450.0)</f>
        <v>43450</v>
      </c>
      <c r="D929" s="1">
        <f>IFERROR(__xludf.DUMMYFUNCTION("""COMPUTED_VALUE"""),42500.0)</f>
        <v>42500</v>
      </c>
      <c r="E929" s="1">
        <f>IFERROR(__xludf.DUMMYFUNCTION("""COMPUTED_VALUE"""),42900.0)</f>
        <v>42900</v>
      </c>
      <c r="F929" s="1">
        <f>IFERROR(__xludf.DUMMYFUNCTION("""COMPUTED_VALUE"""),22110.0)</f>
        <v>22110</v>
      </c>
    </row>
    <row r="930">
      <c r="A930" s="2">
        <f>IFERROR(__xludf.DUMMYFUNCTION("""COMPUTED_VALUE"""),42285.64583333333)</f>
        <v>42285.64583</v>
      </c>
      <c r="B930" s="1">
        <f>IFERROR(__xludf.DUMMYFUNCTION("""COMPUTED_VALUE"""),42650.0)</f>
        <v>42650</v>
      </c>
      <c r="C930" s="1">
        <f>IFERROR(__xludf.DUMMYFUNCTION("""COMPUTED_VALUE"""),42950.0)</f>
        <v>42950</v>
      </c>
      <c r="D930" s="1">
        <f>IFERROR(__xludf.DUMMYFUNCTION("""COMPUTED_VALUE"""),42100.0)</f>
        <v>42100</v>
      </c>
      <c r="E930" s="1">
        <f>IFERROR(__xludf.DUMMYFUNCTION("""COMPUTED_VALUE"""),42700.0)</f>
        <v>42700</v>
      </c>
      <c r="F930" s="1">
        <f>IFERROR(__xludf.DUMMYFUNCTION("""COMPUTED_VALUE"""),9730.0)</f>
        <v>9730</v>
      </c>
    </row>
    <row r="931">
      <c r="A931" s="2">
        <f>IFERROR(__xludf.DUMMYFUNCTION("""COMPUTED_VALUE"""),42289.64583333333)</f>
        <v>42289.64583</v>
      </c>
      <c r="B931" s="1">
        <f>IFERROR(__xludf.DUMMYFUNCTION("""COMPUTED_VALUE"""),42700.0)</f>
        <v>42700</v>
      </c>
      <c r="C931" s="1">
        <f>IFERROR(__xludf.DUMMYFUNCTION("""COMPUTED_VALUE"""),42950.0)</f>
        <v>42950</v>
      </c>
      <c r="D931" s="1">
        <f>IFERROR(__xludf.DUMMYFUNCTION("""COMPUTED_VALUE"""),42600.0)</f>
        <v>42600</v>
      </c>
      <c r="E931" s="1">
        <f>IFERROR(__xludf.DUMMYFUNCTION("""COMPUTED_VALUE"""),42750.0)</f>
        <v>42750</v>
      </c>
      <c r="F931" s="1">
        <f>IFERROR(__xludf.DUMMYFUNCTION("""COMPUTED_VALUE"""),2903.0)</f>
        <v>2903</v>
      </c>
    </row>
    <row r="932">
      <c r="A932" s="2">
        <f>IFERROR(__xludf.DUMMYFUNCTION("""COMPUTED_VALUE"""),42290.64583333333)</f>
        <v>42290.64583</v>
      </c>
      <c r="B932" s="1">
        <f>IFERROR(__xludf.DUMMYFUNCTION("""COMPUTED_VALUE"""),42700.0)</f>
        <v>42700</v>
      </c>
      <c r="C932" s="1">
        <f>IFERROR(__xludf.DUMMYFUNCTION("""COMPUTED_VALUE"""),42700.0)</f>
        <v>42700</v>
      </c>
      <c r="D932" s="1">
        <f>IFERROR(__xludf.DUMMYFUNCTION("""COMPUTED_VALUE"""),42150.0)</f>
        <v>42150</v>
      </c>
      <c r="E932" s="1">
        <f>IFERROR(__xludf.DUMMYFUNCTION("""COMPUTED_VALUE"""),42500.0)</f>
        <v>42500</v>
      </c>
      <c r="F932" s="1">
        <f>IFERROR(__xludf.DUMMYFUNCTION("""COMPUTED_VALUE"""),2487.0)</f>
        <v>2487</v>
      </c>
    </row>
    <row r="933">
      <c r="A933" s="2">
        <f>IFERROR(__xludf.DUMMYFUNCTION("""COMPUTED_VALUE"""),42291.64583333333)</f>
        <v>42291.64583</v>
      </c>
      <c r="B933" s="1">
        <f>IFERROR(__xludf.DUMMYFUNCTION("""COMPUTED_VALUE"""),42450.0)</f>
        <v>42450</v>
      </c>
      <c r="C933" s="1">
        <f>IFERROR(__xludf.DUMMYFUNCTION("""COMPUTED_VALUE"""),42450.0)</f>
        <v>42450</v>
      </c>
      <c r="D933" s="1">
        <f>IFERROR(__xludf.DUMMYFUNCTION("""COMPUTED_VALUE"""),41500.0)</f>
        <v>41500</v>
      </c>
      <c r="E933" s="1">
        <f>IFERROR(__xludf.DUMMYFUNCTION("""COMPUTED_VALUE"""),41500.0)</f>
        <v>41500</v>
      </c>
      <c r="F933" s="1">
        <f>IFERROR(__xludf.DUMMYFUNCTION("""COMPUTED_VALUE"""),5648.0)</f>
        <v>5648</v>
      </c>
    </row>
    <row r="934">
      <c r="A934" s="2">
        <f>IFERROR(__xludf.DUMMYFUNCTION("""COMPUTED_VALUE"""),42292.64583333333)</f>
        <v>42292.64583</v>
      </c>
      <c r="B934" s="1">
        <f>IFERROR(__xludf.DUMMYFUNCTION("""COMPUTED_VALUE"""),41500.0)</f>
        <v>41500</v>
      </c>
      <c r="C934" s="1">
        <f>IFERROR(__xludf.DUMMYFUNCTION("""COMPUTED_VALUE"""),42150.0)</f>
        <v>42150</v>
      </c>
      <c r="D934" s="1">
        <f>IFERROR(__xludf.DUMMYFUNCTION("""COMPUTED_VALUE"""),41500.0)</f>
        <v>41500</v>
      </c>
      <c r="E934" s="1">
        <f>IFERROR(__xludf.DUMMYFUNCTION("""COMPUTED_VALUE"""),41900.0)</f>
        <v>41900</v>
      </c>
      <c r="F934" s="1">
        <f>IFERROR(__xludf.DUMMYFUNCTION("""COMPUTED_VALUE"""),3633.0)</f>
        <v>3633</v>
      </c>
    </row>
    <row r="935">
      <c r="A935" s="2">
        <f>IFERROR(__xludf.DUMMYFUNCTION("""COMPUTED_VALUE"""),42293.64583333333)</f>
        <v>42293.64583</v>
      </c>
      <c r="B935" s="1">
        <f>IFERROR(__xludf.DUMMYFUNCTION("""COMPUTED_VALUE"""),41900.0)</f>
        <v>41900</v>
      </c>
      <c r="C935" s="1">
        <f>IFERROR(__xludf.DUMMYFUNCTION("""COMPUTED_VALUE"""),42300.0)</f>
        <v>42300</v>
      </c>
      <c r="D935" s="1">
        <f>IFERROR(__xludf.DUMMYFUNCTION("""COMPUTED_VALUE"""),41500.0)</f>
        <v>41500</v>
      </c>
      <c r="E935" s="1">
        <f>IFERROR(__xludf.DUMMYFUNCTION("""COMPUTED_VALUE"""),41950.0)</f>
        <v>41950</v>
      </c>
      <c r="F935" s="1">
        <f>IFERROR(__xludf.DUMMYFUNCTION("""COMPUTED_VALUE"""),9440.0)</f>
        <v>9440</v>
      </c>
    </row>
    <row r="936">
      <c r="A936" s="2">
        <f>IFERROR(__xludf.DUMMYFUNCTION("""COMPUTED_VALUE"""),42296.64583333333)</f>
        <v>42296.64583</v>
      </c>
      <c r="B936" s="1">
        <f>IFERROR(__xludf.DUMMYFUNCTION("""COMPUTED_VALUE"""),42300.0)</f>
        <v>42300</v>
      </c>
      <c r="C936" s="1">
        <f>IFERROR(__xludf.DUMMYFUNCTION("""COMPUTED_VALUE"""),42650.0)</f>
        <v>42650</v>
      </c>
      <c r="D936" s="1">
        <f>IFERROR(__xludf.DUMMYFUNCTION("""COMPUTED_VALUE"""),41700.0)</f>
        <v>41700</v>
      </c>
      <c r="E936" s="1">
        <f>IFERROR(__xludf.DUMMYFUNCTION("""COMPUTED_VALUE"""),42250.0)</f>
        <v>42250</v>
      </c>
      <c r="F936" s="1">
        <f>IFERROR(__xludf.DUMMYFUNCTION("""COMPUTED_VALUE"""),7081.0)</f>
        <v>7081</v>
      </c>
    </row>
    <row r="937">
      <c r="A937" s="2">
        <f>IFERROR(__xludf.DUMMYFUNCTION("""COMPUTED_VALUE"""),42297.64583333333)</f>
        <v>42297.64583</v>
      </c>
      <c r="B937" s="1">
        <f>IFERROR(__xludf.DUMMYFUNCTION("""COMPUTED_VALUE"""),42150.0)</f>
        <v>42150</v>
      </c>
      <c r="C937" s="1">
        <f>IFERROR(__xludf.DUMMYFUNCTION("""COMPUTED_VALUE"""),42150.0)</f>
        <v>42150</v>
      </c>
      <c r="D937" s="1">
        <f>IFERROR(__xludf.DUMMYFUNCTION("""COMPUTED_VALUE"""),41350.0)</f>
        <v>41350</v>
      </c>
      <c r="E937" s="1">
        <f>IFERROR(__xludf.DUMMYFUNCTION("""COMPUTED_VALUE"""),41700.0)</f>
        <v>41700</v>
      </c>
      <c r="F937" s="1">
        <f>IFERROR(__xludf.DUMMYFUNCTION("""COMPUTED_VALUE"""),7728.0)</f>
        <v>7728</v>
      </c>
    </row>
    <row r="938">
      <c r="A938" s="2">
        <f>IFERROR(__xludf.DUMMYFUNCTION("""COMPUTED_VALUE"""),42298.64583333333)</f>
        <v>42298.64583</v>
      </c>
      <c r="B938" s="1">
        <f>IFERROR(__xludf.DUMMYFUNCTION("""COMPUTED_VALUE"""),41700.0)</f>
        <v>41700</v>
      </c>
      <c r="C938" s="1">
        <f>IFERROR(__xludf.DUMMYFUNCTION("""COMPUTED_VALUE"""),42150.0)</f>
        <v>42150</v>
      </c>
      <c r="D938" s="1">
        <f>IFERROR(__xludf.DUMMYFUNCTION("""COMPUTED_VALUE"""),41500.0)</f>
        <v>41500</v>
      </c>
      <c r="E938" s="1">
        <f>IFERROR(__xludf.DUMMYFUNCTION("""COMPUTED_VALUE"""),42000.0)</f>
        <v>42000</v>
      </c>
      <c r="F938" s="1">
        <f>IFERROR(__xludf.DUMMYFUNCTION("""COMPUTED_VALUE"""),8511.0)</f>
        <v>8511</v>
      </c>
    </row>
    <row r="939">
      <c r="A939" s="2">
        <f>IFERROR(__xludf.DUMMYFUNCTION("""COMPUTED_VALUE"""),42299.64583333333)</f>
        <v>42299.64583</v>
      </c>
      <c r="B939" s="1">
        <f>IFERROR(__xludf.DUMMYFUNCTION("""COMPUTED_VALUE"""),41950.0)</f>
        <v>41950</v>
      </c>
      <c r="C939" s="1">
        <f>IFERROR(__xludf.DUMMYFUNCTION("""COMPUTED_VALUE"""),41950.0)</f>
        <v>41950</v>
      </c>
      <c r="D939" s="1">
        <f>IFERROR(__xludf.DUMMYFUNCTION("""COMPUTED_VALUE"""),41450.0)</f>
        <v>41450</v>
      </c>
      <c r="E939" s="1">
        <f>IFERROR(__xludf.DUMMYFUNCTION("""COMPUTED_VALUE"""),41650.0)</f>
        <v>41650</v>
      </c>
      <c r="F939" s="1">
        <f>IFERROR(__xludf.DUMMYFUNCTION("""COMPUTED_VALUE"""),4275.0)</f>
        <v>4275</v>
      </c>
    </row>
    <row r="940">
      <c r="A940" s="2">
        <f>IFERROR(__xludf.DUMMYFUNCTION("""COMPUTED_VALUE"""),42300.64583333333)</f>
        <v>42300.64583</v>
      </c>
      <c r="B940" s="1">
        <f>IFERROR(__xludf.DUMMYFUNCTION("""COMPUTED_VALUE"""),42150.0)</f>
        <v>42150</v>
      </c>
      <c r="C940" s="1">
        <f>IFERROR(__xludf.DUMMYFUNCTION("""COMPUTED_VALUE"""),42600.0)</f>
        <v>42600</v>
      </c>
      <c r="D940" s="1">
        <f>IFERROR(__xludf.DUMMYFUNCTION("""COMPUTED_VALUE"""),41900.0)</f>
        <v>41900</v>
      </c>
      <c r="E940" s="1">
        <f>IFERROR(__xludf.DUMMYFUNCTION("""COMPUTED_VALUE"""),42300.0)</f>
        <v>42300</v>
      </c>
      <c r="F940" s="1">
        <f>IFERROR(__xludf.DUMMYFUNCTION("""COMPUTED_VALUE"""),12444.0)</f>
        <v>12444</v>
      </c>
    </row>
    <row r="941">
      <c r="A941" s="2">
        <f>IFERROR(__xludf.DUMMYFUNCTION("""COMPUTED_VALUE"""),42303.64583333333)</f>
        <v>42303.64583</v>
      </c>
      <c r="B941" s="1">
        <f>IFERROR(__xludf.DUMMYFUNCTION("""COMPUTED_VALUE"""),42300.0)</f>
        <v>42300</v>
      </c>
      <c r="C941" s="1">
        <f>IFERROR(__xludf.DUMMYFUNCTION("""COMPUTED_VALUE"""),42300.0)</f>
        <v>42300</v>
      </c>
      <c r="D941" s="1">
        <f>IFERROR(__xludf.DUMMYFUNCTION("""COMPUTED_VALUE"""),41650.0)</f>
        <v>41650</v>
      </c>
      <c r="E941" s="1">
        <f>IFERROR(__xludf.DUMMYFUNCTION("""COMPUTED_VALUE"""),42000.0)</f>
        <v>42000</v>
      </c>
      <c r="F941" s="1">
        <f>IFERROR(__xludf.DUMMYFUNCTION("""COMPUTED_VALUE"""),5836.0)</f>
        <v>5836</v>
      </c>
    </row>
    <row r="942">
      <c r="A942" s="2">
        <f>IFERROR(__xludf.DUMMYFUNCTION("""COMPUTED_VALUE"""),42304.64583333333)</f>
        <v>42304.64583</v>
      </c>
      <c r="B942" s="1">
        <f>IFERROR(__xludf.DUMMYFUNCTION("""COMPUTED_VALUE"""),41900.0)</f>
        <v>41900</v>
      </c>
      <c r="C942" s="1">
        <f>IFERROR(__xludf.DUMMYFUNCTION("""COMPUTED_VALUE"""),41900.0)</f>
        <v>41900</v>
      </c>
      <c r="D942" s="1">
        <f>IFERROR(__xludf.DUMMYFUNCTION("""COMPUTED_VALUE"""),41050.0)</f>
        <v>41050</v>
      </c>
      <c r="E942" s="1">
        <f>IFERROR(__xludf.DUMMYFUNCTION("""COMPUTED_VALUE"""),41400.0)</f>
        <v>41400</v>
      </c>
      <c r="F942" s="1">
        <f>IFERROR(__xludf.DUMMYFUNCTION("""COMPUTED_VALUE"""),4760.0)</f>
        <v>4760</v>
      </c>
    </row>
    <row r="943">
      <c r="A943" s="2">
        <f>IFERROR(__xludf.DUMMYFUNCTION("""COMPUTED_VALUE"""),42305.64583333333)</f>
        <v>42305.64583</v>
      </c>
      <c r="B943" s="1">
        <f>IFERROR(__xludf.DUMMYFUNCTION("""COMPUTED_VALUE"""),41150.0)</f>
        <v>41150</v>
      </c>
      <c r="C943" s="1">
        <f>IFERROR(__xludf.DUMMYFUNCTION("""COMPUTED_VALUE"""),41200.0)</f>
        <v>41200</v>
      </c>
      <c r="D943" s="1">
        <f>IFERROR(__xludf.DUMMYFUNCTION("""COMPUTED_VALUE"""),40650.0)</f>
        <v>40650</v>
      </c>
      <c r="E943" s="1">
        <f>IFERROR(__xludf.DUMMYFUNCTION("""COMPUTED_VALUE"""),40800.0)</f>
        <v>40800</v>
      </c>
      <c r="F943" s="1">
        <f>IFERROR(__xludf.DUMMYFUNCTION("""COMPUTED_VALUE"""),5595.0)</f>
        <v>5595</v>
      </c>
    </row>
    <row r="944">
      <c r="A944" s="2">
        <f>IFERROR(__xludf.DUMMYFUNCTION("""COMPUTED_VALUE"""),42306.64583333333)</f>
        <v>42306.64583</v>
      </c>
      <c r="B944" s="1">
        <f>IFERROR(__xludf.DUMMYFUNCTION("""COMPUTED_VALUE"""),41500.0)</f>
        <v>41500</v>
      </c>
      <c r="C944" s="1">
        <f>IFERROR(__xludf.DUMMYFUNCTION("""COMPUTED_VALUE"""),42150.0)</f>
        <v>42150</v>
      </c>
      <c r="D944" s="1">
        <f>IFERROR(__xludf.DUMMYFUNCTION("""COMPUTED_VALUE"""),41200.0)</f>
        <v>41200</v>
      </c>
      <c r="E944" s="1">
        <f>IFERROR(__xludf.DUMMYFUNCTION("""COMPUTED_VALUE"""),42000.0)</f>
        <v>42000</v>
      </c>
      <c r="F944" s="1">
        <f>IFERROR(__xludf.DUMMYFUNCTION("""COMPUTED_VALUE"""),26817.0)</f>
        <v>26817</v>
      </c>
    </row>
    <row r="945">
      <c r="A945" s="2">
        <f>IFERROR(__xludf.DUMMYFUNCTION("""COMPUTED_VALUE"""),42307.64583333333)</f>
        <v>42307.64583</v>
      </c>
      <c r="B945" s="1">
        <f>IFERROR(__xludf.DUMMYFUNCTION("""COMPUTED_VALUE"""),41750.0)</f>
        <v>41750</v>
      </c>
      <c r="C945" s="1">
        <f>IFERROR(__xludf.DUMMYFUNCTION("""COMPUTED_VALUE"""),42850.0)</f>
        <v>42850</v>
      </c>
      <c r="D945" s="1">
        <f>IFERROR(__xludf.DUMMYFUNCTION("""COMPUTED_VALUE"""),41600.0)</f>
        <v>41600</v>
      </c>
      <c r="E945" s="1">
        <f>IFERROR(__xludf.DUMMYFUNCTION("""COMPUTED_VALUE"""),42700.0)</f>
        <v>42700</v>
      </c>
      <c r="F945" s="1">
        <f>IFERROR(__xludf.DUMMYFUNCTION("""COMPUTED_VALUE"""),28146.0)</f>
        <v>28146</v>
      </c>
    </row>
    <row r="946">
      <c r="A946" s="2">
        <f>IFERROR(__xludf.DUMMYFUNCTION("""COMPUTED_VALUE"""),42310.64583333333)</f>
        <v>42310.64583</v>
      </c>
      <c r="B946" s="1">
        <f>IFERROR(__xludf.DUMMYFUNCTION("""COMPUTED_VALUE"""),43050.0)</f>
        <v>43050</v>
      </c>
      <c r="C946" s="1">
        <f>IFERROR(__xludf.DUMMYFUNCTION("""COMPUTED_VALUE"""),43300.0)</f>
        <v>43300</v>
      </c>
      <c r="D946" s="1">
        <f>IFERROR(__xludf.DUMMYFUNCTION("""COMPUTED_VALUE"""),42750.0)</f>
        <v>42750</v>
      </c>
      <c r="E946" s="1">
        <f>IFERROR(__xludf.DUMMYFUNCTION("""COMPUTED_VALUE"""),43300.0)</f>
        <v>43300</v>
      </c>
      <c r="F946" s="1">
        <f>IFERROR(__xludf.DUMMYFUNCTION("""COMPUTED_VALUE"""),12910.0)</f>
        <v>12910</v>
      </c>
    </row>
    <row r="947">
      <c r="A947" s="2">
        <f>IFERROR(__xludf.DUMMYFUNCTION("""COMPUTED_VALUE"""),42311.64583333333)</f>
        <v>42311.64583</v>
      </c>
      <c r="B947" s="1">
        <f>IFERROR(__xludf.DUMMYFUNCTION("""COMPUTED_VALUE"""),43200.0)</f>
        <v>43200</v>
      </c>
      <c r="C947" s="1">
        <f>IFERROR(__xludf.DUMMYFUNCTION("""COMPUTED_VALUE"""),43800.0)</f>
        <v>43800</v>
      </c>
      <c r="D947" s="1">
        <f>IFERROR(__xludf.DUMMYFUNCTION("""COMPUTED_VALUE"""),43000.0)</f>
        <v>43000</v>
      </c>
      <c r="E947" s="1">
        <f>IFERROR(__xludf.DUMMYFUNCTION("""COMPUTED_VALUE"""),43700.0)</f>
        <v>43700</v>
      </c>
      <c r="F947" s="1">
        <f>IFERROR(__xludf.DUMMYFUNCTION("""COMPUTED_VALUE"""),24283.0)</f>
        <v>24283</v>
      </c>
    </row>
    <row r="948">
      <c r="A948" s="2">
        <f>IFERROR(__xludf.DUMMYFUNCTION("""COMPUTED_VALUE"""),42312.64583333333)</f>
        <v>42312.64583</v>
      </c>
      <c r="B948" s="1">
        <f>IFERROR(__xludf.DUMMYFUNCTION("""COMPUTED_VALUE"""),44000.0)</f>
        <v>44000</v>
      </c>
      <c r="C948" s="1">
        <f>IFERROR(__xludf.DUMMYFUNCTION("""COMPUTED_VALUE"""),44850.0)</f>
        <v>44850</v>
      </c>
      <c r="D948" s="1">
        <f>IFERROR(__xludf.DUMMYFUNCTION("""COMPUTED_VALUE"""),44000.0)</f>
        <v>44000</v>
      </c>
      <c r="E948" s="1">
        <f>IFERROR(__xludf.DUMMYFUNCTION("""COMPUTED_VALUE"""),44700.0)</f>
        <v>44700</v>
      </c>
      <c r="F948" s="1">
        <f>IFERROR(__xludf.DUMMYFUNCTION("""COMPUTED_VALUE"""),29695.0)</f>
        <v>29695</v>
      </c>
    </row>
    <row r="949">
      <c r="A949" s="2">
        <f>IFERROR(__xludf.DUMMYFUNCTION("""COMPUTED_VALUE"""),42313.64583333333)</f>
        <v>42313.64583</v>
      </c>
      <c r="B949" s="1">
        <f>IFERROR(__xludf.DUMMYFUNCTION("""COMPUTED_VALUE"""),44800.0)</f>
        <v>44800</v>
      </c>
      <c r="C949" s="1">
        <f>IFERROR(__xludf.DUMMYFUNCTION("""COMPUTED_VALUE"""),44850.0)</f>
        <v>44850</v>
      </c>
      <c r="D949" s="1">
        <f>IFERROR(__xludf.DUMMYFUNCTION("""COMPUTED_VALUE"""),44250.0)</f>
        <v>44250</v>
      </c>
      <c r="E949" s="1">
        <f>IFERROR(__xludf.DUMMYFUNCTION("""COMPUTED_VALUE"""),44500.0)</f>
        <v>44500</v>
      </c>
      <c r="F949" s="1">
        <f>IFERROR(__xludf.DUMMYFUNCTION("""COMPUTED_VALUE"""),12466.0)</f>
        <v>12466</v>
      </c>
    </row>
    <row r="950">
      <c r="A950" s="2">
        <f>IFERROR(__xludf.DUMMYFUNCTION("""COMPUTED_VALUE"""),42314.64583333333)</f>
        <v>42314.64583</v>
      </c>
      <c r="B950" s="1">
        <f>IFERROR(__xludf.DUMMYFUNCTION("""COMPUTED_VALUE"""),44400.0)</f>
        <v>44400</v>
      </c>
      <c r="C950" s="1">
        <f>IFERROR(__xludf.DUMMYFUNCTION("""COMPUTED_VALUE"""),44500.0)</f>
        <v>44500</v>
      </c>
      <c r="D950" s="1">
        <f>IFERROR(__xludf.DUMMYFUNCTION("""COMPUTED_VALUE"""),43700.0)</f>
        <v>43700</v>
      </c>
      <c r="E950" s="1">
        <f>IFERROR(__xludf.DUMMYFUNCTION("""COMPUTED_VALUE"""),44500.0)</f>
        <v>44500</v>
      </c>
      <c r="F950" s="1">
        <f>IFERROR(__xludf.DUMMYFUNCTION("""COMPUTED_VALUE"""),7025.0)</f>
        <v>7025</v>
      </c>
    </row>
    <row r="951">
      <c r="A951" s="2">
        <f>IFERROR(__xludf.DUMMYFUNCTION("""COMPUTED_VALUE"""),42317.64583333333)</f>
        <v>42317.64583</v>
      </c>
      <c r="B951" s="1">
        <f>IFERROR(__xludf.DUMMYFUNCTION("""COMPUTED_VALUE"""),44100.0)</f>
        <v>44100</v>
      </c>
      <c r="C951" s="1">
        <f>IFERROR(__xludf.DUMMYFUNCTION("""COMPUTED_VALUE"""),44100.0)</f>
        <v>44100</v>
      </c>
      <c r="D951" s="1">
        <f>IFERROR(__xludf.DUMMYFUNCTION("""COMPUTED_VALUE"""),43100.0)</f>
        <v>43100</v>
      </c>
      <c r="E951" s="1">
        <f>IFERROR(__xludf.DUMMYFUNCTION("""COMPUTED_VALUE"""),43500.0)</f>
        <v>43500</v>
      </c>
      <c r="F951" s="1">
        <f>IFERROR(__xludf.DUMMYFUNCTION("""COMPUTED_VALUE"""),10192.0)</f>
        <v>10192</v>
      </c>
    </row>
    <row r="952">
      <c r="A952" s="2">
        <f>IFERROR(__xludf.DUMMYFUNCTION("""COMPUTED_VALUE"""),42318.64583333333)</f>
        <v>42318.64583</v>
      </c>
      <c r="B952" s="1">
        <f>IFERROR(__xludf.DUMMYFUNCTION("""COMPUTED_VALUE"""),42950.0)</f>
        <v>42950</v>
      </c>
      <c r="C952" s="1">
        <f>IFERROR(__xludf.DUMMYFUNCTION("""COMPUTED_VALUE"""),43200.0)</f>
        <v>43200</v>
      </c>
      <c r="D952" s="1">
        <f>IFERROR(__xludf.DUMMYFUNCTION("""COMPUTED_VALUE"""),42500.0)</f>
        <v>42500</v>
      </c>
      <c r="E952" s="1">
        <f>IFERROR(__xludf.DUMMYFUNCTION("""COMPUTED_VALUE"""),42600.0)</f>
        <v>42600</v>
      </c>
      <c r="F952" s="1">
        <f>IFERROR(__xludf.DUMMYFUNCTION("""COMPUTED_VALUE"""),5894.0)</f>
        <v>5894</v>
      </c>
    </row>
    <row r="953">
      <c r="A953" s="2">
        <f>IFERROR(__xludf.DUMMYFUNCTION("""COMPUTED_VALUE"""),42319.64583333333)</f>
        <v>42319.64583</v>
      </c>
      <c r="B953" s="1">
        <f>IFERROR(__xludf.DUMMYFUNCTION("""COMPUTED_VALUE"""),42200.0)</f>
        <v>42200</v>
      </c>
      <c r="C953" s="1">
        <f>IFERROR(__xludf.DUMMYFUNCTION("""COMPUTED_VALUE"""),42800.0)</f>
        <v>42800</v>
      </c>
      <c r="D953" s="1">
        <f>IFERROR(__xludf.DUMMYFUNCTION("""COMPUTED_VALUE"""),41850.0)</f>
        <v>41850</v>
      </c>
      <c r="E953" s="1">
        <f>IFERROR(__xludf.DUMMYFUNCTION("""COMPUTED_VALUE"""),42600.0)</f>
        <v>42600</v>
      </c>
      <c r="F953" s="1">
        <f>IFERROR(__xludf.DUMMYFUNCTION("""COMPUTED_VALUE"""),5227.0)</f>
        <v>5227</v>
      </c>
    </row>
    <row r="954">
      <c r="A954" s="2">
        <f>IFERROR(__xludf.DUMMYFUNCTION("""COMPUTED_VALUE"""),42320.64583333333)</f>
        <v>42320.64583</v>
      </c>
      <c r="B954" s="1">
        <f>IFERROR(__xludf.DUMMYFUNCTION("""COMPUTED_VALUE"""),42100.0)</f>
        <v>42100</v>
      </c>
      <c r="C954" s="1">
        <f>IFERROR(__xludf.DUMMYFUNCTION("""COMPUTED_VALUE"""),43000.0)</f>
        <v>43000</v>
      </c>
      <c r="D954" s="1">
        <f>IFERROR(__xludf.DUMMYFUNCTION("""COMPUTED_VALUE"""),42100.0)</f>
        <v>42100</v>
      </c>
      <c r="E954" s="1">
        <f>IFERROR(__xludf.DUMMYFUNCTION("""COMPUTED_VALUE"""),43000.0)</f>
        <v>43000</v>
      </c>
      <c r="F954" s="1">
        <f>IFERROR(__xludf.DUMMYFUNCTION("""COMPUTED_VALUE"""),4969.0)</f>
        <v>4969</v>
      </c>
    </row>
    <row r="955">
      <c r="A955" s="2">
        <f>IFERROR(__xludf.DUMMYFUNCTION("""COMPUTED_VALUE"""),42321.64583333333)</f>
        <v>42321.64583</v>
      </c>
      <c r="B955" s="1">
        <f>IFERROR(__xludf.DUMMYFUNCTION("""COMPUTED_VALUE"""),42250.0)</f>
        <v>42250</v>
      </c>
      <c r="C955" s="1">
        <f>IFERROR(__xludf.DUMMYFUNCTION("""COMPUTED_VALUE"""),43200.0)</f>
        <v>43200</v>
      </c>
      <c r="D955" s="1">
        <f>IFERROR(__xludf.DUMMYFUNCTION("""COMPUTED_VALUE"""),42250.0)</f>
        <v>42250</v>
      </c>
      <c r="E955" s="1">
        <f>IFERROR(__xludf.DUMMYFUNCTION("""COMPUTED_VALUE"""),43200.0)</f>
        <v>43200</v>
      </c>
      <c r="F955" s="1">
        <f>IFERROR(__xludf.DUMMYFUNCTION("""COMPUTED_VALUE"""),6990.0)</f>
        <v>6990</v>
      </c>
    </row>
    <row r="956">
      <c r="A956" s="2">
        <f>IFERROR(__xludf.DUMMYFUNCTION("""COMPUTED_VALUE"""),42324.64583333333)</f>
        <v>42324.64583</v>
      </c>
      <c r="B956" s="1">
        <f>IFERROR(__xludf.DUMMYFUNCTION("""COMPUTED_VALUE"""),42500.0)</f>
        <v>42500</v>
      </c>
      <c r="C956" s="1">
        <f>IFERROR(__xludf.DUMMYFUNCTION("""COMPUTED_VALUE"""),44050.0)</f>
        <v>44050</v>
      </c>
      <c r="D956" s="1">
        <f>IFERROR(__xludf.DUMMYFUNCTION("""COMPUTED_VALUE"""),42500.0)</f>
        <v>42500</v>
      </c>
      <c r="E956" s="1">
        <f>IFERROR(__xludf.DUMMYFUNCTION("""COMPUTED_VALUE"""),43750.0)</f>
        <v>43750</v>
      </c>
      <c r="F956" s="1">
        <f>IFERROR(__xludf.DUMMYFUNCTION("""COMPUTED_VALUE"""),9086.0)</f>
        <v>9086</v>
      </c>
    </row>
    <row r="957">
      <c r="A957" s="2">
        <f>IFERROR(__xludf.DUMMYFUNCTION("""COMPUTED_VALUE"""),42325.64583333333)</f>
        <v>42325.64583</v>
      </c>
      <c r="B957" s="1">
        <f>IFERROR(__xludf.DUMMYFUNCTION("""COMPUTED_VALUE"""),43750.0)</f>
        <v>43750</v>
      </c>
      <c r="C957" s="1">
        <f>IFERROR(__xludf.DUMMYFUNCTION("""COMPUTED_VALUE"""),44700.0)</f>
        <v>44700</v>
      </c>
      <c r="D957" s="1">
        <f>IFERROR(__xludf.DUMMYFUNCTION("""COMPUTED_VALUE"""),43550.0)</f>
        <v>43550</v>
      </c>
      <c r="E957" s="1">
        <f>IFERROR(__xludf.DUMMYFUNCTION("""COMPUTED_VALUE"""),44500.0)</f>
        <v>44500</v>
      </c>
      <c r="F957" s="1">
        <f>IFERROR(__xludf.DUMMYFUNCTION("""COMPUTED_VALUE"""),10811.0)</f>
        <v>10811</v>
      </c>
    </row>
    <row r="958">
      <c r="A958" s="2">
        <f>IFERROR(__xludf.DUMMYFUNCTION("""COMPUTED_VALUE"""),42326.64583333333)</f>
        <v>42326.64583</v>
      </c>
      <c r="B958" s="1">
        <f>IFERROR(__xludf.DUMMYFUNCTION("""COMPUTED_VALUE"""),44100.0)</f>
        <v>44100</v>
      </c>
      <c r="C958" s="1">
        <f>IFERROR(__xludf.DUMMYFUNCTION("""COMPUTED_VALUE"""),44750.0)</f>
        <v>44750</v>
      </c>
      <c r="D958" s="1">
        <f>IFERROR(__xludf.DUMMYFUNCTION("""COMPUTED_VALUE"""),44100.0)</f>
        <v>44100</v>
      </c>
      <c r="E958" s="1">
        <f>IFERROR(__xludf.DUMMYFUNCTION("""COMPUTED_VALUE"""),44450.0)</f>
        <v>44450</v>
      </c>
      <c r="F958" s="1">
        <f>IFERROR(__xludf.DUMMYFUNCTION("""COMPUTED_VALUE"""),7987.0)</f>
        <v>7987</v>
      </c>
    </row>
    <row r="959">
      <c r="A959" s="2">
        <f>IFERROR(__xludf.DUMMYFUNCTION("""COMPUTED_VALUE"""),42327.64583333333)</f>
        <v>42327.64583</v>
      </c>
      <c r="B959" s="1">
        <f>IFERROR(__xludf.DUMMYFUNCTION("""COMPUTED_VALUE"""),44750.0)</f>
        <v>44750</v>
      </c>
      <c r="C959" s="1">
        <f>IFERROR(__xludf.DUMMYFUNCTION("""COMPUTED_VALUE"""),45900.0)</f>
        <v>45900</v>
      </c>
      <c r="D959" s="1">
        <f>IFERROR(__xludf.DUMMYFUNCTION("""COMPUTED_VALUE"""),44400.0)</f>
        <v>44400</v>
      </c>
      <c r="E959" s="1">
        <f>IFERROR(__xludf.DUMMYFUNCTION("""COMPUTED_VALUE"""),45800.0)</f>
        <v>45800</v>
      </c>
      <c r="F959" s="1">
        <f>IFERROR(__xludf.DUMMYFUNCTION("""COMPUTED_VALUE"""),50241.0)</f>
        <v>50241</v>
      </c>
    </row>
    <row r="960">
      <c r="A960" s="2">
        <f>IFERROR(__xludf.DUMMYFUNCTION("""COMPUTED_VALUE"""),42328.64583333333)</f>
        <v>42328.64583</v>
      </c>
      <c r="B960" s="1">
        <f>IFERROR(__xludf.DUMMYFUNCTION("""COMPUTED_VALUE"""),45750.0)</f>
        <v>45750</v>
      </c>
      <c r="C960" s="1">
        <f>IFERROR(__xludf.DUMMYFUNCTION("""COMPUTED_VALUE"""),46400.0)</f>
        <v>46400</v>
      </c>
      <c r="D960" s="1">
        <f>IFERROR(__xludf.DUMMYFUNCTION("""COMPUTED_VALUE"""),45550.0)</f>
        <v>45550</v>
      </c>
      <c r="E960" s="1">
        <f>IFERROR(__xludf.DUMMYFUNCTION("""COMPUTED_VALUE"""),46000.0)</f>
        <v>46000</v>
      </c>
      <c r="F960" s="1">
        <f>IFERROR(__xludf.DUMMYFUNCTION("""COMPUTED_VALUE"""),7977.0)</f>
        <v>7977</v>
      </c>
    </row>
    <row r="961">
      <c r="A961" s="2">
        <f>IFERROR(__xludf.DUMMYFUNCTION("""COMPUTED_VALUE"""),42331.64583333333)</f>
        <v>42331.64583</v>
      </c>
      <c r="B961" s="1">
        <f>IFERROR(__xludf.DUMMYFUNCTION("""COMPUTED_VALUE"""),46000.0)</f>
        <v>46000</v>
      </c>
      <c r="C961" s="1">
        <f>IFERROR(__xludf.DUMMYFUNCTION("""COMPUTED_VALUE"""),46300.0)</f>
        <v>46300</v>
      </c>
      <c r="D961" s="1">
        <f>IFERROR(__xludf.DUMMYFUNCTION("""COMPUTED_VALUE"""),45750.0)</f>
        <v>45750</v>
      </c>
      <c r="E961" s="1">
        <f>IFERROR(__xludf.DUMMYFUNCTION("""COMPUTED_VALUE"""),46200.0)</f>
        <v>46200</v>
      </c>
      <c r="F961" s="1">
        <f>IFERROR(__xludf.DUMMYFUNCTION("""COMPUTED_VALUE"""),3952.0)</f>
        <v>3952</v>
      </c>
    </row>
    <row r="962">
      <c r="A962" s="2">
        <f>IFERROR(__xludf.DUMMYFUNCTION("""COMPUTED_VALUE"""),42332.64583333333)</f>
        <v>42332.64583</v>
      </c>
      <c r="B962" s="1">
        <f>IFERROR(__xludf.DUMMYFUNCTION("""COMPUTED_VALUE"""),46350.0)</f>
        <v>46350</v>
      </c>
      <c r="C962" s="1">
        <f>IFERROR(__xludf.DUMMYFUNCTION("""COMPUTED_VALUE"""),46750.0)</f>
        <v>46750</v>
      </c>
      <c r="D962" s="1">
        <f>IFERROR(__xludf.DUMMYFUNCTION("""COMPUTED_VALUE"""),46200.0)</f>
        <v>46200</v>
      </c>
      <c r="E962" s="1">
        <f>IFERROR(__xludf.DUMMYFUNCTION("""COMPUTED_VALUE"""),46700.0)</f>
        <v>46700</v>
      </c>
      <c r="F962" s="1">
        <f>IFERROR(__xludf.DUMMYFUNCTION("""COMPUTED_VALUE"""),11535.0)</f>
        <v>11535</v>
      </c>
    </row>
    <row r="963">
      <c r="A963" s="2">
        <f>IFERROR(__xludf.DUMMYFUNCTION("""COMPUTED_VALUE"""),42333.64583333333)</f>
        <v>42333.64583</v>
      </c>
      <c r="B963" s="1">
        <f>IFERROR(__xludf.DUMMYFUNCTION("""COMPUTED_VALUE"""),46800.0)</f>
        <v>46800</v>
      </c>
      <c r="C963" s="1">
        <f>IFERROR(__xludf.DUMMYFUNCTION("""COMPUTED_VALUE"""),46950.0)</f>
        <v>46950</v>
      </c>
      <c r="D963" s="1">
        <f>IFERROR(__xludf.DUMMYFUNCTION("""COMPUTED_VALUE"""),46000.0)</f>
        <v>46000</v>
      </c>
      <c r="E963" s="1">
        <f>IFERROR(__xludf.DUMMYFUNCTION("""COMPUTED_VALUE"""),46350.0)</f>
        <v>46350</v>
      </c>
      <c r="F963" s="1">
        <f>IFERROR(__xludf.DUMMYFUNCTION("""COMPUTED_VALUE"""),8860.0)</f>
        <v>8860</v>
      </c>
    </row>
    <row r="964">
      <c r="A964" s="2">
        <f>IFERROR(__xludf.DUMMYFUNCTION("""COMPUTED_VALUE"""),42334.64583333333)</f>
        <v>42334.64583</v>
      </c>
      <c r="B964" s="1">
        <f>IFERROR(__xludf.DUMMYFUNCTION("""COMPUTED_VALUE"""),46300.0)</f>
        <v>46300</v>
      </c>
      <c r="C964" s="1">
        <f>IFERROR(__xludf.DUMMYFUNCTION("""COMPUTED_VALUE"""),46900.0)</f>
        <v>46900</v>
      </c>
      <c r="D964" s="1">
        <f>IFERROR(__xludf.DUMMYFUNCTION("""COMPUTED_VALUE"""),46000.0)</f>
        <v>46000</v>
      </c>
      <c r="E964" s="1">
        <f>IFERROR(__xludf.DUMMYFUNCTION("""COMPUTED_VALUE"""),46850.0)</f>
        <v>46850</v>
      </c>
      <c r="F964" s="1">
        <f>IFERROR(__xludf.DUMMYFUNCTION("""COMPUTED_VALUE"""),8213.0)</f>
        <v>8213</v>
      </c>
    </row>
    <row r="965">
      <c r="A965" s="2">
        <f>IFERROR(__xludf.DUMMYFUNCTION("""COMPUTED_VALUE"""),42335.64583333333)</f>
        <v>42335.64583</v>
      </c>
      <c r="B965" s="1">
        <f>IFERROR(__xludf.DUMMYFUNCTION("""COMPUTED_VALUE"""),47100.0)</f>
        <v>47100</v>
      </c>
      <c r="C965" s="1">
        <f>IFERROR(__xludf.DUMMYFUNCTION("""COMPUTED_VALUE"""),47100.0)</f>
        <v>47100</v>
      </c>
      <c r="D965" s="1">
        <f>IFERROR(__xludf.DUMMYFUNCTION("""COMPUTED_VALUE"""),46550.0)</f>
        <v>46550</v>
      </c>
      <c r="E965" s="1">
        <f>IFERROR(__xludf.DUMMYFUNCTION("""COMPUTED_VALUE"""),47050.0)</f>
        <v>47050</v>
      </c>
      <c r="F965" s="1">
        <f>IFERROR(__xludf.DUMMYFUNCTION("""COMPUTED_VALUE"""),10837.0)</f>
        <v>10837</v>
      </c>
    </row>
    <row r="966">
      <c r="A966" s="2">
        <f>IFERROR(__xludf.DUMMYFUNCTION("""COMPUTED_VALUE"""),42338.64583333333)</f>
        <v>42338.64583</v>
      </c>
      <c r="B966" s="1">
        <f>IFERROR(__xludf.DUMMYFUNCTION("""COMPUTED_VALUE"""),47100.0)</f>
        <v>47100</v>
      </c>
      <c r="C966" s="1">
        <f>IFERROR(__xludf.DUMMYFUNCTION("""COMPUTED_VALUE"""),47150.0)</f>
        <v>47150</v>
      </c>
      <c r="D966" s="1">
        <f>IFERROR(__xludf.DUMMYFUNCTION("""COMPUTED_VALUE"""),44300.0)</f>
        <v>44300</v>
      </c>
      <c r="E966" s="1">
        <f>IFERROR(__xludf.DUMMYFUNCTION("""COMPUTED_VALUE"""),46200.0)</f>
        <v>46200</v>
      </c>
      <c r="F966" s="1">
        <f>IFERROR(__xludf.DUMMYFUNCTION("""COMPUTED_VALUE"""),5758.0)</f>
        <v>5758</v>
      </c>
    </row>
    <row r="967">
      <c r="A967" s="2">
        <f>IFERROR(__xludf.DUMMYFUNCTION("""COMPUTED_VALUE"""),42339.64583333333)</f>
        <v>42339.64583</v>
      </c>
      <c r="B967" s="1">
        <f>IFERROR(__xludf.DUMMYFUNCTION("""COMPUTED_VALUE"""),46500.0)</f>
        <v>46500</v>
      </c>
      <c r="C967" s="1">
        <f>IFERROR(__xludf.DUMMYFUNCTION("""COMPUTED_VALUE"""),46700.0)</f>
        <v>46700</v>
      </c>
      <c r="D967" s="1">
        <f>IFERROR(__xludf.DUMMYFUNCTION("""COMPUTED_VALUE"""),46050.0)</f>
        <v>46050</v>
      </c>
      <c r="E967" s="1">
        <f>IFERROR(__xludf.DUMMYFUNCTION("""COMPUTED_VALUE"""),46650.0)</f>
        <v>46650</v>
      </c>
      <c r="F967" s="1">
        <f>IFERROR(__xludf.DUMMYFUNCTION("""COMPUTED_VALUE"""),4303.0)</f>
        <v>4303</v>
      </c>
    </row>
    <row r="968">
      <c r="A968" s="2">
        <f>IFERROR(__xludf.DUMMYFUNCTION("""COMPUTED_VALUE"""),42340.64583333333)</f>
        <v>42340.64583</v>
      </c>
      <c r="B968" s="1">
        <f>IFERROR(__xludf.DUMMYFUNCTION("""COMPUTED_VALUE"""),46650.0)</f>
        <v>46650</v>
      </c>
      <c r="C968" s="1">
        <f>IFERROR(__xludf.DUMMYFUNCTION("""COMPUTED_VALUE"""),46650.0)</f>
        <v>46650</v>
      </c>
      <c r="D968" s="1">
        <f>IFERROR(__xludf.DUMMYFUNCTION("""COMPUTED_VALUE"""),44100.0)</f>
        <v>44100</v>
      </c>
      <c r="E968" s="1">
        <f>IFERROR(__xludf.DUMMYFUNCTION("""COMPUTED_VALUE"""),46000.0)</f>
        <v>46000</v>
      </c>
      <c r="F968" s="1">
        <f>IFERROR(__xludf.DUMMYFUNCTION("""COMPUTED_VALUE"""),4731.0)</f>
        <v>4731</v>
      </c>
    </row>
    <row r="969">
      <c r="A969" s="2">
        <f>IFERROR(__xludf.DUMMYFUNCTION("""COMPUTED_VALUE"""),42341.64583333333)</f>
        <v>42341.64583</v>
      </c>
      <c r="B969" s="1">
        <f>IFERROR(__xludf.DUMMYFUNCTION("""COMPUTED_VALUE"""),45950.0)</f>
        <v>45950</v>
      </c>
      <c r="C969" s="1">
        <f>IFERROR(__xludf.DUMMYFUNCTION("""COMPUTED_VALUE"""),45950.0)</f>
        <v>45950</v>
      </c>
      <c r="D969" s="1">
        <f>IFERROR(__xludf.DUMMYFUNCTION("""COMPUTED_VALUE"""),44200.0)</f>
        <v>44200</v>
      </c>
      <c r="E969" s="1">
        <f>IFERROR(__xludf.DUMMYFUNCTION("""COMPUTED_VALUE"""),45900.0)</f>
        <v>45900</v>
      </c>
      <c r="F969" s="1">
        <f>IFERROR(__xludf.DUMMYFUNCTION("""COMPUTED_VALUE"""),5640.0)</f>
        <v>5640</v>
      </c>
    </row>
    <row r="970">
      <c r="A970" s="2">
        <f>IFERROR(__xludf.DUMMYFUNCTION("""COMPUTED_VALUE"""),42342.64583333333)</f>
        <v>42342.64583</v>
      </c>
      <c r="B970" s="1">
        <f>IFERROR(__xludf.DUMMYFUNCTION("""COMPUTED_VALUE"""),45650.0)</f>
        <v>45650</v>
      </c>
      <c r="C970" s="1">
        <f>IFERROR(__xludf.DUMMYFUNCTION("""COMPUTED_VALUE"""),45650.0)</f>
        <v>45650</v>
      </c>
      <c r="D970" s="1">
        <f>IFERROR(__xludf.DUMMYFUNCTION("""COMPUTED_VALUE"""),44650.0)</f>
        <v>44650</v>
      </c>
      <c r="E970" s="1">
        <f>IFERROR(__xludf.DUMMYFUNCTION("""COMPUTED_VALUE"""),44900.0)</f>
        <v>44900</v>
      </c>
      <c r="F970" s="1">
        <f>IFERROR(__xludf.DUMMYFUNCTION("""COMPUTED_VALUE"""),9822.0)</f>
        <v>9822</v>
      </c>
    </row>
    <row r="971">
      <c r="A971" s="2">
        <f>IFERROR(__xludf.DUMMYFUNCTION("""COMPUTED_VALUE"""),42345.64583333333)</f>
        <v>42345.64583</v>
      </c>
      <c r="B971" s="1">
        <f>IFERROR(__xludf.DUMMYFUNCTION("""COMPUTED_VALUE"""),44750.0)</f>
        <v>44750</v>
      </c>
      <c r="C971" s="1">
        <f>IFERROR(__xludf.DUMMYFUNCTION("""COMPUTED_VALUE"""),45750.0)</f>
        <v>45750</v>
      </c>
      <c r="D971" s="1">
        <f>IFERROR(__xludf.DUMMYFUNCTION("""COMPUTED_VALUE"""),44400.0)</f>
        <v>44400</v>
      </c>
      <c r="E971" s="1">
        <f>IFERROR(__xludf.DUMMYFUNCTION("""COMPUTED_VALUE"""),44800.0)</f>
        <v>44800</v>
      </c>
      <c r="F971" s="1">
        <f>IFERROR(__xludf.DUMMYFUNCTION("""COMPUTED_VALUE"""),45275.0)</f>
        <v>45275</v>
      </c>
    </row>
    <row r="972">
      <c r="A972" s="2">
        <f>IFERROR(__xludf.DUMMYFUNCTION("""COMPUTED_VALUE"""),42346.64583333333)</f>
        <v>42346.64583</v>
      </c>
      <c r="B972" s="1">
        <f>IFERROR(__xludf.DUMMYFUNCTION("""COMPUTED_VALUE"""),44500.0)</f>
        <v>44500</v>
      </c>
      <c r="C972" s="1">
        <f>IFERROR(__xludf.DUMMYFUNCTION("""COMPUTED_VALUE"""),44950.0)</f>
        <v>44950</v>
      </c>
      <c r="D972" s="1">
        <f>IFERROR(__xludf.DUMMYFUNCTION("""COMPUTED_VALUE"""),44400.0)</f>
        <v>44400</v>
      </c>
      <c r="E972" s="1">
        <f>IFERROR(__xludf.DUMMYFUNCTION("""COMPUTED_VALUE"""),44700.0)</f>
        <v>44700</v>
      </c>
      <c r="F972" s="1">
        <f>IFERROR(__xludf.DUMMYFUNCTION("""COMPUTED_VALUE"""),18727.0)</f>
        <v>18727</v>
      </c>
    </row>
    <row r="973">
      <c r="A973" s="2">
        <f>IFERROR(__xludf.DUMMYFUNCTION("""COMPUTED_VALUE"""),42347.64583333333)</f>
        <v>42347.64583</v>
      </c>
      <c r="B973" s="1">
        <f>IFERROR(__xludf.DUMMYFUNCTION("""COMPUTED_VALUE"""),45000.0)</f>
        <v>45000</v>
      </c>
      <c r="C973" s="1">
        <f>IFERROR(__xludf.DUMMYFUNCTION("""COMPUTED_VALUE"""),45000.0)</f>
        <v>45000</v>
      </c>
      <c r="D973" s="1">
        <f>IFERROR(__xludf.DUMMYFUNCTION("""COMPUTED_VALUE"""),44100.0)</f>
        <v>44100</v>
      </c>
      <c r="E973" s="1">
        <f>IFERROR(__xludf.DUMMYFUNCTION("""COMPUTED_VALUE"""),44650.0)</f>
        <v>44650</v>
      </c>
      <c r="F973" s="1">
        <f>IFERROR(__xludf.DUMMYFUNCTION("""COMPUTED_VALUE"""),107137.0)</f>
        <v>107137</v>
      </c>
    </row>
    <row r="974">
      <c r="A974" s="2">
        <f>IFERROR(__xludf.DUMMYFUNCTION("""COMPUTED_VALUE"""),42348.64583333333)</f>
        <v>42348.64583</v>
      </c>
      <c r="B974" s="1">
        <f>IFERROR(__xludf.DUMMYFUNCTION("""COMPUTED_VALUE"""),44650.0)</f>
        <v>44650</v>
      </c>
      <c r="C974" s="1">
        <f>IFERROR(__xludf.DUMMYFUNCTION("""COMPUTED_VALUE"""),44800.0)</f>
        <v>44800</v>
      </c>
      <c r="D974" s="1">
        <f>IFERROR(__xludf.DUMMYFUNCTION("""COMPUTED_VALUE"""),43800.0)</f>
        <v>43800</v>
      </c>
      <c r="E974" s="1">
        <f>IFERROR(__xludf.DUMMYFUNCTION("""COMPUTED_VALUE"""),44600.0)</f>
        <v>44600</v>
      </c>
      <c r="F974" s="1">
        <f>IFERROR(__xludf.DUMMYFUNCTION("""COMPUTED_VALUE"""),10277.0)</f>
        <v>10277</v>
      </c>
    </row>
    <row r="975">
      <c r="A975" s="2">
        <f>IFERROR(__xludf.DUMMYFUNCTION("""COMPUTED_VALUE"""),42349.64583333333)</f>
        <v>42349.64583</v>
      </c>
      <c r="B975" s="1">
        <f>IFERROR(__xludf.DUMMYFUNCTION("""COMPUTED_VALUE"""),44700.0)</f>
        <v>44700</v>
      </c>
      <c r="C975" s="1">
        <f>IFERROR(__xludf.DUMMYFUNCTION("""COMPUTED_VALUE"""),44850.0)</f>
        <v>44850</v>
      </c>
      <c r="D975" s="1">
        <f>IFERROR(__xludf.DUMMYFUNCTION("""COMPUTED_VALUE"""),44300.0)</f>
        <v>44300</v>
      </c>
      <c r="E975" s="1">
        <f>IFERROR(__xludf.DUMMYFUNCTION("""COMPUTED_VALUE"""),44750.0)</f>
        <v>44750</v>
      </c>
      <c r="F975" s="1">
        <f>IFERROR(__xludf.DUMMYFUNCTION("""COMPUTED_VALUE"""),1429.0)</f>
        <v>1429</v>
      </c>
    </row>
    <row r="976">
      <c r="A976" s="2">
        <f>IFERROR(__xludf.DUMMYFUNCTION("""COMPUTED_VALUE"""),42352.64583333333)</f>
        <v>42352.64583</v>
      </c>
      <c r="B976" s="1">
        <f>IFERROR(__xludf.DUMMYFUNCTION("""COMPUTED_VALUE"""),44400.0)</f>
        <v>44400</v>
      </c>
      <c r="C976" s="1">
        <f>IFERROR(__xludf.DUMMYFUNCTION("""COMPUTED_VALUE"""),44400.0)</f>
        <v>44400</v>
      </c>
      <c r="D976" s="1">
        <f>IFERROR(__xludf.DUMMYFUNCTION("""COMPUTED_VALUE"""),43450.0)</f>
        <v>43450</v>
      </c>
      <c r="E976" s="1">
        <f>IFERROR(__xludf.DUMMYFUNCTION("""COMPUTED_VALUE"""),43800.0)</f>
        <v>43800</v>
      </c>
      <c r="F976" s="1">
        <f>IFERROR(__xludf.DUMMYFUNCTION("""COMPUTED_VALUE"""),2927.0)</f>
        <v>2927</v>
      </c>
    </row>
    <row r="977">
      <c r="A977" s="2">
        <f>IFERROR(__xludf.DUMMYFUNCTION("""COMPUTED_VALUE"""),42353.64583333333)</f>
        <v>42353.64583</v>
      </c>
      <c r="B977" s="1">
        <f>IFERROR(__xludf.DUMMYFUNCTION("""COMPUTED_VALUE"""),43600.0)</f>
        <v>43600</v>
      </c>
      <c r="C977" s="1">
        <f>IFERROR(__xludf.DUMMYFUNCTION("""COMPUTED_VALUE"""),44350.0)</f>
        <v>44350</v>
      </c>
      <c r="D977" s="1">
        <f>IFERROR(__xludf.DUMMYFUNCTION("""COMPUTED_VALUE"""),43050.0)</f>
        <v>43050</v>
      </c>
      <c r="E977" s="1">
        <f>IFERROR(__xludf.DUMMYFUNCTION("""COMPUTED_VALUE"""),44000.0)</f>
        <v>44000</v>
      </c>
      <c r="F977" s="1">
        <f>IFERROR(__xludf.DUMMYFUNCTION("""COMPUTED_VALUE"""),2866.0)</f>
        <v>2866</v>
      </c>
    </row>
    <row r="978">
      <c r="A978" s="2">
        <f>IFERROR(__xludf.DUMMYFUNCTION("""COMPUTED_VALUE"""),42354.64583333333)</f>
        <v>42354.64583</v>
      </c>
      <c r="B978" s="1">
        <f>IFERROR(__xludf.DUMMYFUNCTION("""COMPUTED_VALUE"""),44500.0)</f>
        <v>44500</v>
      </c>
      <c r="C978" s="1">
        <f>IFERROR(__xludf.DUMMYFUNCTION("""COMPUTED_VALUE"""),46400.0)</f>
        <v>46400</v>
      </c>
      <c r="D978" s="1">
        <f>IFERROR(__xludf.DUMMYFUNCTION("""COMPUTED_VALUE"""),43800.0)</f>
        <v>43800</v>
      </c>
      <c r="E978" s="1">
        <f>IFERROR(__xludf.DUMMYFUNCTION("""COMPUTED_VALUE"""),45950.0)</f>
        <v>45950</v>
      </c>
      <c r="F978" s="1">
        <f>IFERROR(__xludf.DUMMYFUNCTION("""COMPUTED_VALUE"""),7973.0)</f>
        <v>7973</v>
      </c>
    </row>
    <row r="979">
      <c r="A979" s="2">
        <f>IFERROR(__xludf.DUMMYFUNCTION("""COMPUTED_VALUE"""),42355.64583333333)</f>
        <v>42355.64583</v>
      </c>
      <c r="B979" s="1">
        <f>IFERROR(__xludf.DUMMYFUNCTION("""COMPUTED_VALUE"""),45900.0)</f>
        <v>45900</v>
      </c>
      <c r="C979" s="1">
        <f>IFERROR(__xludf.DUMMYFUNCTION("""COMPUTED_VALUE"""),46550.0)</f>
        <v>46550</v>
      </c>
      <c r="D979" s="1">
        <f>IFERROR(__xludf.DUMMYFUNCTION("""COMPUTED_VALUE"""),45250.0)</f>
        <v>45250</v>
      </c>
      <c r="E979" s="1">
        <f>IFERROR(__xludf.DUMMYFUNCTION("""COMPUTED_VALUE"""),46450.0)</f>
        <v>46450</v>
      </c>
      <c r="F979" s="1">
        <f>IFERROR(__xludf.DUMMYFUNCTION("""COMPUTED_VALUE"""),23207.0)</f>
        <v>23207</v>
      </c>
    </row>
    <row r="980">
      <c r="A980" s="2">
        <f>IFERROR(__xludf.DUMMYFUNCTION("""COMPUTED_VALUE"""),42356.64583333333)</f>
        <v>42356.64583</v>
      </c>
      <c r="B980" s="1">
        <f>IFERROR(__xludf.DUMMYFUNCTION("""COMPUTED_VALUE"""),46350.0)</f>
        <v>46350</v>
      </c>
      <c r="C980" s="1">
        <f>IFERROR(__xludf.DUMMYFUNCTION("""COMPUTED_VALUE"""),46450.0)</f>
        <v>46450</v>
      </c>
      <c r="D980" s="1">
        <f>IFERROR(__xludf.DUMMYFUNCTION("""COMPUTED_VALUE"""),45700.0)</f>
        <v>45700</v>
      </c>
      <c r="E980" s="1">
        <f>IFERROR(__xludf.DUMMYFUNCTION("""COMPUTED_VALUE"""),46150.0)</f>
        <v>46150</v>
      </c>
      <c r="F980" s="1">
        <f>IFERROR(__xludf.DUMMYFUNCTION("""COMPUTED_VALUE"""),9437.0)</f>
        <v>9437</v>
      </c>
    </row>
    <row r="981">
      <c r="A981" s="2">
        <f>IFERROR(__xludf.DUMMYFUNCTION("""COMPUTED_VALUE"""),42359.64583333333)</f>
        <v>42359.64583</v>
      </c>
      <c r="B981" s="1">
        <f>IFERROR(__xludf.DUMMYFUNCTION("""COMPUTED_VALUE"""),46100.0)</f>
        <v>46100</v>
      </c>
      <c r="C981" s="1">
        <f>IFERROR(__xludf.DUMMYFUNCTION("""COMPUTED_VALUE"""),46950.0)</f>
        <v>46950</v>
      </c>
      <c r="D981" s="1">
        <f>IFERROR(__xludf.DUMMYFUNCTION("""COMPUTED_VALUE"""),46100.0)</f>
        <v>46100</v>
      </c>
      <c r="E981" s="1">
        <f>IFERROR(__xludf.DUMMYFUNCTION("""COMPUTED_VALUE"""),46700.0)</f>
        <v>46700</v>
      </c>
      <c r="F981" s="1">
        <f>IFERROR(__xludf.DUMMYFUNCTION("""COMPUTED_VALUE"""),10203.0)</f>
        <v>10203</v>
      </c>
    </row>
    <row r="982">
      <c r="A982" s="2">
        <f>IFERROR(__xludf.DUMMYFUNCTION("""COMPUTED_VALUE"""),42360.64583333333)</f>
        <v>42360.64583</v>
      </c>
      <c r="B982" s="1">
        <f>IFERROR(__xludf.DUMMYFUNCTION("""COMPUTED_VALUE"""),46850.0)</f>
        <v>46850</v>
      </c>
      <c r="C982" s="1">
        <f>IFERROR(__xludf.DUMMYFUNCTION("""COMPUTED_VALUE"""),47600.0)</f>
        <v>47600</v>
      </c>
      <c r="D982" s="1">
        <f>IFERROR(__xludf.DUMMYFUNCTION("""COMPUTED_VALUE"""),46200.0)</f>
        <v>46200</v>
      </c>
      <c r="E982" s="1">
        <f>IFERROR(__xludf.DUMMYFUNCTION("""COMPUTED_VALUE"""),47500.0)</f>
        <v>47500</v>
      </c>
      <c r="F982" s="1">
        <f>IFERROR(__xludf.DUMMYFUNCTION("""COMPUTED_VALUE"""),14820.0)</f>
        <v>14820</v>
      </c>
    </row>
    <row r="983">
      <c r="A983" s="2">
        <f>IFERROR(__xludf.DUMMYFUNCTION("""COMPUTED_VALUE"""),42361.64583333333)</f>
        <v>42361.64583</v>
      </c>
      <c r="B983" s="1">
        <f>IFERROR(__xludf.DUMMYFUNCTION("""COMPUTED_VALUE"""),47900.0)</f>
        <v>47900</v>
      </c>
      <c r="C983" s="1">
        <f>IFERROR(__xludf.DUMMYFUNCTION("""COMPUTED_VALUE"""),47900.0)</f>
        <v>47900</v>
      </c>
      <c r="D983" s="1">
        <f>IFERROR(__xludf.DUMMYFUNCTION("""COMPUTED_VALUE"""),47400.0)</f>
        <v>47400</v>
      </c>
      <c r="E983" s="1">
        <f>IFERROR(__xludf.DUMMYFUNCTION("""COMPUTED_VALUE"""),47700.0)</f>
        <v>47700</v>
      </c>
      <c r="F983" s="1">
        <f>IFERROR(__xludf.DUMMYFUNCTION("""COMPUTED_VALUE"""),25475.0)</f>
        <v>25475</v>
      </c>
    </row>
    <row r="984">
      <c r="A984" s="2">
        <f>IFERROR(__xludf.DUMMYFUNCTION("""COMPUTED_VALUE"""),42362.64583333333)</f>
        <v>42362.64583</v>
      </c>
      <c r="B984" s="1">
        <f>IFERROR(__xludf.DUMMYFUNCTION("""COMPUTED_VALUE"""),48000.0)</f>
        <v>48000</v>
      </c>
      <c r="C984" s="1">
        <f>IFERROR(__xludf.DUMMYFUNCTION("""COMPUTED_VALUE"""),48000.0)</f>
        <v>48000</v>
      </c>
      <c r="D984" s="1">
        <f>IFERROR(__xludf.DUMMYFUNCTION("""COMPUTED_VALUE"""),47450.0)</f>
        <v>47450</v>
      </c>
      <c r="E984" s="1">
        <f>IFERROR(__xludf.DUMMYFUNCTION("""COMPUTED_VALUE"""),47800.0)</f>
        <v>47800</v>
      </c>
      <c r="F984" s="1">
        <f>IFERROR(__xludf.DUMMYFUNCTION("""COMPUTED_VALUE"""),12950.0)</f>
        <v>12950</v>
      </c>
    </row>
    <row r="985">
      <c r="A985" s="2">
        <f>IFERROR(__xludf.DUMMYFUNCTION("""COMPUTED_VALUE"""),42366.64583333333)</f>
        <v>42366.64583</v>
      </c>
      <c r="B985" s="1">
        <f>IFERROR(__xludf.DUMMYFUNCTION("""COMPUTED_VALUE"""),47800.0)</f>
        <v>47800</v>
      </c>
      <c r="C985" s="1">
        <f>IFERROR(__xludf.DUMMYFUNCTION("""COMPUTED_VALUE"""),47900.0)</f>
        <v>47900</v>
      </c>
      <c r="D985" s="1">
        <f>IFERROR(__xludf.DUMMYFUNCTION("""COMPUTED_VALUE"""),47100.0)</f>
        <v>47100</v>
      </c>
      <c r="E985" s="1">
        <f>IFERROR(__xludf.DUMMYFUNCTION("""COMPUTED_VALUE"""),47650.0)</f>
        <v>47650</v>
      </c>
      <c r="F985" s="1">
        <f>IFERROR(__xludf.DUMMYFUNCTION("""COMPUTED_VALUE"""),10497.0)</f>
        <v>10497</v>
      </c>
    </row>
    <row r="986">
      <c r="A986" s="2">
        <f>IFERROR(__xludf.DUMMYFUNCTION("""COMPUTED_VALUE"""),42367.64583333333)</f>
        <v>42367.64583</v>
      </c>
      <c r="B986" s="1">
        <f>IFERROR(__xludf.DUMMYFUNCTION("""COMPUTED_VALUE"""),46550.0)</f>
        <v>46550</v>
      </c>
      <c r="C986" s="1">
        <f>IFERROR(__xludf.DUMMYFUNCTION("""COMPUTED_VALUE"""),47700.0)</f>
        <v>47700</v>
      </c>
      <c r="D986" s="1">
        <f>IFERROR(__xludf.DUMMYFUNCTION("""COMPUTED_VALUE"""),46100.0)</f>
        <v>46100</v>
      </c>
      <c r="E986" s="1">
        <f>IFERROR(__xludf.DUMMYFUNCTION("""COMPUTED_VALUE"""),46700.0)</f>
        <v>46700</v>
      </c>
      <c r="F986" s="1">
        <f>IFERROR(__xludf.DUMMYFUNCTION("""COMPUTED_VALUE"""),8091.0)</f>
        <v>8091</v>
      </c>
    </row>
    <row r="987">
      <c r="A987" s="2">
        <f>IFERROR(__xludf.DUMMYFUNCTION("""COMPUTED_VALUE"""),42368.64583333333)</f>
        <v>42368.64583</v>
      </c>
      <c r="B987" s="1">
        <f>IFERROR(__xludf.DUMMYFUNCTION("""COMPUTED_VALUE"""),46550.0)</f>
        <v>46550</v>
      </c>
      <c r="C987" s="1">
        <f>IFERROR(__xludf.DUMMYFUNCTION("""COMPUTED_VALUE"""),46700.0)</f>
        <v>46700</v>
      </c>
      <c r="D987" s="1">
        <f>IFERROR(__xludf.DUMMYFUNCTION("""COMPUTED_VALUE"""),46200.0)</f>
        <v>46200</v>
      </c>
      <c r="E987" s="1">
        <f>IFERROR(__xludf.DUMMYFUNCTION("""COMPUTED_VALUE"""),46450.0)</f>
        <v>46450</v>
      </c>
      <c r="F987" s="1">
        <f>IFERROR(__xludf.DUMMYFUNCTION("""COMPUTED_VALUE"""),3411.0)</f>
        <v>3411</v>
      </c>
    </row>
    <row r="988">
      <c r="A988" s="2">
        <f>IFERROR(__xludf.DUMMYFUNCTION("""COMPUTED_VALUE"""),42373.64583333333)</f>
        <v>42373.64583</v>
      </c>
      <c r="B988" s="1">
        <f>IFERROR(__xludf.DUMMYFUNCTION("""COMPUTED_VALUE"""),46450.0)</f>
        <v>46450</v>
      </c>
      <c r="C988" s="1">
        <f>IFERROR(__xludf.DUMMYFUNCTION("""COMPUTED_VALUE"""),46850.0)</f>
        <v>46850</v>
      </c>
      <c r="D988" s="1">
        <f>IFERROR(__xludf.DUMMYFUNCTION("""COMPUTED_VALUE"""),43500.0)</f>
        <v>43500</v>
      </c>
      <c r="E988" s="1">
        <f>IFERROR(__xludf.DUMMYFUNCTION("""COMPUTED_VALUE"""),45650.0)</f>
        <v>45650</v>
      </c>
      <c r="F988" s="1">
        <f>IFERROR(__xludf.DUMMYFUNCTION("""COMPUTED_VALUE"""),3144.0)</f>
        <v>3144</v>
      </c>
    </row>
    <row r="989">
      <c r="A989" s="2">
        <f>IFERROR(__xludf.DUMMYFUNCTION("""COMPUTED_VALUE"""),42374.64583333333)</f>
        <v>42374.64583</v>
      </c>
      <c r="B989" s="1">
        <f>IFERROR(__xludf.DUMMYFUNCTION("""COMPUTED_VALUE"""),45550.0)</f>
        <v>45550</v>
      </c>
      <c r="C989" s="1">
        <f>IFERROR(__xludf.DUMMYFUNCTION("""COMPUTED_VALUE"""),46000.0)</f>
        <v>46000</v>
      </c>
      <c r="D989" s="1">
        <f>IFERROR(__xludf.DUMMYFUNCTION("""COMPUTED_VALUE"""),45300.0)</f>
        <v>45300</v>
      </c>
      <c r="E989" s="1">
        <f>IFERROR(__xludf.DUMMYFUNCTION("""COMPUTED_VALUE"""),45300.0)</f>
        <v>45300</v>
      </c>
      <c r="F989" s="1">
        <f>IFERROR(__xludf.DUMMYFUNCTION("""COMPUTED_VALUE"""),4889.0)</f>
        <v>4889</v>
      </c>
    </row>
    <row r="990">
      <c r="A990" s="2">
        <f>IFERROR(__xludf.DUMMYFUNCTION("""COMPUTED_VALUE"""),42375.64583333333)</f>
        <v>42375.64583</v>
      </c>
      <c r="B990" s="1">
        <f>IFERROR(__xludf.DUMMYFUNCTION("""COMPUTED_VALUE"""),45850.0)</f>
        <v>45850</v>
      </c>
      <c r="C990" s="1">
        <f>IFERROR(__xludf.DUMMYFUNCTION("""COMPUTED_VALUE"""),45850.0)</f>
        <v>45850</v>
      </c>
      <c r="D990" s="1">
        <f>IFERROR(__xludf.DUMMYFUNCTION("""COMPUTED_VALUE"""),43100.0)</f>
        <v>43100</v>
      </c>
      <c r="E990" s="1">
        <f>IFERROR(__xludf.DUMMYFUNCTION("""COMPUTED_VALUE"""),44200.0)</f>
        <v>44200</v>
      </c>
      <c r="F990" s="1">
        <f>IFERROR(__xludf.DUMMYFUNCTION("""COMPUTED_VALUE"""),7903.0)</f>
        <v>7903</v>
      </c>
    </row>
    <row r="991">
      <c r="A991" s="2">
        <f>IFERROR(__xludf.DUMMYFUNCTION("""COMPUTED_VALUE"""),42376.64583333333)</f>
        <v>42376.64583</v>
      </c>
      <c r="B991" s="1">
        <f>IFERROR(__xludf.DUMMYFUNCTION("""COMPUTED_VALUE"""),44550.0)</f>
        <v>44550</v>
      </c>
      <c r="C991" s="1">
        <f>IFERROR(__xludf.DUMMYFUNCTION("""COMPUTED_VALUE"""),44550.0)</f>
        <v>44550</v>
      </c>
      <c r="D991" s="1">
        <f>IFERROR(__xludf.DUMMYFUNCTION("""COMPUTED_VALUE"""),43250.0)</f>
        <v>43250</v>
      </c>
      <c r="E991" s="1">
        <f>IFERROR(__xludf.DUMMYFUNCTION("""COMPUTED_VALUE"""),43550.0)</f>
        <v>43550</v>
      </c>
      <c r="F991" s="1">
        <f>IFERROR(__xludf.DUMMYFUNCTION("""COMPUTED_VALUE"""),6363.0)</f>
        <v>6363</v>
      </c>
    </row>
    <row r="992">
      <c r="A992" s="2">
        <f>IFERROR(__xludf.DUMMYFUNCTION("""COMPUTED_VALUE"""),42377.64583333333)</f>
        <v>42377.64583</v>
      </c>
      <c r="B992" s="1">
        <f>IFERROR(__xludf.DUMMYFUNCTION("""COMPUTED_VALUE"""),43200.0)</f>
        <v>43200</v>
      </c>
      <c r="C992" s="1">
        <f>IFERROR(__xludf.DUMMYFUNCTION("""COMPUTED_VALUE"""),45650.0)</f>
        <v>45650</v>
      </c>
      <c r="D992" s="1">
        <f>IFERROR(__xludf.DUMMYFUNCTION("""COMPUTED_VALUE"""),42950.0)</f>
        <v>42950</v>
      </c>
      <c r="E992" s="1">
        <f>IFERROR(__xludf.DUMMYFUNCTION("""COMPUTED_VALUE"""),45650.0)</f>
        <v>45650</v>
      </c>
      <c r="F992" s="1">
        <f>IFERROR(__xludf.DUMMYFUNCTION("""COMPUTED_VALUE"""),5572.0)</f>
        <v>5572</v>
      </c>
    </row>
    <row r="993">
      <c r="A993" s="2">
        <f>IFERROR(__xludf.DUMMYFUNCTION("""COMPUTED_VALUE"""),42380.64583333333)</f>
        <v>42380.64583</v>
      </c>
      <c r="B993" s="1">
        <f>IFERROR(__xludf.DUMMYFUNCTION("""COMPUTED_VALUE"""),45800.0)</f>
        <v>45800</v>
      </c>
      <c r="C993" s="1">
        <f>IFERROR(__xludf.DUMMYFUNCTION("""COMPUTED_VALUE"""),45800.0)</f>
        <v>45800</v>
      </c>
      <c r="D993" s="1">
        <f>IFERROR(__xludf.DUMMYFUNCTION("""COMPUTED_VALUE"""),44600.0)</f>
        <v>44600</v>
      </c>
      <c r="E993" s="1">
        <f>IFERROR(__xludf.DUMMYFUNCTION("""COMPUTED_VALUE"""),45000.0)</f>
        <v>45000</v>
      </c>
      <c r="F993" s="1">
        <f>IFERROR(__xludf.DUMMYFUNCTION("""COMPUTED_VALUE"""),4931.0)</f>
        <v>4931</v>
      </c>
    </row>
    <row r="994">
      <c r="A994" s="2">
        <f>IFERROR(__xludf.DUMMYFUNCTION("""COMPUTED_VALUE"""),42381.64583333333)</f>
        <v>42381.64583</v>
      </c>
      <c r="B994" s="1">
        <f>IFERROR(__xludf.DUMMYFUNCTION("""COMPUTED_VALUE"""),45100.0)</f>
        <v>45100</v>
      </c>
      <c r="C994" s="1">
        <f>IFERROR(__xludf.DUMMYFUNCTION("""COMPUTED_VALUE"""),45250.0)</f>
        <v>45250</v>
      </c>
      <c r="D994" s="1">
        <f>IFERROR(__xludf.DUMMYFUNCTION("""COMPUTED_VALUE"""),44400.0)</f>
        <v>44400</v>
      </c>
      <c r="E994" s="1">
        <f>IFERROR(__xludf.DUMMYFUNCTION("""COMPUTED_VALUE"""),44900.0)</f>
        <v>44900</v>
      </c>
      <c r="F994" s="1">
        <f>IFERROR(__xludf.DUMMYFUNCTION("""COMPUTED_VALUE"""),8929.0)</f>
        <v>8929</v>
      </c>
    </row>
    <row r="995">
      <c r="A995" s="2">
        <f>IFERROR(__xludf.DUMMYFUNCTION("""COMPUTED_VALUE"""),42382.64583333333)</f>
        <v>42382.64583</v>
      </c>
      <c r="B995" s="1">
        <f>IFERROR(__xludf.DUMMYFUNCTION("""COMPUTED_VALUE"""),45000.0)</f>
        <v>45000</v>
      </c>
      <c r="C995" s="1">
        <f>IFERROR(__xludf.DUMMYFUNCTION("""COMPUTED_VALUE"""),45450.0)</f>
        <v>45450</v>
      </c>
      <c r="D995" s="1">
        <f>IFERROR(__xludf.DUMMYFUNCTION("""COMPUTED_VALUE"""),44650.0)</f>
        <v>44650</v>
      </c>
      <c r="E995" s="1">
        <f>IFERROR(__xludf.DUMMYFUNCTION("""COMPUTED_VALUE"""),45300.0)</f>
        <v>45300</v>
      </c>
      <c r="F995" s="1">
        <f>IFERROR(__xludf.DUMMYFUNCTION("""COMPUTED_VALUE"""),6854.0)</f>
        <v>6854</v>
      </c>
    </row>
    <row r="996">
      <c r="A996" s="2">
        <f>IFERROR(__xludf.DUMMYFUNCTION("""COMPUTED_VALUE"""),42383.64583333333)</f>
        <v>42383.64583</v>
      </c>
      <c r="B996" s="1">
        <f>IFERROR(__xludf.DUMMYFUNCTION("""COMPUTED_VALUE"""),44900.0)</f>
        <v>44900</v>
      </c>
      <c r="C996" s="1">
        <f>IFERROR(__xludf.DUMMYFUNCTION("""COMPUTED_VALUE"""),44900.0)</f>
        <v>44900</v>
      </c>
      <c r="D996" s="1">
        <f>IFERROR(__xludf.DUMMYFUNCTION("""COMPUTED_VALUE"""),43950.0)</f>
        <v>43950</v>
      </c>
      <c r="E996" s="1">
        <f>IFERROR(__xludf.DUMMYFUNCTION("""COMPUTED_VALUE"""),44200.0)</f>
        <v>44200</v>
      </c>
      <c r="F996" s="1">
        <f>IFERROR(__xludf.DUMMYFUNCTION("""COMPUTED_VALUE"""),14974.0)</f>
        <v>14974</v>
      </c>
    </row>
    <row r="997">
      <c r="A997" s="2">
        <f>IFERROR(__xludf.DUMMYFUNCTION("""COMPUTED_VALUE"""),42384.64583333333)</f>
        <v>42384.64583</v>
      </c>
      <c r="B997" s="1">
        <f>IFERROR(__xludf.DUMMYFUNCTION("""COMPUTED_VALUE"""),44600.0)</f>
        <v>44600</v>
      </c>
      <c r="C997" s="1">
        <f>IFERROR(__xludf.DUMMYFUNCTION("""COMPUTED_VALUE"""),44600.0)</f>
        <v>44600</v>
      </c>
      <c r="D997" s="1">
        <f>IFERROR(__xludf.DUMMYFUNCTION("""COMPUTED_VALUE"""),43900.0)</f>
        <v>43900</v>
      </c>
      <c r="E997" s="1">
        <f>IFERROR(__xludf.DUMMYFUNCTION("""COMPUTED_VALUE"""),43900.0)</f>
        <v>43900</v>
      </c>
      <c r="F997" s="1">
        <f>IFERROR(__xludf.DUMMYFUNCTION("""COMPUTED_VALUE"""),7744.0)</f>
        <v>7744</v>
      </c>
    </row>
    <row r="998">
      <c r="A998" s="2">
        <f>IFERROR(__xludf.DUMMYFUNCTION("""COMPUTED_VALUE"""),42387.64583333333)</f>
        <v>42387.64583</v>
      </c>
      <c r="B998" s="1">
        <f>IFERROR(__xludf.DUMMYFUNCTION("""COMPUTED_VALUE"""),43900.0)</f>
        <v>43900</v>
      </c>
      <c r="C998" s="1">
        <f>IFERROR(__xludf.DUMMYFUNCTION("""COMPUTED_VALUE"""),44200.0)</f>
        <v>44200</v>
      </c>
      <c r="D998" s="1">
        <f>IFERROR(__xludf.DUMMYFUNCTION("""COMPUTED_VALUE"""),42850.0)</f>
        <v>42850</v>
      </c>
      <c r="E998" s="1">
        <f>IFERROR(__xludf.DUMMYFUNCTION("""COMPUTED_VALUE"""),44150.0)</f>
        <v>44150</v>
      </c>
      <c r="F998" s="1">
        <f>IFERROR(__xludf.DUMMYFUNCTION("""COMPUTED_VALUE"""),5958.0)</f>
        <v>5958</v>
      </c>
    </row>
    <row r="999">
      <c r="A999" s="2">
        <f>IFERROR(__xludf.DUMMYFUNCTION("""COMPUTED_VALUE"""),42388.64583333333)</f>
        <v>42388.64583</v>
      </c>
      <c r="B999" s="1">
        <f>IFERROR(__xludf.DUMMYFUNCTION("""COMPUTED_VALUE"""),44150.0)</f>
        <v>44150</v>
      </c>
      <c r="C999" s="1">
        <f>IFERROR(__xludf.DUMMYFUNCTION("""COMPUTED_VALUE"""),44300.0)</f>
        <v>44300</v>
      </c>
      <c r="D999" s="1">
        <f>IFERROR(__xludf.DUMMYFUNCTION("""COMPUTED_VALUE"""),43300.0)</f>
        <v>43300</v>
      </c>
      <c r="E999" s="1">
        <f>IFERROR(__xludf.DUMMYFUNCTION("""COMPUTED_VALUE"""),43550.0)</f>
        <v>43550</v>
      </c>
      <c r="F999" s="1">
        <f>IFERROR(__xludf.DUMMYFUNCTION("""COMPUTED_VALUE"""),4812.0)</f>
        <v>4812</v>
      </c>
    </row>
    <row r="1000">
      <c r="A1000" s="2">
        <f>IFERROR(__xludf.DUMMYFUNCTION("""COMPUTED_VALUE"""),42389.64583333333)</f>
        <v>42389.64583</v>
      </c>
      <c r="B1000" s="1">
        <f>IFERROR(__xludf.DUMMYFUNCTION("""COMPUTED_VALUE"""),42850.0)</f>
        <v>42850</v>
      </c>
      <c r="C1000" s="1">
        <f>IFERROR(__xludf.DUMMYFUNCTION("""COMPUTED_VALUE"""),43800.0)</f>
        <v>43800</v>
      </c>
      <c r="D1000" s="1">
        <f>IFERROR(__xludf.DUMMYFUNCTION("""COMPUTED_VALUE"""),42850.0)</f>
        <v>42850</v>
      </c>
      <c r="E1000" s="1">
        <f>IFERROR(__xludf.DUMMYFUNCTION("""COMPUTED_VALUE"""),43250.0)</f>
        <v>43250</v>
      </c>
      <c r="F1000" s="1">
        <f>IFERROR(__xludf.DUMMYFUNCTION("""COMPUTED_VALUE"""),20399.0)</f>
        <v>20399</v>
      </c>
    </row>
    <row r="1001">
      <c r="A1001" s="2">
        <f>IFERROR(__xludf.DUMMYFUNCTION("""COMPUTED_VALUE"""),42390.64583333333)</f>
        <v>42390.64583</v>
      </c>
      <c r="B1001" s="1">
        <f>IFERROR(__xludf.DUMMYFUNCTION("""COMPUTED_VALUE"""),43250.0)</f>
        <v>43250</v>
      </c>
      <c r="C1001" s="1">
        <f>IFERROR(__xludf.DUMMYFUNCTION("""COMPUTED_VALUE"""),44500.0)</f>
        <v>44500</v>
      </c>
      <c r="D1001" s="1">
        <f>IFERROR(__xludf.DUMMYFUNCTION("""COMPUTED_VALUE"""),43250.0)</f>
        <v>43250</v>
      </c>
      <c r="E1001" s="1">
        <f>IFERROR(__xludf.DUMMYFUNCTION("""COMPUTED_VALUE"""),44250.0)</f>
        <v>44250</v>
      </c>
      <c r="F1001" s="1">
        <f>IFERROR(__xludf.DUMMYFUNCTION("""COMPUTED_VALUE"""),12357.0)</f>
        <v>12357</v>
      </c>
    </row>
    <row r="1002">
      <c r="A1002" s="2">
        <f>IFERROR(__xludf.DUMMYFUNCTION("""COMPUTED_VALUE"""),42391.64583333333)</f>
        <v>42391.64583</v>
      </c>
      <c r="B1002" s="1">
        <f>IFERROR(__xludf.DUMMYFUNCTION("""COMPUTED_VALUE"""),44650.0)</f>
        <v>44650</v>
      </c>
      <c r="C1002" s="1">
        <f>IFERROR(__xludf.DUMMYFUNCTION("""COMPUTED_VALUE"""),45100.0)</f>
        <v>45100</v>
      </c>
      <c r="D1002" s="1">
        <f>IFERROR(__xludf.DUMMYFUNCTION("""COMPUTED_VALUE"""),44300.0)</f>
        <v>44300</v>
      </c>
      <c r="E1002" s="1">
        <f>IFERROR(__xludf.DUMMYFUNCTION("""COMPUTED_VALUE"""),45050.0)</f>
        <v>45050</v>
      </c>
      <c r="F1002" s="1">
        <f>IFERROR(__xludf.DUMMYFUNCTION("""COMPUTED_VALUE"""),7813.0)</f>
        <v>7813</v>
      </c>
    </row>
    <row r="1003">
      <c r="A1003" s="2">
        <f>IFERROR(__xludf.DUMMYFUNCTION("""COMPUTED_VALUE"""),42394.64583333333)</f>
        <v>42394.64583</v>
      </c>
      <c r="B1003" s="1">
        <f>IFERROR(__xludf.DUMMYFUNCTION("""COMPUTED_VALUE"""),45100.0)</f>
        <v>45100</v>
      </c>
      <c r="C1003" s="1">
        <f>IFERROR(__xludf.DUMMYFUNCTION("""COMPUTED_VALUE"""),45850.0)</f>
        <v>45850</v>
      </c>
      <c r="D1003" s="1">
        <f>IFERROR(__xludf.DUMMYFUNCTION("""COMPUTED_VALUE"""),45100.0)</f>
        <v>45100</v>
      </c>
      <c r="E1003" s="1">
        <f>IFERROR(__xludf.DUMMYFUNCTION("""COMPUTED_VALUE"""),45400.0)</f>
        <v>45400</v>
      </c>
      <c r="F1003" s="1">
        <f>IFERROR(__xludf.DUMMYFUNCTION("""COMPUTED_VALUE"""),5945.0)</f>
        <v>5945</v>
      </c>
    </row>
    <row r="1004">
      <c r="A1004" s="2">
        <f>IFERROR(__xludf.DUMMYFUNCTION("""COMPUTED_VALUE"""),42395.64583333333)</f>
        <v>42395.64583</v>
      </c>
      <c r="B1004" s="1">
        <f>IFERROR(__xludf.DUMMYFUNCTION("""COMPUTED_VALUE"""),45400.0)</f>
        <v>45400</v>
      </c>
      <c r="C1004" s="1">
        <f>IFERROR(__xludf.DUMMYFUNCTION("""COMPUTED_VALUE"""),45600.0)</f>
        <v>45600</v>
      </c>
      <c r="D1004" s="1">
        <f>IFERROR(__xludf.DUMMYFUNCTION("""COMPUTED_VALUE"""),45150.0)</f>
        <v>45150</v>
      </c>
      <c r="E1004" s="1">
        <f>IFERROR(__xludf.DUMMYFUNCTION("""COMPUTED_VALUE"""),45450.0)</f>
        <v>45450</v>
      </c>
      <c r="F1004" s="1">
        <f>IFERROR(__xludf.DUMMYFUNCTION("""COMPUTED_VALUE"""),3561.0)</f>
        <v>3561</v>
      </c>
    </row>
    <row r="1005">
      <c r="A1005" s="2">
        <f>IFERROR(__xludf.DUMMYFUNCTION("""COMPUTED_VALUE"""),42396.64583333333)</f>
        <v>42396.64583</v>
      </c>
      <c r="B1005" s="1">
        <f>IFERROR(__xludf.DUMMYFUNCTION("""COMPUTED_VALUE"""),46400.0)</f>
        <v>46400</v>
      </c>
      <c r="C1005" s="1">
        <f>IFERROR(__xludf.DUMMYFUNCTION("""COMPUTED_VALUE"""),46400.0)</f>
        <v>46400</v>
      </c>
      <c r="D1005" s="1">
        <f>IFERROR(__xludf.DUMMYFUNCTION("""COMPUTED_VALUE"""),43900.0)</f>
        <v>43900</v>
      </c>
      <c r="E1005" s="1">
        <f>IFERROR(__xludf.DUMMYFUNCTION("""COMPUTED_VALUE"""),44200.0)</f>
        <v>44200</v>
      </c>
      <c r="F1005" s="1">
        <f>IFERROR(__xludf.DUMMYFUNCTION("""COMPUTED_VALUE"""),6680.0)</f>
        <v>6680</v>
      </c>
    </row>
    <row r="1006">
      <c r="A1006" s="2">
        <f>IFERROR(__xludf.DUMMYFUNCTION("""COMPUTED_VALUE"""),42397.64583333333)</f>
        <v>42397.64583</v>
      </c>
      <c r="B1006" s="1">
        <f>IFERROR(__xludf.DUMMYFUNCTION("""COMPUTED_VALUE"""),44400.0)</f>
        <v>44400</v>
      </c>
      <c r="C1006" s="1">
        <f>IFERROR(__xludf.DUMMYFUNCTION("""COMPUTED_VALUE"""),44700.0)</f>
        <v>44700</v>
      </c>
      <c r="D1006" s="1">
        <f>IFERROR(__xludf.DUMMYFUNCTION("""COMPUTED_VALUE"""),43750.0)</f>
        <v>43750</v>
      </c>
      <c r="E1006" s="1">
        <f>IFERROR(__xludf.DUMMYFUNCTION("""COMPUTED_VALUE"""),44250.0)</f>
        <v>44250</v>
      </c>
      <c r="F1006" s="1">
        <f>IFERROR(__xludf.DUMMYFUNCTION("""COMPUTED_VALUE"""),13111.0)</f>
        <v>13111</v>
      </c>
    </row>
    <row r="1007">
      <c r="A1007" s="2">
        <f>IFERROR(__xludf.DUMMYFUNCTION("""COMPUTED_VALUE"""),42398.64583333333)</f>
        <v>42398.64583</v>
      </c>
      <c r="B1007" s="1">
        <f>IFERROR(__xludf.DUMMYFUNCTION("""COMPUTED_VALUE"""),44850.0)</f>
        <v>44850</v>
      </c>
      <c r="C1007" s="1">
        <f>IFERROR(__xludf.DUMMYFUNCTION("""COMPUTED_VALUE"""),45300.0)</f>
        <v>45300</v>
      </c>
      <c r="D1007" s="1">
        <f>IFERROR(__xludf.DUMMYFUNCTION("""COMPUTED_VALUE"""),44400.0)</f>
        <v>44400</v>
      </c>
      <c r="E1007" s="1">
        <f>IFERROR(__xludf.DUMMYFUNCTION("""COMPUTED_VALUE"""),45100.0)</f>
        <v>45100</v>
      </c>
      <c r="F1007" s="1">
        <f>IFERROR(__xludf.DUMMYFUNCTION("""COMPUTED_VALUE"""),3933.0)</f>
        <v>3933</v>
      </c>
    </row>
    <row r="1008">
      <c r="A1008" s="2">
        <f>IFERROR(__xludf.DUMMYFUNCTION("""COMPUTED_VALUE"""),42401.64583333333)</f>
        <v>42401.64583</v>
      </c>
      <c r="B1008" s="1">
        <f>IFERROR(__xludf.DUMMYFUNCTION("""COMPUTED_VALUE"""),45400.0)</f>
        <v>45400</v>
      </c>
      <c r="C1008" s="1">
        <f>IFERROR(__xludf.DUMMYFUNCTION("""COMPUTED_VALUE"""),45900.0)</f>
        <v>45900</v>
      </c>
      <c r="D1008" s="1">
        <f>IFERROR(__xludf.DUMMYFUNCTION("""COMPUTED_VALUE"""),45100.0)</f>
        <v>45100</v>
      </c>
      <c r="E1008" s="1">
        <f>IFERROR(__xludf.DUMMYFUNCTION("""COMPUTED_VALUE"""),45850.0)</f>
        <v>45850</v>
      </c>
      <c r="F1008" s="1">
        <f>IFERROR(__xludf.DUMMYFUNCTION("""COMPUTED_VALUE"""),6718.0)</f>
        <v>6718</v>
      </c>
    </row>
    <row r="1009">
      <c r="A1009" s="2">
        <f>IFERROR(__xludf.DUMMYFUNCTION("""COMPUTED_VALUE"""),42402.64583333333)</f>
        <v>42402.64583</v>
      </c>
      <c r="B1009" s="1">
        <f>IFERROR(__xludf.DUMMYFUNCTION("""COMPUTED_VALUE"""),45850.0)</f>
        <v>45850</v>
      </c>
      <c r="C1009" s="1">
        <f>IFERROR(__xludf.DUMMYFUNCTION("""COMPUTED_VALUE"""),45850.0)</f>
        <v>45850</v>
      </c>
      <c r="D1009" s="1">
        <f>IFERROR(__xludf.DUMMYFUNCTION("""COMPUTED_VALUE"""),45150.0)</f>
        <v>45150</v>
      </c>
      <c r="E1009" s="1">
        <f>IFERROR(__xludf.DUMMYFUNCTION("""COMPUTED_VALUE"""),45450.0)</f>
        <v>45450</v>
      </c>
      <c r="F1009" s="1">
        <f>IFERROR(__xludf.DUMMYFUNCTION("""COMPUTED_VALUE"""),2857.0)</f>
        <v>2857</v>
      </c>
    </row>
    <row r="1010">
      <c r="A1010" s="2">
        <f>IFERROR(__xludf.DUMMYFUNCTION("""COMPUTED_VALUE"""),42403.64583333333)</f>
        <v>42403.64583</v>
      </c>
      <c r="B1010" s="1">
        <f>IFERROR(__xludf.DUMMYFUNCTION("""COMPUTED_VALUE"""),45450.0)</f>
        <v>45450</v>
      </c>
      <c r="C1010" s="1">
        <f>IFERROR(__xludf.DUMMYFUNCTION("""COMPUTED_VALUE"""),45450.0)</f>
        <v>45450</v>
      </c>
      <c r="D1010" s="1">
        <f>IFERROR(__xludf.DUMMYFUNCTION("""COMPUTED_VALUE"""),44600.0)</f>
        <v>44600</v>
      </c>
      <c r="E1010" s="1">
        <f>IFERROR(__xludf.DUMMYFUNCTION("""COMPUTED_VALUE"""),45300.0)</f>
        <v>45300</v>
      </c>
      <c r="F1010" s="1">
        <f>IFERROR(__xludf.DUMMYFUNCTION("""COMPUTED_VALUE"""),1662.0)</f>
        <v>1662</v>
      </c>
    </row>
    <row r="1011">
      <c r="A1011" s="2">
        <f>IFERROR(__xludf.DUMMYFUNCTION("""COMPUTED_VALUE"""),42404.64583333333)</f>
        <v>42404.64583</v>
      </c>
      <c r="B1011" s="1">
        <f>IFERROR(__xludf.DUMMYFUNCTION("""COMPUTED_VALUE"""),46400.0)</f>
        <v>46400</v>
      </c>
      <c r="C1011" s="1">
        <f>IFERROR(__xludf.DUMMYFUNCTION("""COMPUTED_VALUE"""),46750.0)</f>
        <v>46750</v>
      </c>
      <c r="D1011" s="1">
        <f>IFERROR(__xludf.DUMMYFUNCTION("""COMPUTED_VALUE"""),45750.0)</f>
        <v>45750</v>
      </c>
      <c r="E1011" s="1">
        <f>IFERROR(__xludf.DUMMYFUNCTION("""COMPUTED_VALUE"""),46650.0)</f>
        <v>46650</v>
      </c>
      <c r="F1011" s="1">
        <f>IFERROR(__xludf.DUMMYFUNCTION("""COMPUTED_VALUE"""),14658.0)</f>
        <v>14658</v>
      </c>
    </row>
    <row r="1012">
      <c r="A1012" s="2">
        <f>IFERROR(__xludf.DUMMYFUNCTION("""COMPUTED_VALUE"""),42405.64583333333)</f>
        <v>42405.64583</v>
      </c>
      <c r="B1012" s="1">
        <f>IFERROR(__xludf.DUMMYFUNCTION("""COMPUTED_VALUE"""),46750.0)</f>
        <v>46750</v>
      </c>
      <c r="C1012" s="1">
        <f>IFERROR(__xludf.DUMMYFUNCTION("""COMPUTED_VALUE"""),47700.0)</f>
        <v>47700</v>
      </c>
      <c r="D1012" s="1">
        <f>IFERROR(__xludf.DUMMYFUNCTION("""COMPUTED_VALUE"""),46650.0)</f>
        <v>46650</v>
      </c>
      <c r="E1012" s="1">
        <f>IFERROR(__xludf.DUMMYFUNCTION("""COMPUTED_VALUE"""),47200.0)</f>
        <v>47200</v>
      </c>
      <c r="F1012" s="1">
        <f>IFERROR(__xludf.DUMMYFUNCTION("""COMPUTED_VALUE"""),11237.0)</f>
        <v>11237</v>
      </c>
    </row>
    <row r="1013">
      <c r="A1013" s="2">
        <f>IFERROR(__xludf.DUMMYFUNCTION("""COMPUTED_VALUE"""),42411.64583333333)</f>
        <v>42411.64583</v>
      </c>
      <c r="B1013" s="1">
        <f>IFERROR(__xludf.DUMMYFUNCTION("""COMPUTED_VALUE"""),46500.0)</f>
        <v>46500</v>
      </c>
      <c r="C1013" s="1">
        <f>IFERROR(__xludf.DUMMYFUNCTION("""COMPUTED_VALUE"""),46500.0)</f>
        <v>46500</v>
      </c>
      <c r="D1013" s="1">
        <f>IFERROR(__xludf.DUMMYFUNCTION("""COMPUTED_VALUE"""),45400.0)</f>
        <v>45400</v>
      </c>
      <c r="E1013" s="1">
        <f>IFERROR(__xludf.DUMMYFUNCTION("""COMPUTED_VALUE"""),45600.0)</f>
        <v>45600</v>
      </c>
      <c r="F1013" s="1">
        <f>IFERROR(__xludf.DUMMYFUNCTION("""COMPUTED_VALUE"""),16022.0)</f>
        <v>16022</v>
      </c>
    </row>
    <row r="1014">
      <c r="A1014" s="2">
        <f>IFERROR(__xludf.DUMMYFUNCTION("""COMPUTED_VALUE"""),42412.64583333333)</f>
        <v>42412.64583</v>
      </c>
      <c r="B1014" s="1">
        <f>IFERROR(__xludf.DUMMYFUNCTION("""COMPUTED_VALUE"""),45550.0)</f>
        <v>45550</v>
      </c>
      <c r="C1014" s="1">
        <f>IFERROR(__xludf.DUMMYFUNCTION("""COMPUTED_VALUE"""),45550.0)</f>
        <v>45550</v>
      </c>
      <c r="D1014" s="1">
        <f>IFERROR(__xludf.DUMMYFUNCTION("""COMPUTED_VALUE"""),43750.0)</f>
        <v>43750</v>
      </c>
      <c r="E1014" s="1">
        <f>IFERROR(__xludf.DUMMYFUNCTION("""COMPUTED_VALUE"""),44400.0)</f>
        <v>44400</v>
      </c>
      <c r="F1014" s="1">
        <f>IFERROR(__xludf.DUMMYFUNCTION("""COMPUTED_VALUE"""),13648.0)</f>
        <v>13648</v>
      </c>
    </row>
    <row r="1015">
      <c r="A1015" s="2">
        <f>IFERROR(__xludf.DUMMYFUNCTION("""COMPUTED_VALUE"""),42415.64583333333)</f>
        <v>42415.64583</v>
      </c>
      <c r="B1015" s="1">
        <f>IFERROR(__xludf.DUMMYFUNCTION("""COMPUTED_VALUE"""),46150.0)</f>
        <v>46150</v>
      </c>
      <c r="C1015" s="1">
        <f>IFERROR(__xludf.DUMMYFUNCTION("""COMPUTED_VALUE"""),46150.0)</f>
        <v>46150</v>
      </c>
      <c r="D1015" s="1">
        <f>IFERROR(__xludf.DUMMYFUNCTION("""COMPUTED_VALUE"""),44200.0)</f>
        <v>44200</v>
      </c>
      <c r="E1015" s="1">
        <f>IFERROR(__xludf.DUMMYFUNCTION("""COMPUTED_VALUE"""),44750.0)</f>
        <v>44750</v>
      </c>
      <c r="F1015" s="1">
        <f>IFERROR(__xludf.DUMMYFUNCTION("""COMPUTED_VALUE"""),3671.0)</f>
        <v>3671</v>
      </c>
    </row>
    <row r="1016">
      <c r="A1016" s="2">
        <f>IFERROR(__xludf.DUMMYFUNCTION("""COMPUTED_VALUE"""),42416.64583333333)</f>
        <v>42416.64583</v>
      </c>
      <c r="B1016" s="1">
        <f>IFERROR(__xludf.DUMMYFUNCTION("""COMPUTED_VALUE"""),45850.0)</f>
        <v>45850</v>
      </c>
      <c r="C1016" s="1">
        <f>IFERROR(__xludf.DUMMYFUNCTION("""COMPUTED_VALUE"""),45850.0)</f>
        <v>45850</v>
      </c>
      <c r="D1016" s="1">
        <f>IFERROR(__xludf.DUMMYFUNCTION("""COMPUTED_VALUE"""),44700.0)</f>
        <v>44700</v>
      </c>
      <c r="E1016" s="1">
        <f>IFERROR(__xludf.DUMMYFUNCTION("""COMPUTED_VALUE"""),45400.0)</f>
        <v>45400</v>
      </c>
      <c r="F1016" s="1">
        <f>IFERROR(__xludf.DUMMYFUNCTION("""COMPUTED_VALUE"""),27396.0)</f>
        <v>27396</v>
      </c>
    </row>
    <row r="1017">
      <c r="A1017" s="2">
        <f>IFERROR(__xludf.DUMMYFUNCTION("""COMPUTED_VALUE"""),42417.64583333333)</f>
        <v>42417.64583</v>
      </c>
      <c r="B1017" s="1">
        <f>IFERROR(__xludf.DUMMYFUNCTION("""COMPUTED_VALUE"""),45400.0)</f>
        <v>45400</v>
      </c>
      <c r="C1017" s="1">
        <f>IFERROR(__xludf.DUMMYFUNCTION("""COMPUTED_VALUE"""),45850.0)</f>
        <v>45850</v>
      </c>
      <c r="D1017" s="1">
        <f>IFERROR(__xludf.DUMMYFUNCTION("""COMPUTED_VALUE"""),44250.0)</f>
        <v>44250</v>
      </c>
      <c r="E1017" s="1">
        <f>IFERROR(__xludf.DUMMYFUNCTION("""COMPUTED_VALUE"""),44700.0)</f>
        <v>44700</v>
      </c>
      <c r="F1017" s="1">
        <f>IFERROR(__xludf.DUMMYFUNCTION("""COMPUTED_VALUE"""),21795.0)</f>
        <v>21795</v>
      </c>
    </row>
    <row r="1018">
      <c r="A1018" s="2">
        <f>IFERROR(__xludf.DUMMYFUNCTION("""COMPUTED_VALUE"""),42418.64583333333)</f>
        <v>42418.64583</v>
      </c>
      <c r="B1018" s="1">
        <f>IFERROR(__xludf.DUMMYFUNCTION("""COMPUTED_VALUE"""),45000.0)</f>
        <v>45000</v>
      </c>
      <c r="C1018" s="1">
        <f>IFERROR(__xludf.DUMMYFUNCTION("""COMPUTED_VALUE"""),45150.0)</f>
        <v>45150</v>
      </c>
      <c r="D1018" s="1">
        <f>IFERROR(__xludf.DUMMYFUNCTION("""COMPUTED_VALUE"""),44250.0)</f>
        <v>44250</v>
      </c>
      <c r="E1018" s="1">
        <f>IFERROR(__xludf.DUMMYFUNCTION("""COMPUTED_VALUE"""),45100.0)</f>
        <v>45100</v>
      </c>
      <c r="F1018" s="1">
        <f>IFERROR(__xludf.DUMMYFUNCTION("""COMPUTED_VALUE"""),26620.0)</f>
        <v>26620</v>
      </c>
    </row>
    <row r="1019">
      <c r="A1019" s="2">
        <f>IFERROR(__xludf.DUMMYFUNCTION("""COMPUTED_VALUE"""),42419.64583333333)</f>
        <v>42419.64583</v>
      </c>
      <c r="B1019" s="1">
        <f>IFERROR(__xludf.DUMMYFUNCTION("""COMPUTED_VALUE"""),44800.0)</f>
        <v>44800</v>
      </c>
      <c r="C1019" s="1">
        <f>IFERROR(__xludf.DUMMYFUNCTION("""COMPUTED_VALUE"""),45450.0)</f>
        <v>45450</v>
      </c>
      <c r="D1019" s="1">
        <f>IFERROR(__xludf.DUMMYFUNCTION("""COMPUTED_VALUE"""),44600.0)</f>
        <v>44600</v>
      </c>
      <c r="E1019" s="1">
        <f>IFERROR(__xludf.DUMMYFUNCTION("""COMPUTED_VALUE"""),45450.0)</f>
        <v>45450</v>
      </c>
      <c r="F1019" s="1">
        <f>IFERROR(__xludf.DUMMYFUNCTION("""COMPUTED_VALUE"""),35744.0)</f>
        <v>35744</v>
      </c>
    </row>
    <row r="1020">
      <c r="A1020" s="2">
        <f>IFERROR(__xludf.DUMMYFUNCTION("""COMPUTED_VALUE"""),42422.64583333333)</f>
        <v>42422.64583</v>
      </c>
      <c r="B1020" s="1">
        <f>IFERROR(__xludf.DUMMYFUNCTION("""COMPUTED_VALUE"""),45400.0)</f>
        <v>45400</v>
      </c>
      <c r="C1020" s="1">
        <f>IFERROR(__xludf.DUMMYFUNCTION("""COMPUTED_VALUE"""),45700.0)</f>
        <v>45700</v>
      </c>
      <c r="D1020" s="1">
        <f>IFERROR(__xludf.DUMMYFUNCTION("""COMPUTED_VALUE"""),45200.0)</f>
        <v>45200</v>
      </c>
      <c r="E1020" s="1">
        <f>IFERROR(__xludf.DUMMYFUNCTION("""COMPUTED_VALUE"""),45600.0)</f>
        <v>45600</v>
      </c>
      <c r="F1020" s="1">
        <f>IFERROR(__xludf.DUMMYFUNCTION("""COMPUTED_VALUE"""),11328.0)</f>
        <v>11328</v>
      </c>
    </row>
    <row r="1021">
      <c r="A1021" s="2">
        <f>IFERROR(__xludf.DUMMYFUNCTION("""COMPUTED_VALUE"""),42423.64583333333)</f>
        <v>42423.64583</v>
      </c>
      <c r="B1021" s="1">
        <f>IFERROR(__xludf.DUMMYFUNCTION("""COMPUTED_VALUE"""),45650.0)</f>
        <v>45650</v>
      </c>
      <c r="C1021" s="1">
        <f>IFERROR(__xludf.DUMMYFUNCTION("""COMPUTED_VALUE"""),46900.0)</f>
        <v>46900</v>
      </c>
      <c r="D1021" s="1">
        <f>IFERROR(__xludf.DUMMYFUNCTION("""COMPUTED_VALUE"""),45650.0)</f>
        <v>45650</v>
      </c>
      <c r="E1021" s="1">
        <f>IFERROR(__xludf.DUMMYFUNCTION("""COMPUTED_VALUE"""),46550.0)</f>
        <v>46550</v>
      </c>
      <c r="F1021" s="1">
        <f>IFERROR(__xludf.DUMMYFUNCTION("""COMPUTED_VALUE"""),16579.0)</f>
        <v>16579</v>
      </c>
    </row>
    <row r="1022">
      <c r="A1022" s="2">
        <f>IFERROR(__xludf.DUMMYFUNCTION("""COMPUTED_VALUE"""),42424.64583333333)</f>
        <v>42424.64583</v>
      </c>
      <c r="B1022" s="1">
        <f>IFERROR(__xludf.DUMMYFUNCTION("""COMPUTED_VALUE"""),46350.0)</f>
        <v>46350</v>
      </c>
      <c r="C1022" s="1">
        <f>IFERROR(__xludf.DUMMYFUNCTION("""COMPUTED_VALUE"""),46600.0)</f>
        <v>46600</v>
      </c>
      <c r="D1022" s="1">
        <f>IFERROR(__xludf.DUMMYFUNCTION("""COMPUTED_VALUE"""),46100.0)</f>
        <v>46100</v>
      </c>
      <c r="E1022" s="1">
        <f>IFERROR(__xludf.DUMMYFUNCTION("""COMPUTED_VALUE"""),46500.0)</f>
        <v>46500</v>
      </c>
      <c r="F1022" s="1">
        <f>IFERROR(__xludf.DUMMYFUNCTION("""COMPUTED_VALUE"""),4744.0)</f>
        <v>4744</v>
      </c>
    </row>
    <row r="1023">
      <c r="A1023" s="2">
        <f>IFERROR(__xludf.DUMMYFUNCTION("""COMPUTED_VALUE"""),42425.64583333333)</f>
        <v>42425.64583</v>
      </c>
      <c r="B1023" s="1">
        <f>IFERROR(__xludf.DUMMYFUNCTION("""COMPUTED_VALUE"""),46600.0)</f>
        <v>46600</v>
      </c>
      <c r="C1023" s="1">
        <f>IFERROR(__xludf.DUMMYFUNCTION("""COMPUTED_VALUE"""),47000.0)</f>
        <v>47000</v>
      </c>
      <c r="D1023" s="1">
        <f>IFERROR(__xludf.DUMMYFUNCTION("""COMPUTED_VALUE"""),46000.0)</f>
        <v>46000</v>
      </c>
      <c r="E1023" s="1">
        <f>IFERROR(__xludf.DUMMYFUNCTION("""COMPUTED_VALUE"""),46600.0)</f>
        <v>46600</v>
      </c>
      <c r="F1023" s="1">
        <f>IFERROR(__xludf.DUMMYFUNCTION("""COMPUTED_VALUE"""),7690.0)</f>
        <v>7690</v>
      </c>
    </row>
    <row r="1024">
      <c r="A1024" s="2">
        <f>IFERROR(__xludf.DUMMYFUNCTION("""COMPUTED_VALUE"""),42426.64583333333)</f>
        <v>42426.64583</v>
      </c>
      <c r="B1024" s="1">
        <f>IFERROR(__xludf.DUMMYFUNCTION("""COMPUTED_VALUE"""),47300.0)</f>
        <v>47300</v>
      </c>
      <c r="C1024" s="1">
        <f>IFERROR(__xludf.DUMMYFUNCTION("""COMPUTED_VALUE"""),47300.0)</f>
        <v>47300</v>
      </c>
      <c r="D1024" s="1">
        <f>IFERROR(__xludf.DUMMYFUNCTION("""COMPUTED_VALUE"""),46300.0)</f>
        <v>46300</v>
      </c>
      <c r="E1024" s="1">
        <f>IFERROR(__xludf.DUMMYFUNCTION("""COMPUTED_VALUE"""),46650.0)</f>
        <v>46650</v>
      </c>
      <c r="F1024" s="1">
        <f>IFERROR(__xludf.DUMMYFUNCTION("""COMPUTED_VALUE"""),3828.0)</f>
        <v>3828</v>
      </c>
    </row>
    <row r="1025">
      <c r="A1025" s="2">
        <f>IFERROR(__xludf.DUMMYFUNCTION("""COMPUTED_VALUE"""),42429.64583333333)</f>
        <v>42429.64583</v>
      </c>
      <c r="B1025" s="1">
        <f>IFERROR(__xludf.DUMMYFUNCTION("""COMPUTED_VALUE"""),46650.0)</f>
        <v>46650</v>
      </c>
      <c r="C1025" s="1">
        <f>IFERROR(__xludf.DUMMYFUNCTION("""COMPUTED_VALUE"""),46900.0)</f>
        <v>46900</v>
      </c>
      <c r="D1025" s="1">
        <f>IFERROR(__xludf.DUMMYFUNCTION("""COMPUTED_VALUE"""),46500.0)</f>
        <v>46500</v>
      </c>
      <c r="E1025" s="1">
        <f>IFERROR(__xludf.DUMMYFUNCTION("""COMPUTED_VALUE"""),46900.0)</f>
        <v>46900</v>
      </c>
      <c r="F1025" s="1">
        <f>IFERROR(__xludf.DUMMYFUNCTION("""COMPUTED_VALUE"""),7746.0)</f>
        <v>7746</v>
      </c>
    </row>
    <row r="1026">
      <c r="A1026" s="2">
        <f>IFERROR(__xludf.DUMMYFUNCTION("""COMPUTED_VALUE"""),42431.64583333333)</f>
        <v>42431.64583</v>
      </c>
      <c r="B1026" s="1">
        <f>IFERROR(__xludf.DUMMYFUNCTION("""COMPUTED_VALUE"""),47450.0)</f>
        <v>47450</v>
      </c>
      <c r="C1026" s="1">
        <f>IFERROR(__xludf.DUMMYFUNCTION("""COMPUTED_VALUE"""),48100.0)</f>
        <v>48100</v>
      </c>
      <c r="D1026" s="1">
        <f>IFERROR(__xludf.DUMMYFUNCTION("""COMPUTED_VALUE"""),46900.0)</f>
        <v>46900</v>
      </c>
      <c r="E1026" s="1">
        <f>IFERROR(__xludf.DUMMYFUNCTION("""COMPUTED_VALUE"""),47800.0)</f>
        <v>47800</v>
      </c>
      <c r="F1026" s="1">
        <f>IFERROR(__xludf.DUMMYFUNCTION("""COMPUTED_VALUE"""),16028.0)</f>
        <v>16028</v>
      </c>
    </row>
    <row r="1027">
      <c r="A1027" s="2">
        <f>IFERROR(__xludf.DUMMYFUNCTION("""COMPUTED_VALUE"""),42432.64583333333)</f>
        <v>42432.64583</v>
      </c>
      <c r="B1027" s="1">
        <f>IFERROR(__xludf.DUMMYFUNCTION("""COMPUTED_VALUE"""),48000.0)</f>
        <v>48000</v>
      </c>
      <c r="C1027" s="1">
        <f>IFERROR(__xludf.DUMMYFUNCTION("""COMPUTED_VALUE"""),51700.0)</f>
        <v>51700</v>
      </c>
      <c r="D1027" s="1">
        <f>IFERROR(__xludf.DUMMYFUNCTION("""COMPUTED_VALUE"""),47900.0)</f>
        <v>47900</v>
      </c>
      <c r="E1027" s="1">
        <f>IFERROR(__xludf.DUMMYFUNCTION("""COMPUTED_VALUE"""),49450.0)</f>
        <v>49450</v>
      </c>
      <c r="F1027" s="1">
        <f>IFERROR(__xludf.DUMMYFUNCTION("""COMPUTED_VALUE"""),14620.0)</f>
        <v>14620</v>
      </c>
    </row>
    <row r="1028">
      <c r="A1028" s="2">
        <f>IFERROR(__xludf.DUMMYFUNCTION("""COMPUTED_VALUE"""),42433.64583333333)</f>
        <v>42433.64583</v>
      </c>
      <c r="B1028" s="1">
        <f>IFERROR(__xludf.DUMMYFUNCTION("""COMPUTED_VALUE"""),49850.0)</f>
        <v>49850</v>
      </c>
      <c r="C1028" s="1">
        <f>IFERROR(__xludf.DUMMYFUNCTION("""COMPUTED_VALUE"""),49950.0)</f>
        <v>49950</v>
      </c>
      <c r="D1028" s="1">
        <f>IFERROR(__xludf.DUMMYFUNCTION("""COMPUTED_VALUE"""),48700.0)</f>
        <v>48700</v>
      </c>
      <c r="E1028" s="1">
        <f>IFERROR(__xludf.DUMMYFUNCTION("""COMPUTED_VALUE"""),49950.0)</f>
        <v>49950</v>
      </c>
      <c r="F1028" s="1">
        <f>IFERROR(__xludf.DUMMYFUNCTION("""COMPUTED_VALUE"""),14558.0)</f>
        <v>14558</v>
      </c>
    </row>
    <row r="1029">
      <c r="A1029" s="2">
        <f>IFERROR(__xludf.DUMMYFUNCTION("""COMPUTED_VALUE"""),42436.64583333333)</f>
        <v>42436.64583</v>
      </c>
      <c r="B1029" s="1">
        <f>IFERROR(__xludf.DUMMYFUNCTION("""COMPUTED_VALUE"""),50000.0)</f>
        <v>50000</v>
      </c>
      <c r="C1029" s="1">
        <f>IFERROR(__xludf.DUMMYFUNCTION("""COMPUTED_VALUE"""),51500.0)</f>
        <v>51500</v>
      </c>
      <c r="D1029" s="1">
        <f>IFERROR(__xludf.DUMMYFUNCTION("""COMPUTED_VALUE"""),50000.0)</f>
        <v>50000</v>
      </c>
      <c r="E1029" s="1">
        <f>IFERROR(__xludf.DUMMYFUNCTION("""COMPUTED_VALUE"""),50900.0)</f>
        <v>50900</v>
      </c>
      <c r="F1029" s="1">
        <f>IFERROR(__xludf.DUMMYFUNCTION("""COMPUTED_VALUE"""),11929.0)</f>
        <v>11929</v>
      </c>
    </row>
    <row r="1030">
      <c r="A1030" s="2">
        <f>IFERROR(__xludf.DUMMYFUNCTION("""COMPUTED_VALUE"""),42437.64583333333)</f>
        <v>42437.64583</v>
      </c>
      <c r="B1030" s="1">
        <f>IFERROR(__xludf.DUMMYFUNCTION("""COMPUTED_VALUE"""),51000.0)</f>
        <v>51000</v>
      </c>
      <c r="C1030" s="1">
        <f>IFERROR(__xludf.DUMMYFUNCTION("""COMPUTED_VALUE"""),51700.0)</f>
        <v>51700</v>
      </c>
      <c r="D1030" s="1">
        <f>IFERROR(__xludf.DUMMYFUNCTION("""COMPUTED_VALUE"""),49950.0)</f>
        <v>49950</v>
      </c>
      <c r="E1030" s="1">
        <f>IFERROR(__xludf.DUMMYFUNCTION("""COMPUTED_VALUE"""),50000.0)</f>
        <v>50000</v>
      </c>
      <c r="F1030" s="1">
        <f>IFERROR(__xludf.DUMMYFUNCTION("""COMPUTED_VALUE"""),18871.0)</f>
        <v>18871</v>
      </c>
    </row>
    <row r="1031">
      <c r="A1031" s="2">
        <f>IFERROR(__xludf.DUMMYFUNCTION("""COMPUTED_VALUE"""),42438.64583333333)</f>
        <v>42438.64583</v>
      </c>
      <c r="B1031" s="1">
        <f>IFERROR(__xludf.DUMMYFUNCTION("""COMPUTED_VALUE"""),49950.0)</f>
        <v>49950</v>
      </c>
      <c r="C1031" s="1">
        <f>IFERROR(__xludf.DUMMYFUNCTION("""COMPUTED_VALUE"""),50100.0)</f>
        <v>50100</v>
      </c>
      <c r="D1031" s="1">
        <f>IFERROR(__xludf.DUMMYFUNCTION("""COMPUTED_VALUE"""),49300.0)</f>
        <v>49300</v>
      </c>
      <c r="E1031" s="1">
        <f>IFERROR(__xludf.DUMMYFUNCTION("""COMPUTED_VALUE"""),49350.0)</f>
        <v>49350</v>
      </c>
      <c r="F1031" s="1">
        <f>IFERROR(__xludf.DUMMYFUNCTION("""COMPUTED_VALUE"""),16735.0)</f>
        <v>16735</v>
      </c>
    </row>
    <row r="1032">
      <c r="A1032" s="2">
        <f>IFERROR(__xludf.DUMMYFUNCTION("""COMPUTED_VALUE"""),42439.64583333333)</f>
        <v>42439.64583</v>
      </c>
      <c r="B1032" s="1">
        <f>IFERROR(__xludf.DUMMYFUNCTION("""COMPUTED_VALUE"""),49950.0)</f>
        <v>49950</v>
      </c>
      <c r="C1032" s="1">
        <f>IFERROR(__xludf.DUMMYFUNCTION("""COMPUTED_VALUE"""),51200.0)</f>
        <v>51200</v>
      </c>
      <c r="D1032" s="1">
        <f>IFERROR(__xludf.DUMMYFUNCTION("""COMPUTED_VALUE"""),49850.0)</f>
        <v>49850</v>
      </c>
      <c r="E1032" s="1">
        <f>IFERROR(__xludf.DUMMYFUNCTION("""COMPUTED_VALUE"""),51000.0)</f>
        <v>51000</v>
      </c>
      <c r="F1032" s="1">
        <f>IFERROR(__xludf.DUMMYFUNCTION("""COMPUTED_VALUE"""),28368.0)</f>
        <v>28368</v>
      </c>
    </row>
    <row r="1033">
      <c r="A1033" s="2">
        <f>IFERROR(__xludf.DUMMYFUNCTION("""COMPUTED_VALUE"""),42440.64583333333)</f>
        <v>42440.64583</v>
      </c>
      <c r="B1033" s="1">
        <f>IFERROR(__xludf.DUMMYFUNCTION("""COMPUTED_VALUE"""),51000.0)</f>
        <v>51000</v>
      </c>
      <c r="C1033" s="1">
        <f>IFERROR(__xludf.DUMMYFUNCTION("""COMPUTED_VALUE"""),51100.0)</f>
        <v>51100</v>
      </c>
      <c r="D1033" s="1">
        <f>IFERROR(__xludf.DUMMYFUNCTION("""COMPUTED_VALUE"""),50000.0)</f>
        <v>50000</v>
      </c>
      <c r="E1033" s="1">
        <f>IFERROR(__xludf.DUMMYFUNCTION("""COMPUTED_VALUE"""),50400.0)</f>
        <v>50400</v>
      </c>
      <c r="F1033" s="1">
        <f>IFERROR(__xludf.DUMMYFUNCTION("""COMPUTED_VALUE"""),8837.0)</f>
        <v>8837</v>
      </c>
    </row>
    <row r="1034">
      <c r="A1034" s="2">
        <f>IFERROR(__xludf.DUMMYFUNCTION("""COMPUTED_VALUE"""),42443.64583333333)</f>
        <v>42443.64583</v>
      </c>
      <c r="B1034" s="1">
        <f>IFERROR(__xludf.DUMMYFUNCTION("""COMPUTED_VALUE"""),51000.0)</f>
        <v>51000</v>
      </c>
      <c r="C1034" s="1">
        <f>IFERROR(__xludf.DUMMYFUNCTION("""COMPUTED_VALUE"""),51100.0)</f>
        <v>51100</v>
      </c>
      <c r="D1034" s="1">
        <f>IFERROR(__xludf.DUMMYFUNCTION("""COMPUTED_VALUE"""),50200.0)</f>
        <v>50200</v>
      </c>
      <c r="E1034" s="1">
        <f>IFERROR(__xludf.DUMMYFUNCTION("""COMPUTED_VALUE"""),50600.0)</f>
        <v>50600</v>
      </c>
      <c r="F1034" s="1">
        <f>IFERROR(__xludf.DUMMYFUNCTION("""COMPUTED_VALUE"""),8856.0)</f>
        <v>8856</v>
      </c>
    </row>
    <row r="1035">
      <c r="A1035" s="2">
        <f>IFERROR(__xludf.DUMMYFUNCTION("""COMPUTED_VALUE"""),42444.64583333333)</f>
        <v>42444.64583</v>
      </c>
      <c r="B1035" s="1">
        <f>IFERROR(__xludf.DUMMYFUNCTION("""COMPUTED_VALUE"""),50800.0)</f>
        <v>50800</v>
      </c>
      <c r="C1035" s="1">
        <f>IFERROR(__xludf.DUMMYFUNCTION("""COMPUTED_VALUE"""),50900.0)</f>
        <v>50900</v>
      </c>
      <c r="D1035" s="1">
        <f>IFERROR(__xludf.DUMMYFUNCTION("""COMPUTED_VALUE"""),49850.0)</f>
        <v>49850</v>
      </c>
      <c r="E1035" s="1">
        <f>IFERROR(__xludf.DUMMYFUNCTION("""COMPUTED_VALUE"""),50000.0)</f>
        <v>50000</v>
      </c>
      <c r="F1035" s="1">
        <f>IFERROR(__xludf.DUMMYFUNCTION("""COMPUTED_VALUE"""),10366.0)</f>
        <v>10366</v>
      </c>
    </row>
    <row r="1036">
      <c r="A1036" s="2">
        <f>IFERROR(__xludf.DUMMYFUNCTION("""COMPUTED_VALUE"""),42445.64583333333)</f>
        <v>42445.64583</v>
      </c>
      <c r="B1036" s="1">
        <f>IFERROR(__xludf.DUMMYFUNCTION("""COMPUTED_VALUE"""),50000.0)</f>
        <v>50000</v>
      </c>
      <c r="C1036" s="1">
        <f>IFERROR(__xludf.DUMMYFUNCTION("""COMPUTED_VALUE"""),50500.0)</f>
        <v>50500</v>
      </c>
      <c r="D1036" s="1">
        <f>IFERROR(__xludf.DUMMYFUNCTION("""COMPUTED_VALUE"""),49500.0)</f>
        <v>49500</v>
      </c>
      <c r="E1036" s="1">
        <f>IFERROR(__xludf.DUMMYFUNCTION("""COMPUTED_VALUE"""),50300.0)</f>
        <v>50300</v>
      </c>
      <c r="F1036" s="1">
        <f>IFERROR(__xludf.DUMMYFUNCTION("""COMPUTED_VALUE"""),9241.0)</f>
        <v>9241</v>
      </c>
    </row>
    <row r="1037">
      <c r="A1037" s="2">
        <f>IFERROR(__xludf.DUMMYFUNCTION("""COMPUTED_VALUE"""),42446.64583333333)</f>
        <v>42446.64583</v>
      </c>
      <c r="B1037" s="1">
        <f>IFERROR(__xludf.DUMMYFUNCTION("""COMPUTED_VALUE"""),50700.0)</f>
        <v>50700</v>
      </c>
      <c r="C1037" s="1">
        <f>IFERROR(__xludf.DUMMYFUNCTION("""COMPUTED_VALUE"""),52700.0)</f>
        <v>52700</v>
      </c>
      <c r="D1037" s="1">
        <f>IFERROR(__xludf.DUMMYFUNCTION("""COMPUTED_VALUE"""),50700.0)</f>
        <v>50700</v>
      </c>
      <c r="E1037" s="1">
        <f>IFERROR(__xludf.DUMMYFUNCTION("""COMPUTED_VALUE"""),52500.0)</f>
        <v>52500</v>
      </c>
      <c r="F1037" s="1">
        <f>IFERROR(__xludf.DUMMYFUNCTION("""COMPUTED_VALUE"""),30757.0)</f>
        <v>30757</v>
      </c>
    </row>
    <row r="1038">
      <c r="A1038" s="2">
        <f>IFERROR(__xludf.DUMMYFUNCTION("""COMPUTED_VALUE"""),42447.64583333333)</f>
        <v>42447.64583</v>
      </c>
      <c r="B1038" s="1">
        <f>IFERROR(__xludf.DUMMYFUNCTION("""COMPUTED_VALUE"""),53500.0)</f>
        <v>53500</v>
      </c>
      <c r="C1038" s="1">
        <f>IFERROR(__xludf.DUMMYFUNCTION("""COMPUTED_VALUE"""),53900.0)</f>
        <v>53900</v>
      </c>
      <c r="D1038" s="1">
        <f>IFERROR(__xludf.DUMMYFUNCTION("""COMPUTED_VALUE"""),52300.0)</f>
        <v>52300</v>
      </c>
      <c r="E1038" s="1">
        <f>IFERROR(__xludf.DUMMYFUNCTION("""COMPUTED_VALUE"""),52900.0)</f>
        <v>52900</v>
      </c>
      <c r="F1038" s="1">
        <f>IFERROR(__xludf.DUMMYFUNCTION("""COMPUTED_VALUE"""),14035.0)</f>
        <v>14035</v>
      </c>
    </row>
    <row r="1039">
      <c r="A1039" s="2">
        <f>IFERROR(__xludf.DUMMYFUNCTION("""COMPUTED_VALUE"""),42450.64583333333)</f>
        <v>42450.64583</v>
      </c>
      <c r="B1039" s="1">
        <f>IFERROR(__xludf.DUMMYFUNCTION("""COMPUTED_VALUE"""),53200.0)</f>
        <v>53200</v>
      </c>
      <c r="C1039" s="1">
        <f>IFERROR(__xludf.DUMMYFUNCTION("""COMPUTED_VALUE"""),53700.0)</f>
        <v>53700</v>
      </c>
      <c r="D1039" s="1">
        <f>IFERROR(__xludf.DUMMYFUNCTION("""COMPUTED_VALUE"""),53200.0)</f>
        <v>53200</v>
      </c>
      <c r="E1039" s="1">
        <f>IFERROR(__xludf.DUMMYFUNCTION("""COMPUTED_VALUE"""),53700.0)</f>
        <v>53700</v>
      </c>
      <c r="F1039" s="1">
        <f>IFERROR(__xludf.DUMMYFUNCTION("""COMPUTED_VALUE"""),12347.0)</f>
        <v>12347</v>
      </c>
    </row>
    <row r="1040">
      <c r="A1040" s="2">
        <f>IFERROR(__xludf.DUMMYFUNCTION("""COMPUTED_VALUE"""),42451.64583333333)</f>
        <v>42451.64583</v>
      </c>
      <c r="B1040" s="1">
        <f>IFERROR(__xludf.DUMMYFUNCTION("""COMPUTED_VALUE"""),53700.0)</f>
        <v>53700</v>
      </c>
      <c r="C1040" s="1">
        <f>IFERROR(__xludf.DUMMYFUNCTION("""COMPUTED_VALUE"""),54000.0)</f>
        <v>54000</v>
      </c>
      <c r="D1040" s="1">
        <f>IFERROR(__xludf.DUMMYFUNCTION("""COMPUTED_VALUE"""),53500.0)</f>
        <v>53500</v>
      </c>
      <c r="E1040" s="1">
        <f>IFERROR(__xludf.DUMMYFUNCTION("""COMPUTED_VALUE"""),53800.0)</f>
        <v>53800</v>
      </c>
      <c r="F1040" s="1">
        <f>IFERROR(__xludf.DUMMYFUNCTION("""COMPUTED_VALUE"""),12536.0)</f>
        <v>12536</v>
      </c>
    </row>
    <row r="1041">
      <c r="A1041" s="2">
        <f>IFERROR(__xludf.DUMMYFUNCTION("""COMPUTED_VALUE"""),42452.64583333333)</f>
        <v>42452.64583</v>
      </c>
      <c r="B1041" s="1">
        <f>IFERROR(__xludf.DUMMYFUNCTION("""COMPUTED_VALUE"""),54000.0)</f>
        <v>54000</v>
      </c>
      <c r="C1041" s="1">
        <f>IFERROR(__xludf.DUMMYFUNCTION("""COMPUTED_VALUE"""),54200.0)</f>
        <v>54200</v>
      </c>
      <c r="D1041" s="1">
        <f>IFERROR(__xludf.DUMMYFUNCTION("""COMPUTED_VALUE"""),53700.0)</f>
        <v>53700</v>
      </c>
      <c r="E1041" s="1">
        <f>IFERROR(__xludf.DUMMYFUNCTION("""COMPUTED_VALUE"""),53900.0)</f>
        <v>53900</v>
      </c>
      <c r="F1041" s="1">
        <f>IFERROR(__xludf.DUMMYFUNCTION("""COMPUTED_VALUE"""),5957.0)</f>
        <v>5957</v>
      </c>
    </row>
    <row r="1042">
      <c r="A1042" s="2">
        <f>IFERROR(__xludf.DUMMYFUNCTION("""COMPUTED_VALUE"""),42453.64583333333)</f>
        <v>42453.64583</v>
      </c>
      <c r="B1042" s="1">
        <f>IFERROR(__xludf.DUMMYFUNCTION("""COMPUTED_VALUE"""),53800.0)</f>
        <v>53800</v>
      </c>
      <c r="C1042" s="1">
        <f>IFERROR(__xludf.DUMMYFUNCTION("""COMPUTED_VALUE"""),54000.0)</f>
        <v>54000</v>
      </c>
      <c r="D1042" s="1">
        <f>IFERROR(__xludf.DUMMYFUNCTION("""COMPUTED_VALUE"""),53500.0)</f>
        <v>53500</v>
      </c>
      <c r="E1042" s="1">
        <f>IFERROR(__xludf.DUMMYFUNCTION("""COMPUTED_VALUE"""),53800.0)</f>
        <v>53800</v>
      </c>
      <c r="F1042" s="1">
        <f>IFERROR(__xludf.DUMMYFUNCTION("""COMPUTED_VALUE"""),6521.0)</f>
        <v>6521</v>
      </c>
    </row>
    <row r="1043">
      <c r="A1043" s="2">
        <f>IFERROR(__xludf.DUMMYFUNCTION("""COMPUTED_VALUE"""),42454.64583333333)</f>
        <v>42454.64583</v>
      </c>
      <c r="B1043" s="1">
        <f>IFERROR(__xludf.DUMMYFUNCTION("""COMPUTED_VALUE"""),53500.0)</f>
        <v>53500</v>
      </c>
      <c r="C1043" s="1">
        <f>IFERROR(__xludf.DUMMYFUNCTION("""COMPUTED_VALUE"""),54000.0)</f>
        <v>54000</v>
      </c>
      <c r="D1043" s="1">
        <f>IFERROR(__xludf.DUMMYFUNCTION("""COMPUTED_VALUE"""),53500.0)</f>
        <v>53500</v>
      </c>
      <c r="E1043" s="1">
        <f>IFERROR(__xludf.DUMMYFUNCTION("""COMPUTED_VALUE"""),53900.0)</f>
        <v>53900</v>
      </c>
      <c r="F1043" s="1">
        <f>IFERROR(__xludf.DUMMYFUNCTION("""COMPUTED_VALUE"""),24679.0)</f>
        <v>24679</v>
      </c>
    </row>
    <row r="1044">
      <c r="A1044" s="2">
        <f>IFERROR(__xludf.DUMMYFUNCTION("""COMPUTED_VALUE"""),42457.64583333333)</f>
        <v>42457.64583</v>
      </c>
      <c r="B1044" s="1">
        <f>IFERROR(__xludf.DUMMYFUNCTION("""COMPUTED_VALUE"""),53800.0)</f>
        <v>53800</v>
      </c>
      <c r="C1044" s="1">
        <f>IFERROR(__xludf.DUMMYFUNCTION("""COMPUTED_VALUE"""),55100.0)</f>
        <v>55100</v>
      </c>
      <c r="D1044" s="1">
        <f>IFERROR(__xludf.DUMMYFUNCTION("""COMPUTED_VALUE"""),53500.0)</f>
        <v>53500</v>
      </c>
      <c r="E1044" s="1">
        <f>IFERROR(__xludf.DUMMYFUNCTION("""COMPUTED_VALUE"""),54600.0)</f>
        <v>54600</v>
      </c>
      <c r="F1044" s="1">
        <f>IFERROR(__xludf.DUMMYFUNCTION("""COMPUTED_VALUE"""),23229.0)</f>
        <v>23229</v>
      </c>
    </row>
    <row r="1045">
      <c r="A1045" s="2">
        <f>IFERROR(__xludf.DUMMYFUNCTION("""COMPUTED_VALUE"""),42458.64583333333)</f>
        <v>42458.64583</v>
      </c>
      <c r="B1045" s="1">
        <f>IFERROR(__xludf.DUMMYFUNCTION("""COMPUTED_VALUE"""),54600.0)</f>
        <v>54600</v>
      </c>
      <c r="C1045" s="1">
        <f>IFERROR(__xludf.DUMMYFUNCTION("""COMPUTED_VALUE"""),56300.0)</f>
        <v>56300</v>
      </c>
      <c r="D1045" s="1">
        <f>IFERROR(__xludf.DUMMYFUNCTION("""COMPUTED_VALUE"""),54600.0)</f>
        <v>54600</v>
      </c>
      <c r="E1045" s="1">
        <f>IFERROR(__xludf.DUMMYFUNCTION("""COMPUTED_VALUE"""),56100.0)</f>
        <v>56100</v>
      </c>
      <c r="F1045" s="1">
        <f>IFERROR(__xludf.DUMMYFUNCTION("""COMPUTED_VALUE"""),24634.0)</f>
        <v>24634</v>
      </c>
    </row>
    <row r="1046">
      <c r="A1046" s="2">
        <f>IFERROR(__xludf.DUMMYFUNCTION("""COMPUTED_VALUE"""),42459.64583333333)</f>
        <v>42459.64583</v>
      </c>
      <c r="B1046" s="1">
        <f>IFERROR(__xludf.DUMMYFUNCTION("""COMPUTED_VALUE"""),56500.0)</f>
        <v>56500</v>
      </c>
      <c r="C1046" s="1">
        <f>IFERROR(__xludf.DUMMYFUNCTION("""COMPUTED_VALUE"""),58200.0)</f>
        <v>58200</v>
      </c>
      <c r="D1046" s="1">
        <f>IFERROR(__xludf.DUMMYFUNCTION("""COMPUTED_VALUE"""),56300.0)</f>
        <v>56300</v>
      </c>
      <c r="E1046" s="1">
        <f>IFERROR(__xludf.DUMMYFUNCTION("""COMPUTED_VALUE"""),57900.0)</f>
        <v>57900</v>
      </c>
      <c r="F1046" s="1">
        <f>IFERROR(__xludf.DUMMYFUNCTION("""COMPUTED_VALUE"""),29679.0)</f>
        <v>29679</v>
      </c>
    </row>
    <row r="1047">
      <c r="A1047" s="2">
        <f>IFERROR(__xludf.DUMMYFUNCTION("""COMPUTED_VALUE"""),42460.64583333333)</f>
        <v>42460.64583</v>
      </c>
      <c r="B1047" s="1">
        <f>IFERROR(__xludf.DUMMYFUNCTION("""COMPUTED_VALUE"""),57900.0)</f>
        <v>57900</v>
      </c>
      <c r="C1047" s="1">
        <f>IFERROR(__xludf.DUMMYFUNCTION("""COMPUTED_VALUE"""),59100.0)</f>
        <v>59100</v>
      </c>
      <c r="D1047" s="1">
        <f>IFERROR(__xludf.DUMMYFUNCTION("""COMPUTED_VALUE"""),57600.0)</f>
        <v>57600</v>
      </c>
      <c r="E1047" s="1">
        <f>IFERROR(__xludf.DUMMYFUNCTION("""COMPUTED_VALUE"""),59000.0)</f>
        <v>59000</v>
      </c>
      <c r="F1047" s="1">
        <f>IFERROR(__xludf.DUMMYFUNCTION("""COMPUTED_VALUE"""),27763.0)</f>
        <v>27763</v>
      </c>
    </row>
    <row r="1048">
      <c r="A1048" s="2">
        <f>IFERROR(__xludf.DUMMYFUNCTION("""COMPUTED_VALUE"""),42461.64583333333)</f>
        <v>42461.64583</v>
      </c>
      <c r="B1048" s="1">
        <f>IFERROR(__xludf.DUMMYFUNCTION("""COMPUTED_VALUE"""),59100.0)</f>
        <v>59100</v>
      </c>
      <c r="C1048" s="1">
        <f>IFERROR(__xludf.DUMMYFUNCTION("""COMPUTED_VALUE"""),60000.0)</f>
        <v>60000</v>
      </c>
      <c r="D1048" s="1">
        <f>IFERROR(__xludf.DUMMYFUNCTION("""COMPUTED_VALUE"""),58600.0)</f>
        <v>58600</v>
      </c>
      <c r="E1048" s="1">
        <f>IFERROR(__xludf.DUMMYFUNCTION("""COMPUTED_VALUE"""),59000.0)</f>
        <v>59000</v>
      </c>
      <c r="F1048" s="1">
        <f>IFERROR(__xludf.DUMMYFUNCTION("""COMPUTED_VALUE"""),18205.0)</f>
        <v>18205</v>
      </c>
    </row>
    <row r="1049">
      <c r="A1049" s="2">
        <f>IFERROR(__xludf.DUMMYFUNCTION("""COMPUTED_VALUE"""),42464.64583333333)</f>
        <v>42464.64583</v>
      </c>
      <c r="B1049" s="1">
        <f>IFERROR(__xludf.DUMMYFUNCTION("""COMPUTED_VALUE"""),59000.0)</f>
        <v>59000</v>
      </c>
      <c r="C1049" s="1">
        <f>IFERROR(__xludf.DUMMYFUNCTION("""COMPUTED_VALUE"""),59000.0)</f>
        <v>59000</v>
      </c>
      <c r="D1049" s="1">
        <f>IFERROR(__xludf.DUMMYFUNCTION("""COMPUTED_VALUE"""),57300.0)</f>
        <v>57300</v>
      </c>
      <c r="E1049" s="1">
        <f>IFERROR(__xludf.DUMMYFUNCTION("""COMPUTED_VALUE"""),58300.0)</f>
        <v>58300</v>
      </c>
      <c r="F1049" s="1">
        <f>IFERROR(__xludf.DUMMYFUNCTION("""COMPUTED_VALUE"""),12724.0)</f>
        <v>12724</v>
      </c>
    </row>
    <row r="1050">
      <c r="A1050" s="2">
        <f>IFERROR(__xludf.DUMMYFUNCTION("""COMPUTED_VALUE"""),42465.64583333333)</f>
        <v>42465.64583</v>
      </c>
      <c r="B1050" s="1">
        <f>IFERROR(__xludf.DUMMYFUNCTION("""COMPUTED_VALUE"""),57600.0)</f>
        <v>57600</v>
      </c>
      <c r="C1050" s="1">
        <f>IFERROR(__xludf.DUMMYFUNCTION("""COMPUTED_VALUE"""),57900.0)</f>
        <v>57900</v>
      </c>
      <c r="D1050" s="1">
        <f>IFERROR(__xludf.DUMMYFUNCTION("""COMPUTED_VALUE"""),56900.0)</f>
        <v>56900</v>
      </c>
      <c r="E1050" s="1">
        <f>IFERROR(__xludf.DUMMYFUNCTION("""COMPUTED_VALUE"""),57100.0)</f>
        <v>57100</v>
      </c>
      <c r="F1050" s="1">
        <f>IFERROR(__xludf.DUMMYFUNCTION("""COMPUTED_VALUE"""),19707.0)</f>
        <v>19707</v>
      </c>
    </row>
    <row r="1051">
      <c r="A1051" s="2">
        <f>IFERROR(__xludf.DUMMYFUNCTION("""COMPUTED_VALUE"""),42466.64583333333)</f>
        <v>42466.64583</v>
      </c>
      <c r="B1051" s="1">
        <f>IFERROR(__xludf.DUMMYFUNCTION("""COMPUTED_VALUE"""),57600.0)</f>
        <v>57600</v>
      </c>
      <c r="C1051" s="1">
        <f>IFERROR(__xludf.DUMMYFUNCTION("""COMPUTED_VALUE"""),57700.0)</f>
        <v>57700</v>
      </c>
      <c r="D1051" s="1">
        <f>IFERROR(__xludf.DUMMYFUNCTION("""COMPUTED_VALUE"""),57000.0)</f>
        <v>57000</v>
      </c>
      <c r="E1051" s="1">
        <f>IFERROR(__xludf.DUMMYFUNCTION("""COMPUTED_VALUE"""),57700.0)</f>
        <v>57700</v>
      </c>
      <c r="F1051" s="1">
        <f>IFERROR(__xludf.DUMMYFUNCTION("""COMPUTED_VALUE"""),8146.0)</f>
        <v>8146</v>
      </c>
    </row>
    <row r="1052">
      <c r="A1052" s="2">
        <f>IFERROR(__xludf.DUMMYFUNCTION("""COMPUTED_VALUE"""),42467.64583333333)</f>
        <v>42467.64583</v>
      </c>
      <c r="B1052" s="1">
        <f>IFERROR(__xludf.DUMMYFUNCTION("""COMPUTED_VALUE"""),58400.0)</f>
        <v>58400</v>
      </c>
      <c r="C1052" s="1">
        <f>IFERROR(__xludf.DUMMYFUNCTION("""COMPUTED_VALUE"""),59000.0)</f>
        <v>59000</v>
      </c>
      <c r="D1052" s="1">
        <f>IFERROR(__xludf.DUMMYFUNCTION("""COMPUTED_VALUE"""),57800.0)</f>
        <v>57800</v>
      </c>
      <c r="E1052" s="1">
        <f>IFERROR(__xludf.DUMMYFUNCTION("""COMPUTED_VALUE"""),58200.0)</f>
        <v>58200</v>
      </c>
      <c r="F1052" s="1">
        <f>IFERROR(__xludf.DUMMYFUNCTION("""COMPUTED_VALUE"""),15240.0)</f>
        <v>15240</v>
      </c>
    </row>
    <row r="1053">
      <c r="A1053" s="2">
        <f>IFERROR(__xludf.DUMMYFUNCTION("""COMPUTED_VALUE"""),42468.64583333333)</f>
        <v>42468.64583</v>
      </c>
      <c r="B1053" s="1">
        <f>IFERROR(__xludf.DUMMYFUNCTION("""COMPUTED_VALUE"""),58200.0)</f>
        <v>58200</v>
      </c>
      <c r="C1053" s="1">
        <f>IFERROR(__xludf.DUMMYFUNCTION("""COMPUTED_VALUE"""),58200.0)</f>
        <v>58200</v>
      </c>
      <c r="D1053" s="1">
        <f>IFERROR(__xludf.DUMMYFUNCTION("""COMPUTED_VALUE"""),57500.0)</f>
        <v>57500</v>
      </c>
      <c r="E1053" s="1">
        <f>IFERROR(__xludf.DUMMYFUNCTION("""COMPUTED_VALUE"""),57800.0)</f>
        <v>57800</v>
      </c>
      <c r="F1053" s="1">
        <f>IFERROR(__xludf.DUMMYFUNCTION("""COMPUTED_VALUE"""),4840.0)</f>
        <v>4840</v>
      </c>
    </row>
    <row r="1054">
      <c r="A1054" s="2">
        <f>IFERROR(__xludf.DUMMYFUNCTION("""COMPUTED_VALUE"""),42471.64583333333)</f>
        <v>42471.64583</v>
      </c>
      <c r="B1054" s="1">
        <f>IFERROR(__xludf.DUMMYFUNCTION("""COMPUTED_VALUE"""),58700.0)</f>
        <v>58700</v>
      </c>
      <c r="C1054" s="1">
        <f>IFERROR(__xludf.DUMMYFUNCTION("""COMPUTED_VALUE"""),58700.0)</f>
        <v>58700</v>
      </c>
      <c r="D1054" s="1">
        <f>IFERROR(__xludf.DUMMYFUNCTION("""COMPUTED_VALUE"""),57600.0)</f>
        <v>57600</v>
      </c>
      <c r="E1054" s="1">
        <f>IFERROR(__xludf.DUMMYFUNCTION("""COMPUTED_VALUE"""),57900.0)</f>
        <v>57900</v>
      </c>
      <c r="F1054" s="1">
        <f>IFERROR(__xludf.DUMMYFUNCTION("""COMPUTED_VALUE"""),5451.0)</f>
        <v>5451</v>
      </c>
    </row>
    <row r="1055">
      <c r="A1055" s="2">
        <f>IFERROR(__xludf.DUMMYFUNCTION("""COMPUTED_VALUE"""),42472.64583333333)</f>
        <v>42472.64583</v>
      </c>
      <c r="B1055" s="1">
        <f>IFERROR(__xludf.DUMMYFUNCTION("""COMPUTED_VALUE"""),57900.0)</f>
        <v>57900</v>
      </c>
      <c r="C1055" s="1">
        <f>IFERROR(__xludf.DUMMYFUNCTION("""COMPUTED_VALUE"""),58100.0)</f>
        <v>58100</v>
      </c>
      <c r="D1055" s="1">
        <f>IFERROR(__xludf.DUMMYFUNCTION("""COMPUTED_VALUE"""),57500.0)</f>
        <v>57500</v>
      </c>
      <c r="E1055" s="1">
        <f>IFERROR(__xludf.DUMMYFUNCTION("""COMPUTED_VALUE"""),58000.0)</f>
        <v>58000</v>
      </c>
      <c r="F1055" s="1">
        <f>IFERROR(__xludf.DUMMYFUNCTION("""COMPUTED_VALUE"""),7058.0)</f>
        <v>7058</v>
      </c>
    </row>
    <row r="1056">
      <c r="A1056" s="2">
        <f>IFERROR(__xludf.DUMMYFUNCTION("""COMPUTED_VALUE"""),42474.64583333333)</f>
        <v>42474.64583</v>
      </c>
      <c r="B1056" s="1">
        <f>IFERROR(__xludf.DUMMYFUNCTION("""COMPUTED_VALUE"""),58400.0)</f>
        <v>58400</v>
      </c>
      <c r="C1056" s="1">
        <f>IFERROR(__xludf.DUMMYFUNCTION("""COMPUTED_VALUE"""),58700.0)</f>
        <v>58700</v>
      </c>
      <c r="D1056" s="1">
        <f>IFERROR(__xludf.DUMMYFUNCTION("""COMPUTED_VALUE"""),58000.0)</f>
        <v>58000</v>
      </c>
      <c r="E1056" s="1">
        <f>IFERROR(__xludf.DUMMYFUNCTION("""COMPUTED_VALUE"""),58600.0)</f>
        <v>58600</v>
      </c>
      <c r="F1056" s="1">
        <f>IFERROR(__xludf.DUMMYFUNCTION("""COMPUTED_VALUE"""),8693.0)</f>
        <v>8693</v>
      </c>
    </row>
    <row r="1057">
      <c r="A1057" s="2">
        <f>IFERROR(__xludf.DUMMYFUNCTION("""COMPUTED_VALUE"""),42475.64583333333)</f>
        <v>42475.64583</v>
      </c>
      <c r="B1057" s="1">
        <f>IFERROR(__xludf.DUMMYFUNCTION("""COMPUTED_VALUE"""),58800.0)</f>
        <v>58800</v>
      </c>
      <c r="C1057" s="1">
        <f>IFERROR(__xludf.DUMMYFUNCTION("""COMPUTED_VALUE"""),58800.0)</f>
        <v>58800</v>
      </c>
      <c r="D1057" s="1">
        <f>IFERROR(__xludf.DUMMYFUNCTION("""COMPUTED_VALUE"""),56300.0)</f>
        <v>56300</v>
      </c>
      <c r="E1057" s="1">
        <f>IFERROR(__xludf.DUMMYFUNCTION("""COMPUTED_VALUE"""),56500.0)</f>
        <v>56500</v>
      </c>
      <c r="F1057" s="1">
        <f>IFERROR(__xludf.DUMMYFUNCTION("""COMPUTED_VALUE"""),20443.0)</f>
        <v>20443</v>
      </c>
    </row>
    <row r="1058">
      <c r="A1058" s="2">
        <f>IFERROR(__xludf.DUMMYFUNCTION("""COMPUTED_VALUE"""),42478.64583333333)</f>
        <v>42478.64583</v>
      </c>
      <c r="B1058" s="1">
        <f>IFERROR(__xludf.DUMMYFUNCTION("""COMPUTED_VALUE"""),55900.0)</f>
        <v>55900</v>
      </c>
      <c r="C1058" s="1">
        <f>IFERROR(__xludf.DUMMYFUNCTION("""COMPUTED_VALUE"""),56800.0)</f>
        <v>56800</v>
      </c>
      <c r="D1058" s="1">
        <f>IFERROR(__xludf.DUMMYFUNCTION("""COMPUTED_VALUE"""),55200.0)</f>
        <v>55200</v>
      </c>
      <c r="E1058" s="1">
        <f>IFERROR(__xludf.DUMMYFUNCTION("""COMPUTED_VALUE"""),56300.0)</f>
        <v>56300</v>
      </c>
      <c r="F1058" s="1">
        <f>IFERROR(__xludf.DUMMYFUNCTION("""COMPUTED_VALUE"""),14900.0)</f>
        <v>14900</v>
      </c>
    </row>
    <row r="1059">
      <c r="A1059" s="2">
        <f>IFERROR(__xludf.DUMMYFUNCTION("""COMPUTED_VALUE"""),42479.64583333333)</f>
        <v>42479.64583</v>
      </c>
      <c r="B1059" s="1">
        <f>IFERROR(__xludf.DUMMYFUNCTION("""COMPUTED_VALUE"""),56800.0)</f>
        <v>56800</v>
      </c>
      <c r="C1059" s="1">
        <f>IFERROR(__xludf.DUMMYFUNCTION("""COMPUTED_VALUE"""),57200.0)</f>
        <v>57200</v>
      </c>
      <c r="D1059" s="1">
        <f>IFERROR(__xludf.DUMMYFUNCTION("""COMPUTED_VALUE"""),55500.0)</f>
        <v>55500</v>
      </c>
      <c r="E1059" s="1">
        <f>IFERROR(__xludf.DUMMYFUNCTION("""COMPUTED_VALUE"""),56700.0)</f>
        <v>56700</v>
      </c>
      <c r="F1059" s="1">
        <f>IFERROR(__xludf.DUMMYFUNCTION("""COMPUTED_VALUE"""),6163.0)</f>
        <v>6163</v>
      </c>
    </row>
    <row r="1060">
      <c r="A1060" s="2">
        <f>IFERROR(__xludf.DUMMYFUNCTION("""COMPUTED_VALUE"""),42480.64583333333)</f>
        <v>42480.64583</v>
      </c>
      <c r="B1060" s="1">
        <f>IFERROR(__xludf.DUMMYFUNCTION("""COMPUTED_VALUE"""),56900.0)</f>
        <v>56900</v>
      </c>
      <c r="C1060" s="1">
        <f>IFERROR(__xludf.DUMMYFUNCTION("""COMPUTED_VALUE"""),57400.0)</f>
        <v>57400</v>
      </c>
      <c r="D1060" s="1">
        <f>IFERROR(__xludf.DUMMYFUNCTION("""COMPUTED_VALUE"""),56100.0)</f>
        <v>56100</v>
      </c>
      <c r="E1060" s="1">
        <f>IFERROR(__xludf.DUMMYFUNCTION("""COMPUTED_VALUE"""),56500.0)</f>
        <v>56500</v>
      </c>
      <c r="F1060" s="1">
        <f>IFERROR(__xludf.DUMMYFUNCTION("""COMPUTED_VALUE"""),9890.0)</f>
        <v>9890</v>
      </c>
    </row>
    <row r="1061">
      <c r="A1061" s="2">
        <f>IFERROR(__xludf.DUMMYFUNCTION("""COMPUTED_VALUE"""),42481.64583333333)</f>
        <v>42481.64583</v>
      </c>
      <c r="B1061" s="1">
        <f>IFERROR(__xludf.DUMMYFUNCTION("""COMPUTED_VALUE"""),56900.0)</f>
        <v>56900</v>
      </c>
      <c r="C1061" s="1">
        <f>IFERROR(__xludf.DUMMYFUNCTION("""COMPUTED_VALUE"""),57500.0)</f>
        <v>57500</v>
      </c>
      <c r="D1061" s="1">
        <f>IFERROR(__xludf.DUMMYFUNCTION("""COMPUTED_VALUE"""),56000.0)</f>
        <v>56000</v>
      </c>
      <c r="E1061" s="1">
        <f>IFERROR(__xludf.DUMMYFUNCTION("""COMPUTED_VALUE"""),57400.0)</f>
        <v>57400</v>
      </c>
      <c r="F1061" s="1">
        <f>IFERROR(__xludf.DUMMYFUNCTION("""COMPUTED_VALUE"""),12633.0)</f>
        <v>12633</v>
      </c>
    </row>
    <row r="1062">
      <c r="A1062" s="2">
        <f>IFERROR(__xludf.DUMMYFUNCTION("""COMPUTED_VALUE"""),42482.64583333333)</f>
        <v>42482.64583</v>
      </c>
      <c r="B1062" s="1">
        <f>IFERROR(__xludf.DUMMYFUNCTION("""COMPUTED_VALUE"""),57100.0)</f>
        <v>57100</v>
      </c>
      <c r="C1062" s="1">
        <f>IFERROR(__xludf.DUMMYFUNCTION("""COMPUTED_VALUE"""),57100.0)</f>
        <v>57100</v>
      </c>
      <c r="D1062" s="1">
        <f>IFERROR(__xludf.DUMMYFUNCTION("""COMPUTED_VALUE"""),56200.0)</f>
        <v>56200</v>
      </c>
      <c r="E1062" s="1">
        <f>IFERROR(__xludf.DUMMYFUNCTION("""COMPUTED_VALUE"""),56500.0)</f>
        <v>56500</v>
      </c>
      <c r="F1062" s="1">
        <f>IFERROR(__xludf.DUMMYFUNCTION("""COMPUTED_VALUE"""),25071.0)</f>
        <v>25071</v>
      </c>
    </row>
    <row r="1063">
      <c r="A1063" s="2">
        <f>IFERROR(__xludf.DUMMYFUNCTION("""COMPUTED_VALUE"""),42485.64583333333)</f>
        <v>42485.64583</v>
      </c>
      <c r="B1063" s="1">
        <f>IFERROR(__xludf.DUMMYFUNCTION("""COMPUTED_VALUE"""),56900.0)</f>
        <v>56900</v>
      </c>
      <c r="C1063" s="1">
        <f>IFERROR(__xludf.DUMMYFUNCTION("""COMPUTED_VALUE"""),56900.0)</f>
        <v>56900</v>
      </c>
      <c r="D1063" s="1">
        <f>IFERROR(__xludf.DUMMYFUNCTION("""COMPUTED_VALUE"""),56100.0)</f>
        <v>56100</v>
      </c>
      <c r="E1063" s="1">
        <f>IFERROR(__xludf.DUMMYFUNCTION("""COMPUTED_VALUE"""),56400.0)</f>
        <v>56400</v>
      </c>
      <c r="F1063" s="1">
        <f>IFERROR(__xludf.DUMMYFUNCTION("""COMPUTED_VALUE"""),9455.0)</f>
        <v>9455</v>
      </c>
    </row>
    <row r="1064">
      <c r="A1064" s="2">
        <f>IFERROR(__xludf.DUMMYFUNCTION("""COMPUTED_VALUE"""),42486.64583333333)</f>
        <v>42486.64583</v>
      </c>
      <c r="B1064" s="1">
        <f>IFERROR(__xludf.DUMMYFUNCTION("""COMPUTED_VALUE"""),56300.0)</f>
        <v>56300</v>
      </c>
      <c r="C1064" s="1">
        <f>IFERROR(__xludf.DUMMYFUNCTION("""COMPUTED_VALUE"""),56300.0)</f>
        <v>56300</v>
      </c>
      <c r="D1064" s="1">
        <f>IFERROR(__xludf.DUMMYFUNCTION("""COMPUTED_VALUE"""),55000.0)</f>
        <v>55000</v>
      </c>
      <c r="E1064" s="1">
        <f>IFERROR(__xludf.DUMMYFUNCTION("""COMPUTED_VALUE"""),55000.0)</f>
        <v>55000</v>
      </c>
      <c r="F1064" s="1">
        <f>IFERROR(__xludf.DUMMYFUNCTION("""COMPUTED_VALUE"""),8875.0)</f>
        <v>8875</v>
      </c>
    </row>
    <row r="1065">
      <c r="A1065" s="2">
        <f>IFERROR(__xludf.DUMMYFUNCTION("""COMPUTED_VALUE"""),42487.64583333333)</f>
        <v>42487.64583</v>
      </c>
      <c r="B1065" s="1">
        <f>IFERROR(__xludf.DUMMYFUNCTION("""COMPUTED_VALUE"""),55200.0)</f>
        <v>55200</v>
      </c>
      <c r="C1065" s="1">
        <f>IFERROR(__xludf.DUMMYFUNCTION("""COMPUTED_VALUE"""),55800.0)</f>
        <v>55800</v>
      </c>
      <c r="D1065" s="1">
        <f>IFERROR(__xludf.DUMMYFUNCTION("""COMPUTED_VALUE"""),55000.0)</f>
        <v>55000</v>
      </c>
      <c r="E1065" s="1">
        <f>IFERROR(__xludf.DUMMYFUNCTION("""COMPUTED_VALUE"""),55800.0)</f>
        <v>55800</v>
      </c>
      <c r="F1065" s="1">
        <f>IFERROR(__xludf.DUMMYFUNCTION("""COMPUTED_VALUE"""),5703.0)</f>
        <v>5703</v>
      </c>
    </row>
    <row r="1066">
      <c r="A1066" s="2">
        <f>IFERROR(__xludf.DUMMYFUNCTION("""COMPUTED_VALUE"""),42488.64583333333)</f>
        <v>42488.64583</v>
      </c>
      <c r="B1066" s="1">
        <f>IFERROR(__xludf.DUMMYFUNCTION("""COMPUTED_VALUE"""),55900.0)</f>
        <v>55900</v>
      </c>
      <c r="C1066" s="1">
        <f>IFERROR(__xludf.DUMMYFUNCTION("""COMPUTED_VALUE"""),56200.0)</f>
        <v>56200</v>
      </c>
      <c r="D1066" s="1">
        <f>IFERROR(__xludf.DUMMYFUNCTION("""COMPUTED_VALUE"""),54500.0)</f>
        <v>54500</v>
      </c>
      <c r="E1066" s="1">
        <f>IFERROR(__xludf.DUMMYFUNCTION("""COMPUTED_VALUE"""),55000.0)</f>
        <v>55000</v>
      </c>
      <c r="F1066" s="1">
        <f>IFERROR(__xludf.DUMMYFUNCTION("""COMPUTED_VALUE"""),17714.0)</f>
        <v>17714</v>
      </c>
    </row>
    <row r="1067">
      <c r="A1067" s="2">
        <f>IFERROR(__xludf.DUMMYFUNCTION("""COMPUTED_VALUE"""),42489.64583333333)</f>
        <v>42489.64583</v>
      </c>
      <c r="B1067" s="1">
        <f>IFERROR(__xludf.DUMMYFUNCTION("""COMPUTED_VALUE"""),54900.0)</f>
        <v>54900</v>
      </c>
      <c r="C1067" s="1">
        <f>IFERROR(__xludf.DUMMYFUNCTION("""COMPUTED_VALUE"""),55200.0)</f>
        <v>55200</v>
      </c>
      <c r="D1067" s="1">
        <f>IFERROR(__xludf.DUMMYFUNCTION("""COMPUTED_VALUE"""),53800.0)</f>
        <v>53800</v>
      </c>
      <c r="E1067" s="1">
        <f>IFERROR(__xludf.DUMMYFUNCTION("""COMPUTED_VALUE"""),54300.0)</f>
        <v>54300</v>
      </c>
      <c r="F1067" s="1">
        <f>IFERROR(__xludf.DUMMYFUNCTION("""COMPUTED_VALUE"""),8026.0)</f>
        <v>8026</v>
      </c>
    </row>
    <row r="1068">
      <c r="A1068" s="2">
        <f>IFERROR(__xludf.DUMMYFUNCTION("""COMPUTED_VALUE"""),42492.64583333333)</f>
        <v>42492.64583</v>
      </c>
      <c r="B1068" s="1">
        <f>IFERROR(__xludf.DUMMYFUNCTION("""COMPUTED_VALUE"""),54400.0)</f>
        <v>54400</v>
      </c>
      <c r="C1068" s="1">
        <f>IFERROR(__xludf.DUMMYFUNCTION("""COMPUTED_VALUE"""),55700.0)</f>
        <v>55700</v>
      </c>
      <c r="D1068" s="1">
        <f>IFERROR(__xludf.DUMMYFUNCTION("""COMPUTED_VALUE"""),54400.0)</f>
        <v>54400</v>
      </c>
      <c r="E1068" s="1">
        <f>IFERROR(__xludf.DUMMYFUNCTION("""COMPUTED_VALUE"""),55500.0)</f>
        <v>55500</v>
      </c>
      <c r="F1068" s="1">
        <f>IFERROR(__xludf.DUMMYFUNCTION("""COMPUTED_VALUE"""),5205.0)</f>
        <v>5205</v>
      </c>
    </row>
    <row r="1069">
      <c r="A1069" s="2">
        <f>IFERROR(__xludf.DUMMYFUNCTION("""COMPUTED_VALUE"""),42493.64583333333)</f>
        <v>42493.64583</v>
      </c>
      <c r="B1069" s="1">
        <f>IFERROR(__xludf.DUMMYFUNCTION("""COMPUTED_VALUE"""),55800.0)</f>
        <v>55800</v>
      </c>
      <c r="C1069" s="1">
        <f>IFERROR(__xludf.DUMMYFUNCTION("""COMPUTED_VALUE"""),56300.0)</f>
        <v>56300</v>
      </c>
      <c r="D1069" s="1">
        <f>IFERROR(__xludf.DUMMYFUNCTION("""COMPUTED_VALUE"""),55500.0)</f>
        <v>55500</v>
      </c>
      <c r="E1069" s="1">
        <f>IFERROR(__xludf.DUMMYFUNCTION("""COMPUTED_VALUE"""),56200.0)</f>
        <v>56200</v>
      </c>
      <c r="F1069" s="1">
        <f>IFERROR(__xludf.DUMMYFUNCTION("""COMPUTED_VALUE"""),4859.0)</f>
        <v>4859</v>
      </c>
    </row>
    <row r="1070">
      <c r="A1070" s="2">
        <f>IFERROR(__xludf.DUMMYFUNCTION("""COMPUTED_VALUE"""),42494.64583333333)</f>
        <v>42494.64583</v>
      </c>
      <c r="B1070" s="1">
        <f>IFERROR(__xludf.DUMMYFUNCTION("""COMPUTED_VALUE"""),55900.0)</f>
        <v>55900</v>
      </c>
      <c r="C1070" s="1">
        <f>IFERROR(__xludf.DUMMYFUNCTION("""COMPUTED_VALUE"""),55900.0)</f>
        <v>55900</v>
      </c>
      <c r="D1070" s="1">
        <f>IFERROR(__xludf.DUMMYFUNCTION("""COMPUTED_VALUE"""),54400.0)</f>
        <v>54400</v>
      </c>
      <c r="E1070" s="1">
        <f>IFERROR(__xludf.DUMMYFUNCTION("""COMPUTED_VALUE"""),54500.0)</f>
        <v>54500</v>
      </c>
      <c r="F1070" s="1">
        <f>IFERROR(__xludf.DUMMYFUNCTION("""COMPUTED_VALUE"""),19117.0)</f>
        <v>19117</v>
      </c>
    </row>
    <row r="1071">
      <c r="A1071" s="2">
        <f>IFERROR(__xludf.DUMMYFUNCTION("""COMPUTED_VALUE"""),42499.64583333333)</f>
        <v>42499.64583</v>
      </c>
      <c r="B1071" s="1">
        <f>IFERROR(__xludf.DUMMYFUNCTION("""COMPUTED_VALUE"""),54700.0)</f>
        <v>54700</v>
      </c>
      <c r="C1071" s="1">
        <f>IFERROR(__xludf.DUMMYFUNCTION("""COMPUTED_VALUE"""),54900.0)</f>
        <v>54900</v>
      </c>
      <c r="D1071" s="1">
        <f>IFERROR(__xludf.DUMMYFUNCTION("""COMPUTED_VALUE"""),53000.0)</f>
        <v>53000</v>
      </c>
      <c r="E1071" s="1">
        <f>IFERROR(__xludf.DUMMYFUNCTION("""COMPUTED_VALUE"""),54400.0)</f>
        <v>54400</v>
      </c>
      <c r="F1071" s="1">
        <f>IFERROR(__xludf.DUMMYFUNCTION("""COMPUTED_VALUE"""),36492.0)</f>
        <v>36492</v>
      </c>
    </row>
    <row r="1072">
      <c r="A1072" s="2">
        <f>IFERROR(__xludf.DUMMYFUNCTION("""COMPUTED_VALUE"""),42500.64583333333)</f>
        <v>42500.64583</v>
      </c>
      <c r="B1072" s="1">
        <f>IFERROR(__xludf.DUMMYFUNCTION("""COMPUTED_VALUE"""),54300.0)</f>
        <v>54300</v>
      </c>
      <c r="C1072" s="1">
        <f>IFERROR(__xludf.DUMMYFUNCTION("""COMPUTED_VALUE"""),54800.0)</f>
        <v>54800</v>
      </c>
      <c r="D1072" s="1">
        <f>IFERROR(__xludf.DUMMYFUNCTION("""COMPUTED_VALUE"""),53400.0)</f>
        <v>53400</v>
      </c>
      <c r="E1072" s="1">
        <f>IFERROR(__xludf.DUMMYFUNCTION("""COMPUTED_VALUE"""),54600.0)</f>
        <v>54600</v>
      </c>
      <c r="F1072" s="1">
        <f>IFERROR(__xludf.DUMMYFUNCTION("""COMPUTED_VALUE"""),4170.0)</f>
        <v>4170</v>
      </c>
    </row>
    <row r="1073">
      <c r="A1073" s="2">
        <f>IFERROR(__xludf.DUMMYFUNCTION("""COMPUTED_VALUE"""),42501.64583333333)</f>
        <v>42501.64583</v>
      </c>
      <c r="B1073" s="1">
        <f>IFERROR(__xludf.DUMMYFUNCTION("""COMPUTED_VALUE"""),54600.0)</f>
        <v>54600</v>
      </c>
      <c r="C1073" s="1">
        <f>IFERROR(__xludf.DUMMYFUNCTION("""COMPUTED_VALUE"""),55500.0)</f>
        <v>55500</v>
      </c>
      <c r="D1073" s="1">
        <f>IFERROR(__xludf.DUMMYFUNCTION("""COMPUTED_VALUE"""),54600.0)</f>
        <v>54600</v>
      </c>
      <c r="E1073" s="1">
        <f>IFERROR(__xludf.DUMMYFUNCTION("""COMPUTED_VALUE"""),55200.0)</f>
        <v>55200</v>
      </c>
      <c r="F1073" s="1">
        <f>IFERROR(__xludf.DUMMYFUNCTION("""COMPUTED_VALUE"""),2362.0)</f>
        <v>2362</v>
      </c>
    </row>
    <row r="1074">
      <c r="A1074" s="2">
        <f>IFERROR(__xludf.DUMMYFUNCTION("""COMPUTED_VALUE"""),42502.64583333333)</f>
        <v>42502.64583</v>
      </c>
      <c r="B1074" s="1">
        <f>IFERROR(__xludf.DUMMYFUNCTION("""COMPUTED_VALUE"""),55300.0)</f>
        <v>55300</v>
      </c>
      <c r="C1074" s="1">
        <f>IFERROR(__xludf.DUMMYFUNCTION("""COMPUTED_VALUE"""),55600.0)</f>
        <v>55600</v>
      </c>
      <c r="D1074" s="1">
        <f>IFERROR(__xludf.DUMMYFUNCTION("""COMPUTED_VALUE"""),54500.0)</f>
        <v>54500</v>
      </c>
      <c r="E1074" s="1">
        <f>IFERROR(__xludf.DUMMYFUNCTION("""COMPUTED_VALUE"""),55400.0)</f>
        <v>55400</v>
      </c>
      <c r="F1074" s="1">
        <f>IFERROR(__xludf.DUMMYFUNCTION("""COMPUTED_VALUE"""),2288.0)</f>
        <v>2288</v>
      </c>
    </row>
    <row r="1075">
      <c r="A1075" s="2">
        <f>IFERROR(__xludf.DUMMYFUNCTION("""COMPUTED_VALUE"""),42503.64583333333)</f>
        <v>42503.64583</v>
      </c>
      <c r="B1075" s="1">
        <f>IFERROR(__xludf.DUMMYFUNCTION("""COMPUTED_VALUE"""),55600.0)</f>
        <v>55600</v>
      </c>
      <c r="C1075" s="1">
        <f>IFERROR(__xludf.DUMMYFUNCTION("""COMPUTED_VALUE"""),55700.0)</f>
        <v>55700</v>
      </c>
      <c r="D1075" s="1">
        <f>IFERROR(__xludf.DUMMYFUNCTION("""COMPUTED_VALUE"""),54200.0)</f>
        <v>54200</v>
      </c>
      <c r="E1075" s="1">
        <f>IFERROR(__xludf.DUMMYFUNCTION("""COMPUTED_VALUE"""),54400.0)</f>
        <v>54400</v>
      </c>
      <c r="F1075" s="1">
        <f>IFERROR(__xludf.DUMMYFUNCTION("""COMPUTED_VALUE"""),8034.0)</f>
        <v>8034</v>
      </c>
    </row>
    <row r="1076">
      <c r="A1076" s="2">
        <f>IFERROR(__xludf.DUMMYFUNCTION("""COMPUTED_VALUE"""),42506.64583333333)</f>
        <v>42506.64583</v>
      </c>
      <c r="B1076" s="1">
        <f>IFERROR(__xludf.DUMMYFUNCTION("""COMPUTED_VALUE"""),54800.0)</f>
        <v>54800</v>
      </c>
      <c r="C1076" s="1">
        <f>IFERROR(__xludf.DUMMYFUNCTION("""COMPUTED_VALUE"""),55000.0)</f>
        <v>55000</v>
      </c>
      <c r="D1076" s="1">
        <f>IFERROR(__xludf.DUMMYFUNCTION("""COMPUTED_VALUE"""),54500.0)</f>
        <v>54500</v>
      </c>
      <c r="E1076" s="1">
        <f>IFERROR(__xludf.DUMMYFUNCTION("""COMPUTED_VALUE"""),54600.0)</f>
        <v>54600</v>
      </c>
      <c r="F1076" s="1">
        <f>IFERROR(__xludf.DUMMYFUNCTION("""COMPUTED_VALUE"""),2412.0)</f>
        <v>2412</v>
      </c>
    </row>
    <row r="1077">
      <c r="A1077" s="2">
        <f>IFERROR(__xludf.DUMMYFUNCTION("""COMPUTED_VALUE"""),42507.64583333333)</f>
        <v>42507.64583</v>
      </c>
      <c r="B1077" s="1">
        <f>IFERROR(__xludf.DUMMYFUNCTION("""COMPUTED_VALUE"""),55100.0)</f>
        <v>55100</v>
      </c>
      <c r="C1077" s="1">
        <f>IFERROR(__xludf.DUMMYFUNCTION("""COMPUTED_VALUE"""),56000.0)</f>
        <v>56000</v>
      </c>
      <c r="D1077" s="1">
        <f>IFERROR(__xludf.DUMMYFUNCTION("""COMPUTED_VALUE"""),54700.0)</f>
        <v>54700</v>
      </c>
      <c r="E1077" s="1">
        <f>IFERROR(__xludf.DUMMYFUNCTION("""COMPUTED_VALUE"""),55800.0)</f>
        <v>55800</v>
      </c>
      <c r="F1077" s="1">
        <f>IFERROR(__xludf.DUMMYFUNCTION("""COMPUTED_VALUE"""),4806.0)</f>
        <v>4806</v>
      </c>
    </row>
    <row r="1078">
      <c r="A1078" s="2">
        <f>IFERROR(__xludf.DUMMYFUNCTION("""COMPUTED_VALUE"""),42508.64583333333)</f>
        <v>42508.64583</v>
      </c>
      <c r="B1078" s="1">
        <f>IFERROR(__xludf.DUMMYFUNCTION("""COMPUTED_VALUE"""),56000.0)</f>
        <v>56000</v>
      </c>
      <c r="C1078" s="1">
        <f>IFERROR(__xludf.DUMMYFUNCTION("""COMPUTED_VALUE"""),56000.0)</f>
        <v>56000</v>
      </c>
      <c r="D1078" s="1">
        <f>IFERROR(__xludf.DUMMYFUNCTION("""COMPUTED_VALUE"""),54700.0)</f>
        <v>54700</v>
      </c>
      <c r="E1078" s="1">
        <f>IFERROR(__xludf.DUMMYFUNCTION("""COMPUTED_VALUE"""),55300.0)</f>
        <v>55300</v>
      </c>
      <c r="F1078" s="1">
        <f>IFERROR(__xludf.DUMMYFUNCTION("""COMPUTED_VALUE"""),4741.0)</f>
        <v>4741</v>
      </c>
    </row>
    <row r="1079">
      <c r="A1079" s="2">
        <f>IFERROR(__xludf.DUMMYFUNCTION("""COMPUTED_VALUE"""),42509.64583333333)</f>
        <v>42509.64583</v>
      </c>
      <c r="B1079" s="1">
        <f>IFERROR(__xludf.DUMMYFUNCTION("""COMPUTED_VALUE"""),55200.0)</f>
        <v>55200</v>
      </c>
      <c r="C1079" s="1">
        <f>IFERROR(__xludf.DUMMYFUNCTION("""COMPUTED_VALUE"""),55200.0)</f>
        <v>55200</v>
      </c>
      <c r="D1079" s="1">
        <f>IFERROR(__xludf.DUMMYFUNCTION("""COMPUTED_VALUE"""),54400.0)</f>
        <v>54400</v>
      </c>
      <c r="E1079" s="1">
        <f>IFERROR(__xludf.DUMMYFUNCTION("""COMPUTED_VALUE"""),55000.0)</f>
        <v>55000</v>
      </c>
      <c r="F1079" s="1">
        <f>IFERROR(__xludf.DUMMYFUNCTION("""COMPUTED_VALUE"""),3892.0)</f>
        <v>3892</v>
      </c>
    </row>
    <row r="1080">
      <c r="A1080" s="2">
        <f>IFERROR(__xludf.DUMMYFUNCTION("""COMPUTED_VALUE"""),42510.64583333333)</f>
        <v>42510.64583</v>
      </c>
      <c r="B1080" s="1">
        <f>IFERROR(__xludf.DUMMYFUNCTION("""COMPUTED_VALUE"""),54900.0)</f>
        <v>54900</v>
      </c>
      <c r="C1080" s="1">
        <f>IFERROR(__xludf.DUMMYFUNCTION("""COMPUTED_VALUE"""),55000.0)</f>
        <v>55000</v>
      </c>
      <c r="D1080" s="1">
        <f>IFERROR(__xludf.DUMMYFUNCTION("""COMPUTED_VALUE"""),54500.0)</f>
        <v>54500</v>
      </c>
      <c r="E1080" s="1">
        <f>IFERROR(__xludf.DUMMYFUNCTION("""COMPUTED_VALUE"""),54700.0)</f>
        <v>54700</v>
      </c>
      <c r="F1080" s="1">
        <f>IFERROR(__xludf.DUMMYFUNCTION("""COMPUTED_VALUE"""),2224.0)</f>
        <v>2224</v>
      </c>
    </row>
    <row r="1081">
      <c r="A1081" s="2">
        <f>IFERROR(__xludf.DUMMYFUNCTION("""COMPUTED_VALUE"""),42513.64583333333)</f>
        <v>42513.64583</v>
      </c>
      <c r="B1081" s="1">
        <f>IFERROR(__xludf.DUMMYFUNCTION("""COMPUTED_VALUE"""),55100.0)</f>
        <v>55100</v>
      </c>
      <c r="C1081" s="1">
        <f>IFERROR(__xludf.DUMMYFUNCTION("""COMPUTED_VALUE"""),55600.0)</f>
        <v>55600</v>
      </c>
      <c r="D1081" s="1">
        <f>IFERROR(__xludf.DUMMYFUNCTION("""COMPUTED_VALUE"""),54100.0)</f>
        <v>54100</v>
      </c>
      <c r="E1081" s="1">
        <f>IFERROR(__xludf.DUMMYFUNCTION("""COMPUTED_VALUE"""),55600.0)</f>
        <v>55600</v>
      </c>
      <c r="F1081" s="1">
        <f>IFERROR(__xludf.DUMMYFUNCTION("""COMPUTED_VALUE"""),6933.0)</f>
        <v>6933</v>
      </c>
    </row>
    <row r="1082">
      <c r="A1082" s="2">
        <f>IFERROR(__xludf.DUMMYFUNCTION("""COMPUTED_VALUE"""),42514.64583333333)</f>
        <v>42514.64583</v>
      </c>
      <c r="B1082" s="1">
        <f>IFERROR(__xludf.DUMMYFUNCTION("""COMPUTED_VALUE"""),55300.0)</f>
        <v>55300</v>
      </c>
      <c r="C1082" s="1">
        <f>IFERROR(__xludf.DUMMYFUNCTION("""COMPUTED_VALUE"""),55600.0)</f>
        <v>55600</v>
      </c>
      <c r="D1082" s="1">
        <f>IFERROR(__xludf.DUMMYFUNCTION("""COMPUTED_VALUE"""),54300.0)</f>
        <v>54300</v>
      </c>
      <c r="E1082" s="1">
        <f>IFERROR(__xludf.DUMMYFUNCTION("""COMPUTED_VALUE"""),55500.0)</f>
        <v>55500</v>
      </c>
      <c r="F1082" s="1">
        <f>IFERROR(__xludf.DUMMYFUNCTION("""COMPUTED_VALUE"""),4899.0)</f>
        <v>4899</v>
      </c>
    </row>
    <row r="1083">
      <c r="A1083" s="2">
        <f>IFERROR(__xludf.DUMMYFUNCTION("""COMPUTED_VALUE"""),42515.64583333333)</f>
        <v>42515.64583</v>
      </c>
      <c r="B1083" s="1">
        <f>IFERROR(__xludf.DUMMYFUNCTION("""COMPUTED_VALUE"""),55100.0)</f>
        <v>55100</v>
      </c>
      <c r="C1083" s="1">
        <f>IFERROR(__xludf.DUMMYFUNCTION("""COMPUTED_VALUE"""),55800.0)</f>
        <v>55800</v>
      </c>
      <c r="D1083" s="1">
        <f>IFERROR(__xludf.DUMMYFUNCTION("""COMPUTED_VALUE"""),54900.0)</f>
        <v>54900</v>
      </c>
      <c r="E1083" s="1">
        <f>IFERROR(__xludf.DUMMYFUNCTION("""COMPUTED_VALUE"""),55400.0)</f>
        <v>55400</v>
      </c>
      <c r="F1083" s="1">
        <f>IFERROR(__xludf.DUMMYFUNCTION("""COMPUTED_VALUE"""),3688.0)</f>
        <v>3688</v>
      </c>
    </row>
    <row r="1084">
      <c r="A1084" s="2">
        <f>IFERROR(__xludf.DUMMYFUNCTION("""COMPUTED_VALUE"""),42516.64583333333)</f>
        <v>42516.64583</v>
      </c>
      <c r="B1084" s="1">
        <f>IFERROR(__xludf.DUMMYFUNCTION("""COMPUTED_VALUE"""),55300.0)</f>
        <v>55300</v>
      </c>
      <c r="C1084" s="1">
        <f>IFERROR(__xludf.DUMMYFUNCTION("""COMPUTED_VALUE"""),56000.0)</f>
        <v>56000</v>
      </c>
      <c r="D1084" s="1">
        <f>IFERROR(__xludf.DUMMYFUNCTION("""COMPUTED_VALUE"""),55300.0)</f>
        <v>55300</v>
      </c>
      <c r="E1084" s="1">
        <f>IFERROR(__xludf.DUMMYFUNCTION("""COMPUTED_VALUE"""),55900.0)</f>
        <v>55900</v>
      </c>
      <c r="F1084" s="1">
        <f>IFERROR(__xludf.DUMMYFUNCTION("""COMPUTED_VALUE"""),7306.0)</f>
        <v>7306</v>
      </c>
    </row>
    <row r="1085">
      <c r="A1085" s="2">
        <f>IFERROR(__xludf.DUMMYFUNCTION("""COMPUTED_VALUE"""),42517.64583333333)</f>
        <v>42517.64583</v>
      </c>
      <c r="B1085" s="1">
        <f>IFERROR(__xludf.DUMMYFUNCTION("""COMPUTED_VALUE"""),55900.0)</f>
        <v>55900</v>
      </c>
      <c r="C1085" s="1">
        <f>IFERROR(__xludf.DUMMYFUNCTION("""COMPUTED_VALUE"""),57100.0)</f>
        <v>57100</v>
      </c>
      <c r="D1085" s="1">
        <f>IFERROR(__xludf.DUMMYFUNCTION("""COMPUTED_VALUE"""),55800.0)</f>
        <v>55800</v>
      </c>
      <c r="E1085" s="1">
        <f>IFERROR(__xludf.DUMMYFUNCTION("""COMPUTED_VALUE"""),56700.0)</f>
        <v>56700</v>
      </c>
      <c r="F1085" s="1">
        <f>IFERROR(__xludf.DUMMYFUNCTION("""COMPUTED_VALUE"""),10123.0)</f>
        <v>10123</v>
      </c>
    </row>
    <row r="1086">
      <c r="A1086" s="2">
        <f>IFERROR(__xludf.DUMMYFUNCTION("""COMPUTED_VALUE"""),42520.64583333333)</f>
        <v>42520.64583</v>
      </c>
      <c r="B1086" s="1">
        <f>IFERROR(__xludf.DUMMYFUNCTION("""COMPUTED_VALUE"""),57000.0)</f>
        <v>57000</v>
      </c>
      <c r="C1086" s="1">
        <f>IFERROR(__xludf.DUMMYFUNCTION("""COMPUTED_VALUE"""),57300.0)</f>
        <v>57300</v>
      </c>
      <c r="D1086" s="1">
        <f>IFERROR(__xludf.DUMMYFUNCTION("""COMPUTED_VALUE"""),55900.0)</f>
        <v>55900</v>
      </c>
      <c r="E1086" s="1">
        <f>IFERROR(__xludf.DUMMYFUNCTION("""COMPUTED_VALUE"""),56200.0)</f>
        <v>56200</v>
      </c>
      <c r="F1086" s="1">
        <f>IFERROR(__xludf.DUMMYFUNCTION("""COMPUTED_VALUE"""),6160.0)</f>
        <v>6160</v>
      </c>
    </row>
    <row r="1087">
      <c r="A1087" s="2">
        <f>IFERROR(__xludf.DUMMYFUNCTION("""COMPUTED_VALUE"""),42521.64583333333)</f>
        <v>42521.64583</v>
      </c>
      <c r="B1087" s="1">
        <f>IFERROR(__xludf.DUMMYFUNCTION("""COMPUTED_VALUE"""),56500.0)</f>
        <v>56500</v>
      </c>
      <c r="C1087" s="1">
        <f>IFERROR(__xludf.DUMMYFUNCTION("""COMPUTED_VALUE"""),56500.0)</f>
        <v>56500</v>
      </c>
      <c r="D1087" s="1">
        <f>IFERROR(__xludf.DUMMYFUNCTION("""COMPUTED_VALUE"""),55300.0)</f>
        <v>55300</v>
      </c>
      <c r="E1087" s="1">
        <f>IFERROR(__xludf.DUMMYFUNCTION("""COMPUTED_VALUE"""),55800.0)</f>
        <v>55800</v>
      </c>
      <c r="F1087" s="1">
        <f>IFERROR(__xludf.DUMMYFUNCTION("""COMPUTED_VALUE"""),7461.0)</f>
        <v>7461</v>
      </c>
    </row>
    <row r="1088">
      <c r="A1088" s="2">
        <f>IFERROR(__xludf.DUMMYFUNCTION("""COMPUTED_VALUE"""),42522.64583333333)</f>
        <v>42522.64583</v>
      </c>
      <c r="B1088" s="1">
        <f>IFERROR(__xludf.DUMMYFUNCTION("""COMPUTED_VALUE"""),55800.0)</f>
        <v>55800</v>
      </c>
      <c r="C1088" s="1">
        <f>IFERROR(__xludf.DUMMYFUNCTION("""COMPUTED_VALUE"""),56300.0)</f>
        <v>56300</v>
      </c>
      <c r="D1088" s="1">
        <f>IFERROR(__xludf.DUMMYFUNCTION("""COMPUTED_VALUE"""),55400.0)</f>
        <v>55400</v>
      </c>
      <c r="E1088" s="1">
        <f>IFERROR(__xludf.DUMMYFUNCTION("""COMPUTED_VALUE"""),55900.0)</f>
        <v>55900</v>
      </c>
      <c r="F1088" s="1">
        <f>IFERROR(__xludf.DUMMYFUNCTION("""COMPUTED_VALUE"""),6224.0)</f>
        <v>6224</v>
      </c>
    </row>
    <row r="1089">
      <c r="A1089" s="2">
        <f>IFERROR(__xludf.DUMMYFUNCTION("""COMPUTED_VALUE"""),42523.64583333333)</f>
        <v>42523.64583</v>
      </c>
      <c r="B1089" s="1">
        <f>IFERROR(__xludf.DUMMYFUNCTION("""COMPUTED_VALUE"""),55600.0)</f>
        <v>55600</v>
      </c>
      <c r="C1089" s="1">
        <f>IFERROR(__xludf.DUMMYFUNCTION("""COMPUTED_VALUE"""),55900.0)</f>
        <v>55900</v>
      </c>
      <c r="D1089" s="1">
        <f>IFERROR(__xludf.DUMMYFUNCTION("""COMPUTED_VALUE"""),55400.0)</f>
        <v>55400</v>
      </c>
      <c r="E1089" s="1">
        <f>IFERROR(__xludf.DUMMYFUNCTION("""COMPUTED_VALUE"""),55700.0)</f>
        <v>55700</v>
      </c>
      <c r="F1089" s="1">
        <f>IFERROR(__xludf.DUMMYFUNCTION("""COMPUTED_VALUE"""),2882.0)</f>
        <v>2882</v>
      </c>
    </row>
    <row r="1090">
      <c r="A1090" s="2">
        <f>IFERROR(__xludf.DUMMYFUNCTION("""COMPUTED_VALUE"""),42524.64583333333)</f>
        <v>42524.64583</v>
      </c>
      <c r="B1090" s="1">
        <f>IFERROR(__xludf.DUMMYFUNCTION("""COMPUTED_VALUE"""),55900.0)</f>
        <v>55900</v>
      </c>
      <c r="C1090" s="1">
        <f>IFERROR(__xludf.DUMMYFUNCTION("""COMPUTED_VALUE"""),55900.0)</f>
        <v>55900</v>
      </c>
      <c r="D1090" s="1">
        <f>IFERROR(__xludf.DUMMYFUNCTION("""COMPUTED_VALUE"""),55000.0)</f>
        <v>55000</v>
      </c>
      <c r="E1090" s="1">
        <f>IFERROR(__xludf.DUMMYFUNCTION("""COMPUTED_VALUE"""),55400.0)</f>
        <v>55400</v>
      </c>
      <c r="F1090" s="1">
        <f>IFERROR(__xludf.DUMMYFUNCTION("""COMPUTED_VALUE"""),3626.0)</f>
        <v>3626</v>
      </c>
    </row>
    <row r="1091">
      <c r="A1091" s="2">
        <f>IFERROR(__xludf.DUMMYFUNCTION("""COMPUTED_VALUE"""),42528.64583333333)</f>
        <v>42528.64583</v>
      </c>
      <c r="B1091" s="1">
        <f>IFERROR(__xludf.DUMMYFUNCTION("""COMPUTED_VALUE"""),55400.0)</f>
        <v>55400</v>
      </c>
      <c r="C1091" s="1">
        <f>IFERROR(__xludf.DUMMYFUNCTION("""COMPUTED_VALUE"""),56000.0)</f>
        <v>56000</v>
      </c>
      <c r="D1091" s="1">
        <f>IFERROR(__xludf.DUMMYFUNCTION("""COMPUTED_VALUE"""),55400.0)</f>
        <v>55400</v>
      </c>
      <c r="E1091" s="1">
        <f>IFERROR(__xludf.DUMMYFUNCTION("""COMPUTED_VALUE"""),55900.0)</f>
        <v>55900</v>
      </c>
      <c r="F1091" s="1">
        <f>IFERROR(__xludf.DUMMYFUNCTION("""COMPUTED_VALUE"""),1900.0)</f>
        <v>1900</v>
      </c>
    </row>
    <row r="1092">
      <c r="A1092" s="2">
        <f>IFERROR(__xludf.DUMMYFUNCTION("""COMPUTED_VALUE"""),42529.64583333333)</f>
        <v>42529.64583</v>
      </c>
      <c r="B1092" s="1">
        <f>IFERROR(__xludf.DUMMYFUNCTION("""COMPUTED_VALUE"""),56000.0)</f>
        <v>56000</v>
      </c>
      <c r="C1092" s="1">
        <f>IFERROR(__xludf.DUMMYFUNCTION("""COMPUTED_VALUE"""),56300.0)</f>
        <v>56300</v>
      </c>
      <c r="D1092" s="1">
        <f>IFERROR(__xludf.DUMMYFUNCTION("""COMPUTED_VALUE"""),55600.0)</f>
        <v>55600</v>
      </c>
      <c r="E1092" s="1">
        <f>IFERROR(__xludf.DUMMYFUNCTION("""COMPUTED_VALUE"""),56000.0)</f>
        <v>56000</v>
      </c>
      <c r="F1092" s="1">
        <f>IFERROR(__xludf.DUMMYFUNCTION("""COMPUTED_VALUE"""),4501.0)</f>
        <v>4501</v>
      </c>
    </row>
    <row r="1093">
      <c r="A1093" s="2">
        <f>IFERROR(__xludf.DUMMYFUNCTION("""COMPUTED_VALUE"""),42530.64583333333)</f>
        <v>42530.64583</v>
      </c>
      <c r="B1093" s="1">
        <f>IFERROR(__xludf.DUMMYFUNCTION("""COMPUTED_VALUE"""),56200.0)</f>
        <v>56200</v>
      </c>
      <c r="C1093" s="1">
        <f>IFERROR(__xludf.DUMMYFUNCTION("""COMPUTED_VALUE"""),56200.0)</f>
        <v>56200</v>
      </c>
      <c r="D1093" s="1">
        <f>IFERROR(__xludf.DUMMYFUNCTION("""COMPUTED_VALUE"""),54700.0)</f>
        <v>54700</v>
      </c>
      <c r="E1093" s="1">
        <f>IFERROR(__xludf.DUMMYFUNCTION("""COMPUTED_VALUE"""),55400.0)</f>
        <v>55400</v>
      </c>
      <c r="F1093" s="1">
        <f>IFERROR(__xludf.DUMMYFUNCTION("""COMPUTED_VALUE"""),5041.0)</f>
        <v>5041</v>
      </c>
    </row>
    <row r="1094">
      <c r="A1094" s="2">
        <f>IFERROR(__xludf.DUMMYFUNCTION("""COMPUTED_VALUE"""),42531.64583333333)</f>
        <v>42531.64583</v>
      </c>
      <c r="B1094" s="1">
        <f>IFERROR(__xludf.DUMMYFUNCTION("""COMPUTED_VALUE"""),55400.0)</f>
        <v>55400</v>
      </c>
      <c r="C1094" s="1">
        <f>IFERROR(__xludf.DUMMYFUNCTION("""COMPUTED_VALUE"""),55500.0)</f>
        <v>55500</v>
      </c>
      <c r="D1094" s="1">
        <f>IFERROR(__xludf.DUMMYFUNCTION("""COMPUTED_VALUE"""),54800.0)</f>
        <v>54800</v>
      </c>
      <c r="E1094" s="1">
        <f>IFERROR(__xludf.DUMMYFUNCTION("""COMPUTED_VALUE"""),55400.0)</f>
        <v>55400</v>
      </c>
      <c r="F1094" s="1">
        <f>IFERROR(__xludf.DUMMYFUNCTION("""COMPUTED_VALUE"""),4287.0)</f>
        <v>4287</v>
      </c>
    </row>
    <row r="1095">
      <c r="A1095" s="2">
        <f>IFERROR(__xludf.DUMMYFUNCTION("""COMPUTED_VALUE"""),42534.64583333333)</f>
        <v>42534.64583</v>
      </c>
      <c r="B1095" s="1">
        <f>IFERROR(__xludf.DUMMYFUNCTION("""COMPUTED_VALUE"""),54900.0)</f>
        <v>54900</v>
      </c>
      <c r="C1095" s="1">
        <f>IFERROR(__xludf.DUMMYFUNCTION("""COMPUTED_VALUE"""),55600.0)</f>
        <v>55600</v>
      </c>
      <c r="D1095" s="1">
        <f>IFERROR(__xludf.DUMMYFUNCTION("""COMPUTED_VALUE"""),54300.0)</f>
        <v>54300</v>
      </c>
      <c r="E1095" s="1">
        <f>IFERROR(__xludf.DUMMYFUNCTION("""COMPUTED_VALUE"""),54800.0)</f>
        <v>54800</v>
      </c>
      <c r="F1095" s="1">
        <f>IFERROR(__xludf.DUMMYFUNCTION("""COMPUTED_VALUE"""),5128.0)</f>
        <v>5128</v>
      </c>
    </row>
    <row r="1096">
      <c r="A1096" s="2">
        <f>IFERROR(__xludf.DUMMYFUNCTION("""COMPUTED_VALUE"""),42535.64583333333)</f>
        <v>42535.64583</v>
      </c>
      <c r="B1096" s="1">
        <f>IFERROR(__xludf.DUMMYFUNCTION("""COMPUTED_VALUE"""),54800.0)</f>
        <v>54800</v>
      </c>
      <c r="C1096" s="1">
        <f>IFERROR(__xludf.DUMMYFUNCTION("""COMPUTED_VALUE"""),55300.0)</f>
        <v>55300</v>
      </c>
      <c r="D1096" s="1">
        <f>IFERROR(__xludf.DUMMYFUNCTION("""COMPUTED_VALUE"""),54000.0)</f>
        <v>54000</v>
      </c>
      <c r="E1096" s="1">
        <f>IFERROR(__xludf.DUMMYFUNCTION("""COMPUTED_VALUE"""),54500.0)</f>
        <v>54500</v>
      </c>
      <c r="F1096" s="1">
        <f>IFERROR(__xludf.DUMMYFUNCTION("""COMPUTED_VALUE"""),6059.0)</f>
        <v>6059</v>
      </c>
    </row>
    <row r="1097">
      <c r="A1097" s="2">
        <f>IFERROR(__xludf.DUMMYFUNCTION("""COMPUTED_VALUE"""),42536.64583333333)</f>
        <v>42536.64583</v>
      </c>
      <c r="B1097" s="1">
        <f>IFERROR(__xludf.DUMMYFUNCTION("""COMPUTED_VALUE"""),54100.0)</f>
        <v>54100</v>
      </c>
      <c r="C1097" s="1">
        <f>IFERROR(__xludf.DUMMYFUNCTION("""COMPUTED_VALUE"""),54100.0)</f>
        <v>54100</v>
      </c>
      <c r="D1097" s="1">
        <f>IFERROR(__xludf.DUMMYFUNCTION("""COMPUTED_VALUE"""),53400.0)</f>
        <v>53400</v>
      </c>
      <c r="E1097" s="1">
        <f>IFERROR(__xludf.DUMMYFUNCTION("""COMPUTED_VALUE"""),53700.0)</f>
        <v>53700</v>
      </c>
      <c r="F1097" s="1">
        <f>IFERROR(__xludf.DUMMYFUNCTION("""COMPUTED_VALUE"""),5418.0)</f>
        <v>5418</v>
      </c>
    </row>
    <row r="1098">
      <c r="A1098" s="2">
        <f>IFERROR(__xludf.DUMMYFUNCTION("""COMPUTED_VALUE"""),42537.64583333333)</f>
        <v>42537.64583</v>
      </c>
      <c r="B1098" s="1">
        <f>IFERROR(__xludf.DUMMYFUNCTION("""COMPUTED_VALUE"""),53400.0)</f>
        <v>53400</v>
      </c>
      <c r="C1098" s="1">
        <f>IFERROR(__xludf.DUMMYFUNCTION("""COMPUTED_VALUE"""),54100.0)</f>
        <v>54100</v>
      </c>
      <c r="D1098" s="1">
        <f>IFERROR(__xludf.DUMMYFUNCTION("""COMPUTED_VALUE"""),53400.0)</f>
        <v>53400</v>
      </c>
      <c r="E1098" s="1">
        <f>IFERROR(__xludf.DUMMYFUNCTION("""COMPUTED_VALUE"""),53500.0)</f>
        <v>53500</v>
      </c>
      <c r="F1098" s="1">
        <f>IFERROR(__xludf.DUMMYFUNCTION("""COMPUTED_VALUE"""),4266.0)</f>
        <v>4266</v>
      </c>
    </row>
    <row r="1099">
      <c r="A1099" s="2">
        <f>IFERROR(__xludf.DUMMYFUNCTION("""COMPUTED_VALUE"""),42538.64583333333)</f>
        <v>42538.64583</v>
      </c>
      <c r="B1099" s="1">
        <f>IFERROR(__xludf.DUMMYFUNCTION("""COMPUTED_VALUE"""),53500.0)</f>
        <v>53500</v>
      </c>
      <c r="C1099" s="1">
        <f>IFERROR(__xludf.DUMMYFUNCTION("""COMPUTED_VALUE"""),54200.0)</f>
        <v>54200</v>
      </c>
      <c r="D1099" s="1">
        <f>IFERROR(__xludf.DUMMYFUNCTION("""COMPUTED_VALUE"""),53000.0)</f>
        <v>53000</v>
      </c>
      <c r="E1099" s="1">
        <f>IFERROR(__xludf.DUMMYFUNCTION("""COMPUTED_VALUE"""),53000.0)</f>
        <v>53000</v>
      </c>
      <c r="F1099" s="1">
        <f>IFERROR(__xludf.DUMMYFUNCTION("""COMPUTED_VALUE"""),10508.0)</f>
        <v>10508</v>
      </c>
    </row>
    <row r="1100">
      <c r="A1100" s="2">
        <f>IFERROR(__xludf.DUMMYFUNCTION("""COMPUTED_VALUE"""),42541.64583333333)</f>
        <v>42541.64583</v>
      </c>
      <c r="B1100" s="1">
        <f>IFERROR(__xludf.DUMMYFUNCTION("""COMPUTED_VALUE"""),53500.0)</f>
        <v>53500</v>
      </c>
      <c r="C1100" s="1">
        <f>IFERROR(__xludf.DUMMYFUNCTION("""COMPUTED_VALUE"""),54000.0)</f>
        <v>54000</v>
      </c>
      <c r="D1100" s="1">
        <f>IFERROR(__xludf.DUMMYFUNCTION("""COMPUTED_VALUE"""),51600.0)</f>
        <v>51600</v>
      </c>
      <c r="E1100" s="1">
        <f>IFERROR(__xludf.DUMMYFUNCTION("""COMPUTED_VALUE"""),52700.0)</f>
        <v>52700</v>
      </c>
      <c r="F1100" s="1">
        <f>IFERROR(__xludf.DUMMYFUNCTION("""COMPUTED_VALUE"""),15873.0)</f>
        <v>15873</v>
      </c>
    </row>
    <row r="1101">
      <c r="A1101" s="2">
        <f>IFERROR(__xludf.DUMMYFUNCTION("""COMPUTED_VALUE"""),42542.64583333333)</f>
        <v>42542.64583</v>
      </c>
      <c r="B1101" s="1">
        <f>IFERROR(__xludf.DUMMYFUNCTION("""COMPUTED_VALUE"""),53400.0)</f>
        <v>53400</v>
      </c>
      <c r="C1101" s="1">
        <f>IFERROR(__xludf.DUMMYFUNCTION("""COMPUTED_VALUE"""),53400.0)</f>
        <v>53400</v>
      </c>
      <c r="D1101" s="1">
        <f>IFERROR(__xludf.DUMMYFUNCTION("""COMPUTED_VALUE"""),52100.0)</f>
        <v>52100</v>
      </c>
      <c r="E1101" s="1">
        <f>IFERROR(__xludf.DUMMYFUNCTION("""COMPUTED_VALUE"""),52400.0)</f>
        <v>52400</v>
      </c>
      <c r="F1101" s="1">
        <f>IFERROR(__xludf.DUMMYFUNCTION("""COMPUTED_VALUE"""),5566.0)</f>
        <v>5566</v>
      </c>
    </row>
    <row r="1102">
      <c r="A1102" s="2">
        <f>IFERROR(__xludf.DUMMYFUNCTION("""COMPUTED_VALUE"""),42543.64583333333)</f>
        <v>42543.64583</v>
      </c>
      <c r="B1102" s="1">
        <f>IFERROR(__xludf.DUMMYFUNCTION("""COMPUTED_VALUE"""),52500.0)</f>
        <v>52500</v>
      </c>
      <c r="C1102" s="1">
        <f>IFERROR(__xludf.DUMMYFUNCTION("""COMPUTED_VALUE"""),54000.0)</f>
        <v>54000</v>
      </c>
      <c r="D1102" s="1">
        <f>IFERROR(__xludf.DUMMYFUNCTION("""COMPUTED_VALUE"""),52300.0)</f>
        <v>52300</v>
      </c>
      <c r="E1102" s="1">
        <f>IFERROR(__xludf.DUMMYFUNCTION("""COMPUTED_VALUE"""),54000.0)</f>
        <v>54000</v>
      </c>
      <c r="F1102" s="1">
        <f>IFERROR(__xludf.DUMMYFUNCTION("""COMPUTED_VALUE"""),5603.0)</f>
        <v>5603</v>
      </c>
    </row>
    <row r="1103">
      <c r="A1103" s="2">
        <f>IFERROR(__xludf.DUMMYFUNCTION("""COMPUTED_VALUE"""),42544.64583333333)</f>
        <v>42544.64583</v>
      </c>
      <c r="B1103" s="1">
        <f>IFERROR(__xludf.DUMMYFUNCTION("""COMPUTED_VALUE"""),53900.0)</f>
        <v>53900</v>
      </c>
      <c r="C1103" s="1">
        <f>IFERROR(__xludf.DUMMYFUNCTION("""COMPUTED_VALUE"""),53900.0)</f>
        <v>53900</v>
      </c>
      <c r="D1103" s="1">
        <f>IFERROR(__xludf.DUMMYFUNCTION("""COMPUTED_VALUE"""),53000.0)</f>
        <v>53000</v>
      </c>
      <c r="E1103" s="1">
        <f>IFERROR(__xludf.DUMMYFUNCTION("""COMPUTED_VALUE"""),53100.0)</f>
        <v>53100</v>
      </c>
      <c r="F1103" s="1">
        <f>IFERROR(__xludf.DUMMYFUNCTION("""COMPUTED_VALUE"""),4600.0)</f>
        <v>4600</v>
      </c>
    </row>
    <row r="1104">
      <c r="A1104" s="2">
        <f>IFERROR(__xludf.DUMMYFUNCTION("""COMPUTED_VALUE"""),42545.64583333333)</f>
        <v>42545.64583</v>
      </c>
      <c r="B1104" s="1">
        <f>IFERROR(__xludf.DUMMYFUNCTION("""COMPUTED_VALUE"""),53500.0)</f>
        <v>53500</v>
      </c>
      <c r="C1104" s="1">
        <f>IFERROR(__xludf.DUMMYFUNCTION("""COMPUTED_VALUE"""),53800.0)</f>
        <v>53800</v>
      </c>
      <c r="D1104" s="1">
        <f>IFERROR(__xludf.DUMMYFUNCTION("""COMPUTED_VALUE"""),51100.0)</f>
        <v>51100</v>
      </c>
      <c r="E1104" s="1">
        <f>IFERROR(__xludf.DUMMYFUNCTION("""COMPUTED_VALUE"""),51400.0)</f>
        <v>51400</v>
      </c>
      <c r="F1104" s="1">
        <f>IFERROR(__xludf.DUMMYFUNCTION("""COMPUTED_VALUE"""),17179.0)</f>
        <v>17179</v>
      </c>
    </row>
    <row r="1105">
      <c r="A1105" s="2">
        <f>IFERROR(__xludf.DUMMYFUNCTION("""COMPUTED_VALUE"""),42548.64583333333)</f>
        <v>42548.64583</v>
      </c>
      <c r="B1105" s="1">
        <f>IFERROR(__xludf.DUMMYFUNCTION("""COMPUTED_VALUE"""),50600.0)</f>
        <v>50600</v>
      </c>
      <c r="C1105" s="1">
        <f>IFERROR(__xludf.DUMMYFUNCTION("""COMPUTED_VALUE"""),51000.0)</f>
        <v>51000</v>
      </c>
      <c r="D1105" s="1">
        <f>IFERROR(__xludf.DUMMYFUNCTION("""COMPUTED_VALUE"""),49500.0)</f>
        <v>49500</v>
      </c>
      <c r="E1105" s="1">
        <f>IFERROR(__xludf.DUMMYFUNCTION("""COMPUTED_VALUE"""),51000.0)</f>
        <v>51000</v>
      </c>
      <c r="F1105" s="1">
        <f>IFERROR(__xludf.DUMMYFUNCTION("""COMPUTED_VALUE"""),18283.0)</f>
        <v>18283</v>
      </c>
    </row>
    <row r="1106">
      <c r="A1106" s="2">
        <f>IFERROR(__xludf.DUMMYFUNCTION("""COMPUTED_VALUE"""),42549.64583333333)</f>
        <v>42549.64583</v>
      </c>
      <c r="B1106" s="1">
        <f>IFERROR(__xludf.DUMMYFUNCTION("""COMPUTED_VALUE"""),51100.0)</f>
        <v>51100</v>
      </c>
      <c r="C1106" s="1">
        <f>IFERROR(__xludf.DUMMYFUNCTION("""COMPUTED_VALUE"""),52100.0)</f>
        <v>52100</v>
      </c>
      <c r="D1106" s="1">
        <f>IFERROR(__xludf.DUMMYFUNCTION("""COMPUTED_VALUE"""),50500.0)</f>
        <v>50500</v>
      </c>
      <c r="E1106" s="1">
        <f>IFERROR(__xludf.DUMMYFUNCTION("""COMPUTED_VALUE"""),52000.0)</f>
        <v>52000</v>
      </c>
      <c r="F1106" s="1">
        <f>IFERROR(__xludf.DUMMYFUNCTION("""COMPUTED_VALUE"""),14470.0)</f>
        <v>14470</v>
      </c>
    </row>
    <row r="1107">
      <c r="A1107" s="2">
        <f>IFERROR(__xludf.DUMMYFUNCTION("""COMPUTED_VALUE"""),42550.64583333333)</f>
        <v>42550.64583</v>
      </c>
      <c r="B1107" s="1">
        <f>IFERROR(__xludf.DUMMYFUNCTION("""COMPUTED_VALUE"""),52000.0)</f>
        <v>52000</v>
      </c>
      <c r="C1107" s="1">
        <f>IFERROR(__xludf.DUMMYFUNCTION("""COMPUTED_VALUE"""),52000.0)</f>
        <v>52000</v>
      </c>
      <c r="D1107" s="1">
        <f>IFERROR(__xludf.DUMMYFUNCTION("""COMPUTED_VALUE"""),51400.0)</f>
        <v>51400</v>
      </c>
      <c r="E1107" s="1">
        <f>IFERROR(__xludf.DUMMYFUNCTION("""COMPUTED_VALUE"""),51900.0)</f>
        <v>51900</v>
      </c>
      <c r="F1107" s="1">
        <f>IFERROR(__xludf.DUMMYFUNCTION("""COMPUTED_VALUE"""),4417.0)</f>
        <v>4417</v>
      </c>
    </row>
    <row r="1108">
      <c r="A1108" s="2">
        <f>IFERROR(__xludf.DUMMYFUNCTION("""COMPUTED_VALUE"""),42551.64583333333)</f>
        <v>42551.64583</v>
      </c>
      <c r="B1108" s="1">
        <f>IFERROR(__xludf.DUMMYFUNCTION("""COMPUTED_VALUE"""),52200.0)</f>
        <v>52200</v>
      </c>
      <c r="C1108" s="1">
        <f>IFERROR(__xludf.DUMMYFUNCTION("""COMPUTED_VALUE"""),52400.0)</f>
        <v>52400</v>
      </c>
      <c r="D1108" s="1">
        <f>IFERROR(__xludf.DUMMYFUNCTION("""COMPUTED_VALUE"""),51300.0)</f>
        <v>51300</v>
      </c>
      <c r="E1108" s="1">
        <f>IFERROR(__xludf.DUMMYFUNCTION("""COMPUTED_VALUE"""),51700.0)</f>
        <v>51700</v>
      </c>
      <c r="F1108" s="1">
        <f>IFERROR(__xludf.DUMMYFUNCTION("""COMPUTED_VALUE"""),4668.0)</f>
        <v>4668</v>
      </c>
    </row>
    <row r="1109">
      <c r="A1109" s="2">
        <f>IFERROR(__xludf.DUMMYFUNCTION("""COMPUTED_VALUE"""),42552.64583333333)</f>
        <v>42552.64583</v>
      </c>
      <c r="B1109" s="1">
        <f>IFERROR(__xludf.DUMMYFUNCTION("""COMPUTED_VALUE"""),51700.0)</f>
        <v>51700</v>
      </c>
      <c r="C1109" s="1">
        <f>IFERROR(__xludf.DUMMYFUNCTION("""COMPUTED_VALUE"""),51800.0)</f>
        <v>51800</v>
      </c>
      <c r="D1109" s="1">
        <f>IFERROR(__xludf.DUMMYFUNCTION("""COMPUTED_VALUE"""),51200.0)</f>
        <v>51200</v>
      </c>
      <c r="E1109" s="1">
        <f>IFERROR(__xludf.DUMMYFUNCTION("""COMPUTED_VALUE"""),51800.0)</f>
        <v>51800</v>
      </c>
      <c r="F1109" s="1">
        <f>IFERROR(__xludf.DUMMYFUNCTION("""COMPUTED_VALUE"""),2757.0)</f>
        <v>2757</v>
      </c>
    </row>
    <row r="1110">
      <c r="A1110" s="2">
        <f>IFERROR(__xludf.DUMMYFUNCTION("""COMPUTED_VALUE"""),42555.64583333333)</f>
        <v>42555.64583</v>
      </c>
      <c r="B1110" s="1">
        <f>IFERROR(__xludf.DUMMYFUNCTION("""COMPUTED_VALUE"""),51800.0)</f>
        <v>51800</v>
      </c>
      <c r="C1110" s="1">
        <f>IFERROR(__xludf.DUMMYFUNCTION("""COMPUTED_VALUE"""),53100.0)</f>
        <v>53100</v>
      </c>
      <c r="D1110" s="1">
        <f>IFERROR(__xludf.DUMMYFUNCTION("""COMPUTED_VALUE"""),51600.0)</f>
        <v>51600</v>
      </c>
      <c r="E1110" s="1">
        <f>IFERROR(__xludf.DUMMYFUNCTION("""COMPUTED_VALUE"""),52600.0)</f>
        <v>52600</v>
      </c>
      <c r="F1110" s="1">
        <f>IFERROR(__xludf.DUMMYFUNCTION("""COMPUTED_VALUE"""),9984.0)</f>
        <v>9984</v>
      </c>
    </row>
    <row r="1111">
      <c r="A1111" s="2">
        <f>IFERROR(__xludf.DUMMYFUNCTION("""COMPUTED_VALUE"""),42556.64583333333)</f>
        <v>42556.64583</v>
      </c>
      <c r="B1111" s="1">
        <f>IFERROR(__xludf.DUMMYFUNCTION("""COMPUTED_VALUE"""),53000.0)</f>
        <v>53000</v>
      </c>
      <c r="C1111" s="1">
        <f>IFERROR(__xludf.DUMMYFUNCTION("""COMPUTED_VALUE"""),53000.0)</f>
        <v>53000</v>
      </c>
      <c r="D1111" s="1">
        <f>IFERROR(__xludf.DUMMYFUNCTION("""COMPUTED_VALUE"""),51700.0)</f>
        <v>51700</v>
      </c>
      <c r="E1111" s="1">
        <f>IFERROR(__xludf.DUMMYFUNCTION("""COMPUTED_VALUE"""),52000.0)</f>
        <v>52000</v>
      </c>
      <c r="F1111" s="1">
        <f>IFERROR(__xludf.DUMMYFUNCTION("""COMPUTED_VALUE"""),3855.0)</f>
        <v>3855</v>
      </c>
    </row>
    <row r="1112">
      <c r="A1112" s="2">
        <f>IFERROR(__xludf.DUMMYFUNCTION("""COMPUTED_VALUE"""),42557.64583333333)</f>
        <v>42557.64583</v>
      </c>
      <c r="B1112" s="1">
        <f>IFERROR(__xludf.DUMMYFUNCTION("""COMPUTED_VALUE"""),51800.0)</f>
        <v>51800</v>
      </c>
      <c r="C1112" s="1">
        <f>IFERROR(__xludf.DUMMYFUNCTION("""COMPUTED_VALUE"""),51900.0)</f>
        <v>51900</v>
      </c>
      <c r="D1112" s="1">
        <f>IFERROR(__xludf.DUMMYFUNCTION("""COMPUTED_VALUE"""),51000.0)</f>
        <v>51000</v>
      </c>
      <c r="E1112" s="1">
        <f>IFERROR(__xludf.DUMMYFUNCTION("""COMPUTED_VALUE"""),51300.0)</f>
        <v>51300</v>
      </c>
      <c r="F1112" s="1">
        <f>IFERROR(__xludf.DUMMYFUNCTION("""COMPUTED_VALUE"""),4423.0)</f>
        <v>4423</v>
      </c>
    </row>
    <row r="1113">
      <c r="A1113" s="2">
        <f>IFERROR(__xludf.DUMMYFUNCTION("""COMPUTED_VALUE"""),42558.64583333333)</f>
        <v>42558.64583</v>
      </c>
      <c r="B1113" s="1">
        <f>IFERROR(__xludf.DUMMYFUNCTION("""COMPUTED_VALUE"""),51600.0)</f>
        <v>51600</v>
      </c>
      <c r="C1113" s="1">
        <f>IFERROR(__xludf.DUMMYFUNCTION("""COMPUTED_VALUE"""),51800.0)</f>
        <v>51800</v>
      </c>
      <c r="D1113" s="1">
        <f>IFERROR(__xludf.DUMMYFUNCTION("""COMPUTED_VALUE"""),51500.0)</f>
        <v>51500</v>
      </c>
      <c r="E1113" s="1">
        <f>IFERROR(__xludf.DUMMYFUNCTION("""COMPUTED_VALUE"""),51600.0)</f>
        <v>51600</v>
      </c>
      <c r="F1113" s="1">
        <f>IFERROR(__xludf.DUMMYFUNCTION("""COMPUTED_VALUE"""),1470.0)</f>
        <v>1470</v>
      </c>
    </row>
    <row r="1114">
      <c r="A1114" s="2">
        <f>IFERROR(__xludf.DUMMYFUNCTION("""COMPUTED_VALUE"""),42559.64583333333)</f>
        <v>42559.64583</v>
      </c>
      <c r="B1114" s="1">
        <f>IFERROR(__xludf.DUMMYFUNCTION("""COMPUTED_VALUE"""),51800.0)</f>
        <v>51800</v>
      </c>
      <c r="C1114" s="1">
        <f>IFERROR(__xludf.DUMMYFUNCTION("""COMPUTED_VALUE"""),51800.0)</f>
        <v>51800</v>
      </c>
      <c r="D1114" s="1">
        <f>IFERROR(__xludf.DUMMYFUNCTION("""COMPUTED_VALUE"""),50700.0)</f>
        <v>50700</v>
      </c>
      <c r="E1114" s="1">
        <f>IFERROR(__xludf.DUMMYFUNCTION("""COMPUTED_VALUE"""),50800.0)</f>
        <v>50800</v>
      </c>
      <c r="F1114" s="1">
        <f>IFERROR(__xludf.DUMMYFUNCTION("""COMPUTED_VALUE"""),4238.0)</f>
        <v>4238</v>
      </c>
    </row>
    <row r="1115">
      <c r="A1115" s="2">
        <f>IFERROR(__xludf.DUMMYFUNCTION("""COMPUTED_VALUE"""),42562.64583333333)</f>
        <v>42562.64583</v>
      </c>
      <c r="B1115" s="1">
        <f>IFERROR(__xludf.DUMMYFUNCTION("""COMPUTED_VALUE"""),51200.0)</f>
        <v>51200</v>
      </c>
      <c r="C1115" s="1">
        <f>IFERROR(__xludf.DUMMYFUNCTION("""COMPUTED_VALUE"""),51200.0)</f>
        <v>51200</v>
      </c>
      <c r="D1115" s="1">
        <f>IFERROR(__xludf.DUMMYFUNCTION("""COMPUTED_VALUE"""),50300.0)</f>
        <v>50300</v>
      </c>
      <c r="E1115" s="1">
        <f>IFERROR(__xludf.DUMMYFUNCTION("""COMPUTED_VALUE"""),51100.0)</f>
        <v>51100</v>
      </c>
      <c r="F1115" s="1">
        <f>IFERROR(__xludf.DUMMYFUNCTION("""COMPUTED_VALUE"""),5491.0)</f>
        <v>5491</v>
      </c>
    </row>
    <row r="1116">
      <c r="A1116" s="2">
        <f>IFERROR(__xludf.DUMMYFUNCTION("""COMPUTED_VALUE"""),42563.64583333333)</f>
        <v>42563.64583</v>
      </c>
      <c r="B1116" s="1">
        <f>IFERROR(__xludf.DUMMYFUNCTION("""COMPUTED_VALUE"""),51100.0)</f>
        <v>51100</v>
      </c>
      <c r="C1116" s="1">
        <f>IFERROR(__xludf.DUMMYFUNCTION("""COMPUTED_VALUE"""),51100.0)</f>
        <v>51100</v>
      </c>
      <c r="D1116" s="1">
        <f>IFERROR(__xludf.DUMMYFUNCTION("""COMPUTED_VALUE"""),50600.0)</f>
        <v>50600</v>
      </c>
      <c r="E1116" s="1">
        <f>IFERROR(__xludf.DUMMYFUNCTION("""COMPUTED_VALUE"""),50900.0)</f>
        <v>50900</v>
      </c>
      <c r="F1116" s="1">
        <f>IFERROR(__xludf.DUMMYFUNCTION("""COMPUTED_VALUE"""),2541.0)</f>
        <v>2541</v>
      </c>
    </row>
    <row r="1117">
      <c r="A1117" s="2">
        <f>IFERROR(__xludf.DUMMYFUNCTION("""COMPUTED_VALUE"""),42564.64583333333)</f>
        <v>42564.64583</v>
      </c>
      <c r="B1117" s="1">
        <f>IFERROR(__xludf.DUMMYFUNCTION("""COMPUTED_VALUE"""),51000.0)</f>
        <v>51000</v>
      </c>
      <c r="C1117" s="1">
        <f>IFERROR(__xludf.DUMMYFUNCTION("""COMPUTED_VALUE"""),51500.0)</f>
        <v>51500</v>
      </c>
      <c r="D1117" s="1">
        <f>IFERROR(__xludf.DUMMYFUNCTION("""COMPUTED_VALUE"""),50800.0)</f>
        <v>50800</v>
      </c>
      <c r="E1117" s="1">
        <f>IFERROR(__xludf.DUMMYFUNCTION("""COMPUTED_VALUE"""),51400.0)</f>
        <v>51400</v>
      </c>
      <c r="F1117" s="1">
        <f>IFERROR(__xludf.DUMMYFUNCTION("""COMPUTED_VALUE"""),6324.0)</f>
        <v>6324</v>
      </c>
    </row>
    <row r="1118">
      <c r="A1118" s="2">
        <f>IFERROR(__xludf.DUMMYFUNCTION("""COMPUTED_VALUE"""),42565.64583333333)</f>
        <v>42565.64583</v>
      </c>
      <c r="B1118" s="1">
        <f>IFERROR(__xludf.DUMMYFUNCTION("""COMPUTED_VALUE"""),51500.0)</f>
        <v>51500</v>
      </c>
      <c r="C1118" s="1">
        <f>IFERROR(__xludf.DUMMYFUNCTION("""COMPUTED_VALUE"""),52100.0)</f>
        <v>52100</v>
      </c>
      <c r="D1118" s="1">
        <f>IFERROR(__xludf.DUMMYFUNCTION("""COMPUTED_VALUE"""),51000.0)</f>
        <v>51000</v>
      </c>
      <c r="E1118" s="1">
        <f>IFERROR(__xludf.DUMMYFUNCTION("""COMPUTED_VALUE"""),52100.0)</f>
        <v>52100</v>
      </c>
      <c r="F1118" s="1">
        <f>IFERROR(__xludf.DUMMYFUNCTION("""COMPUTED_VALUE"""),4094.0)</f>
        <v>4094</v>
      </c>
    </row>
    <row r="1119">
      <c r="A1119" s="2">
        <f>IFERROR(__xludf.DUMMYFUNCTION("""COMPUTED_VALUE"""),42566.64583333333)</f>
        <v>42566.64583</v>
      </c>
      <c r="B1119" s="1">
        <f>IFERROR(__xludf.DUMMYFUNCTION("""COMPUTED_VALUE"""),52700.0)</f>
        <v>52700</v>
      </c>
      <c r="C1119" s="1">
        <f>IFERROR(__xludf.DUMMYFUNCTION("""COMPUTED_VALUE"""),52700.0)</f>
        <v>52700</v>
      </c>
      <c r="D1119" s="1">
        <f>IFERROR(__xludf.DUMMYFUNCTION("""COMPUTED_VALUE"""),51900.0)</f>
        <v>51900</v>
      </c>
      <c r="E1119" s="1">
        <f>IFERROR(__xludf.DUMMYFUNCTION("""COMPUTED_VALUE"""),52400.0)</f>
        <v>52400</v>
      </c>
      <c r="F1119" s="1">
        <f>IFERROR(__xludf.DUMMYFUNCTION("""COMPUTED_VALUE"""),5726.0)</f>
        <v>5726</v>
      </c>
    </row>
    <row r="1120">
      <c r="A1120" s="2">
        <f>IFERROR(__xludf.DUMMYFUNCTION("""COMPUTED_VALUE"""),42569.64583333333)</f>
        <v>42569.64583</v>
      </c>
      <c r="B1120" s="1">
        <f>IFERROR(__xludf.DUMMYFUNCTION("""COMPUTED_VALUE"""),52500.0)</f>
        <v>52500</v>
      </c>
      <c r="C1120" s="1">
        <f>IFERROR(__xludf.DUMMYFUNCTION("""COMPUTED_VALUE"""),52500.0)</f>
        <v>52500</v>
      </c>
      <c r="D1120" s="1">
        <f>IFERROR(__xludf.DUMMYFUNCTION("""COMPUTED_VALUE"""),52200.0)</f>
        <v>52200</v>
      </c>
      <c r="E1120" s="1">
        <f>IFERROR(__xludf.DUMMYFUNCTION("""COMPUTED_VALUE"""),52200.0)</f>
        <v>52200</v>
      </c>
      <c r="F1120" s="1">
        <f>IFERROR(__xludf.DUMMYFUNCTION("""COMPUTED_VALUE"""),1456.0)</f>
        <v>1456</v>
      </c>
    </row>
    <row r="1121">
      <c r="A1121" s="2">
        <f>IFERROR(__xludf.DUMMYFUNCTION("""COMPUTED_VALUE"""),42570.64583333333)</f>
        <v>42570.64583</v>
      </c>
      <c r="B1121" s="1">
        <f>IFERROR(__xludf.DUMMYFUNCTION("""COMPUTED_VALUE"""),52600.0)</f>
        <v>52600</v>
      </c>
      <c r="C1121" s="1">
        <f>IFERROR(__xludf.DUMMYFUNCTION("""COMPUTED_VALUE"""),52600.0)</f>
        <v>52600</v>
      </c>
      <c r="D1121" s="1">
        <f>IFERROR(__xludf.DUMMYFUNCTION("""COMPUTED_VALUE"""),50800.0)</f>
        <v>50800</v>
      </c>
      <c r="E1121" s="1">
        <f>IFERROR(__xludf.DUMMYFUNCTION("""COMPUTED_VALUE"""),51900.0)</f>
        <v>51900</v>
      </c>
      <c r="F1121" s="1">
        <f>IFERROR(__xludf.DUMMYFUNCTION("""COMPUTED_VALUE"""),10733.0)</f>
        <v>10733</v>
      </c>
    </row>
    <row r="1122">
      <c r="A1122" s="2">
        <f>IFERROR(__xludf.DUMMYFUNCTION("""COMPUTED_VALUE"""),42571.64583333333)</f>
        <v>42571.64583</v>
      </c>
      <c r="B1122" s="1">
        <f>IFERROR(__xludf.DUMMYFUNCTION("""COMPUTED_VALUE"""),51900.0)</f>
        <v>51900</v>
      </c>
      <c r="C1122" s="1">
        <f>IFERROR(__xludf.DUMMYFUNCTION("""COMPUTED_VALUE"""),52600.0)</f>
        <v>52600</v>
      </c>
      <c r="D1122" s="1">
        <f>IFERROR(__xludf.DUMMYFUNCTION("""COMPUTED_VALUE"""),51500.0)</f>
        <v>51500</v>
      </c>
      <c r="E1122" s="1">
        <f>IFERROR(__xludf.DUMMYFUNCTION("""COMPUTED_VALUE"""),52300.0)</f>
        <v>52300</v>
      </c>
      <c r="F1122" s="1">
        <f>IFERROR(__xludf.DUMMYFUNCTION("""COMPUTED_VALUE"""),4504.0)</f>
        <v>4504</v>
      </c>
    </row>
    <row r="1123">
      <c r="A1123" s="2">
        <f>IFERROR(__xludf.DUMMYFUNCTION("""COMPUTED_VALUE"""),42572.64583333333)</f>
        <v>42572.64583</v>
      </c>
      <c r="B1123" s="1">
        <f>IFERROR(__xludf.DUMMYFUNCTION("""COMPUTED_VALUE"""),52400.0)</f>
        <v>52400</v>
      </c>
      <c r="C1123" s="1">
        <f>IFERROR(__xludf.DUMMYFUNCTION("""COMPUTED_VALUE"""),52500.0)</f>
        <v>52500</v>
      </c>
      <c r="D1123" s="1">
        <f>IFERROR(__xludf.DUMMYFUNCTION("""COMPUTED_VALUE"""),51600.0)</f>
        <v>51600</v>
      </c>
      <c r="E1123" s="1">
        <f>IFERROR(__xludf.DUMMYFUNCTION("""COMPUTED_VALUE"""),52300.0)</f>
        <v>52300</v>
      </c>
      <c r="F1123" s="1">
        <f>IFERROR(__xludf.DUMMYFUNCTION("""COMPUTED_VALUE"""),6832.0)</f>
        <v>6832</v>
      </c>
    </row>
    <row r="1124">
      <c r="A1124" s="2">
        <f>IFERROR(__xludf.DUMMYFUNCTION("""COMPUTED_VALUE"""),42573.64583333333)</f>
        <v>42573.64583</v>
      </c>
      <c r="B1124" s="1">
        <f>IFERROR(__xludf.DUMMYFUNCTION("""COMPUTED_VALUE"""),52000.0)</f>
        <v>52000</v>
      </c>
      <c r="C1124" s="1">
        <f>IFERROR(__xludf.DUMMYFUNCTION("""COMPUTED_VALUE"""),52300.0)</f>
        <v>52300</v>
      </c>
      <c r="D1124" s="1">
        <f>IFERROR(__xludf.DUMMYFUNCTION("""COMPUTED_VALUE"""),50900.0)</f>
        <v>50900</v>
      </c>
      <c r="E1124" s="1">
        <f>IFERROR(__xludf.DUMMYFUNCTION("""COMPUTED_VALUE"""),51700.0)</f>
        <v>51700</v>
      </c>
      <c r="F1124" s="1">
        <f>IFERROR(__xludf.DUMMYFUNCTION("""COMPUTED_VALUE"""),10213.0)</f>
        <v>10213</v>
      </c>
    </row>
    <row r="1125">
      <c r="A1125" s="2">
        <f>IFERROR(__xludf.DUMMYFUNCTION("""COMPUTED_VALUE"""),42576.64583333333)</f>
        <v>42576.64583</v>
      </c>
      <c r="B1125" s="1">
        <f>IFERROR(__xludf.DUMMYFUNCTION("""COMPUTED_VALUE"""),51700.0)</f>
        <v>51700</v>
      </c>
      <c r="C1125" s="1">
        <f>IFERROR(__xludf.DUMMYFUNCTION("""COMPUTED_VALUE"""),51700.0)</f>
        <v>51700</v>
      </c>
      <c r="D1125" s="1">
        <f>IFERROR(__xludf.DUMMYFUNCTION("""COMPUTED_VALUE"""),51100.0)</f>
        <v>51100</v>
      </c>
      <c r="E1125" s="1">
        <f>IFERROR(__xludf.DUMMYFUNCTION("""COMPUTED_VALUE"""),51400.0)</f>
        <v>51400</v>
      </c>
      <c r="F1125" s="1">
        <f>IFERROR(__xludf.DUMMYFUNCTION("""COMPUTED_VALUE"""),9325.0)</f>
        <v>9325</v>
      </c>
    </row>
    <row r="1126">
      <c r="A1126" s="2">
        <f>IFERROR(__xludf.DUMMYFUNCTION("""COMPUTED_VALUE"""),42577.64583333333)</f>
        <v>42577.64583</v>
      </c>
      <c r="B1126" s="1">
        <f>IFERROR(__xludf.DUMMYFUNCTION("""COMPUTED_VALUE"""),51900.0)</f>
        <v>51900</v>
      </c>
      <c r="C1126" s="1">
        <f>IFERROR(__xludf.DUMMYFUNCTION("""COMPUTED_VALUE"""),51900.0)</f>
        <v>51900</v>
      </c>
      <c r="D1126" s="1">
        <f>IFERROR(__xludf.DUMMYFUNCTION("""COMPUTED_VALUE"""),50700.0)</f>
        <v>50700</v>
      </c>
      <c r="E1126" s="1">
        <f>IFERROR(__xludf.DUMMYFUNCTION("""COMPUTED_VALUE"""),51100.0)</f>
        <v>51100</v>
      </c>
      <c r="F1126" s="1">
        <f>IFERROR(__xludf.DUMMYFUNCTION("""COMPUTED_VALUE"""),9614.0)</f>
        <v>9614</v>
      </c>
    </row>
    <row r="1127">
      <c r="A1127" s="2">
        <f>IFERROR(__xludf.DUMMYFUNCTION("""COMPUTED_VALUE"""),42578.64583333333)</f>
        <v>42578.64583</v>
      </c>
      <c r="B1127" s="1">
        <f>IFERROR(__xludf.DUMMYFUNCTION("""COMPUTED_VALUE"""),51300.0)</f>
        <v>51300</v>
      </c>
      <c r="C1127" s="1">
        <f>IFERROR(__xludf.DUMMYFUNCTION("""COMPUTED_VALUE"""),51300.0)</f>
        <v>51300</v>
      </c>
      <c r="D1127" s="1">
        <f>IFERROR(__xludf.DUMMYFUNCTION("""COMPUTED_VALUE"""),50300.0)</f>
        <v>50300</v>
      </c>
      <c r="E1127" s="1">
        <f>IFERROR(__xludf.DUMMYFUNCTION("""COMPUTED_VALUE"""),50900.0)</f>
        <v>50900</v>
      </c>
      <c r="F1127" s="1">
        <f>IFERROR(__xludf.DUMMYFUNCTION("""COMPUTED_VALUE"""),15866.0)</f>
        <v>15866</v>
      </c>
    </row>
    <row r="1128">
      <c r="A1128" s="2">
        <f>IFERROR(__xludf.DUMMYFUNCTION("""COMPUTED_VALUE"""),42579.64583333333)</f>
        <v>42579.64583</v>
      </c>
      <c r="B1128" s="1">
        <f>IFERROR(__xludf.DUMMYFUNCTION("""COMPUTED_VALUE"""),50900.0)</f>
        <v>50900</v>
      </c>
      <c r="C1128" s="1">
        <f>IFERROR(__xludf.DUMMYFUNCTION("""COMPUTED_VALUE"""),50900.0)</f>
        <v>50900</v>
      </c>
      <c r="D1128" s="1">
        <f>IFERROR(__xludf.DUMMYFUNCTION("""COMPUTED_VALUE"""),49800.0)</f>
        <v>49800</v>
      </c>
      <c r="E1128" s="1">
        <f>IFERROR(__xludf.DUMMYFUNCTION("""COMPUTED_VALUE"""),50300.0)</f>
        <v>50300</v>
      </c>
      <c r="F1128" s="1">
        <f>IFERROR(__xludf.DUMMYFUNCTION("""COMPUTED_VALUE"""),10091.0)</f>
        <v>10091</v>
      </c>
    </row>
    <row r="1129">
      <c r="A1129" s="2">
        <f>IFERROR(__xludf.DUMMYFUNCTION("""COMPUTED_VALUE"""),42580.64583333333)</f>
        <v>42580.64583</v>
      </c>
      <c r="B1129" s="1">
        <f>IFERROR(__xludf.DUMMYFUNCTION("""COMPUTED_VALUE"""),50300.0)</f>
        <v>50300</v>
      </c>
      <c r="C1129" s="1">
        <f>IFERROR(__xludf.DUMMYFUNCTION("""COMPUTED_VALUE"""),50300.0)</f>
        <v>50300</v>
      </c>
      <c r="D1129" s="1">
        <f>IFERROR(__xludf.DUMMYFUNCTION("""COMPUTED_VALUE"""),49850.0)</f>
        <v>49850</v>
      </c>
      <c r="E1129" s="1">
        <f>IFERROR(__xludf.DUMMYFUNCTION("""COMPUTED_VALUE"""),50100.0)</f>
        <v>50100</v>
      </c>
      <c r="F1129" s="1">
        <f>IFERROR(__xludf.DUMMYFUNCTION("""COMPUTED_VALUE"""),10166.0)</f>
        <v>10166</v>
      </c>
    </row>
    <row r="1130">
      <c r="A1130" s="2">
        <f>IFERROR(__xludf.DUMMYFUNCTION("""COMPUTED_VALUE"""),42583.64583333333)</f>
        <v>42583.64583</v>
      </c>
      <c r="B1130" s="1">
        <f>IFERROR(__xludf.DUMMYFUNCTION("""COMPUTED_VALUE"""),50300.0)</f>
        <v>50300</v>
      </c>
      <c r="C1130" s="1">
        <f>IFERROR(__xludf.DUMMYFUNCTION("""COMPUTED_VALUE"""),50800.0)</f>
        <v>50800</v>
      </c>
      <c r="D1130" s="1">
        <f>IFERROR(__xludf.DUMMYFUNCTION("""COMPUTED_VALUE"""),49850.0)</f>
        <v>49850</v>
      </c>
      <c r="E1130" s="1">
        <f>IFERROR(__xludf.DUMMYFUNCTION("""COMPUTED_VALUE"""),50200.0)</f>
        <v>50200</v>
      </c>
      <c r="F1130" s="1">
        <f>IFERROR(__xludf.DUMMYFUNCTION("""COMPUTED_VALUE"""),5124.0)</f>
        <v>5124</v>
      </c>
    </row>
    <row r="1131">
      <c r="A1131" s="2">
        <f>IFERROR(__xludf.DUMMYFUNCTION("""COMPUTED_VALUE"""),42584.64583333333)</f>
        <v>42584.64583</v>
      </c>
      <c r="B1131" s="1">
        <f>IFERROR(__xludf.DUMMYFUNCTION("""COMPUTED_VALUE"""),50300.0)</f>
        <v>50300</v>
      </c>
      <c r="C1131" s="1">
        <f>IFERROR(__xludf.DUMMYFUNCTION("""COMPUTED_VALUE"""),50300.0)</f>
        <v>50300</v>
      </c>
      <c r="D1131" s="1">
        <f>IFERROR(__xludf.DUMMYFUNCTION("""COMPUTED_VALUE"""),49800.0)</f>
        <v>49800</v>
      </c>
      <c r="E1131" s="1">
        <f>IFERROR(__xludf.DUMMYFUNCTION("""COMPUTED_VALUE"""),50000.0)</f>
        <v>50000</v>
      </c>
      <c r="F1131" s="1">
        <f>IFERROR(__xludf.DUMMYFUNCTION("""COMPUTED_VALUE"""),4399.0)</f>
        <v>4399</v>
      </c>
    </row>
    <row r="1132">
      <c r="A1132" s="2">
        <f>IFERROR(__xludf.DUMMYFUNCTION("""COMPUTED_VALUE"""),42585.64583333333)</f>
        <v>42585.64583</v>
      </c>
      <c r="B1132" s="1">
        <f>IFERROR(__xludf.DUMMYFUNCTION("""COMPUTED_VALUE"""),49800.0)</f>
        <v>49800</v>
      </c>
      <c r="C1132" s="1">
        <f>IFERROR(__xludf.DUMMYFUNCTION("""COMPUTED_VALUE"""),49850.0)</f>
        <v>49850</v>
      </c>
      <c r="D1132" s="1">
        <f>IFERROR(__xludf.DUMMYFUNCTION("""COMPUTED_VALUE"""),49500.0)</f>
        <v>49500</v>
      </c>
      <c r="E1132" s="1">
        <f>IFERROR(__xludf.DUMMYFUNCTION("""COMPUTED_VALUE"""),49700.0)</f>
        <v>49700</v>
      </c>
      <c r="F1132" s="1">
        <f>IFERROR(__xludf.DUMMYFUNCTION("""COMPUTED_VALUE"""),5908.0)</f>
        <v>5908</v>
      </c>
    </row>
    <row r="1133">
      <c r="A1133" s="2">
        <f>IFERROR(__xludf.DUMMYFUNCTION("""COMPUTED_VALUE"""),42586.64583333333)</f>
        <v>42586.64583</v>
      </c>
      <c r="B1133" s="1">
        <f>IFERROR(__xludf.DUMMYFUNCTION("""COMPUTED_VALUE"""),50000.0)</f>
        <v>50000</v>
      </c>
      <c r="C1133" s="1">
        <f>IFERROR(__xludf.DUMMYFUNCTION("""COMPUTED_VALUE"""),50400.0)</f>
        <v>50400</v>
      </c>
      <c r="D1133" s="1">
        <f>IFERROR(__xludf.DUMMYFUNCTION("""COMPUTED_VALUE"""),49600.0)</f>
        <v>49600</v>
      </c>
      <c r="E1133" s="1">
        <f>IFERROR(__xludf.DUMMYFUNCTION("""COMPUTED_VALUE"""),50000.0)</f>
        <v>50000</v>
      </c>
      <c r="F1133" s="1">
        <f>IFERROR(__xludf.DUMMYFUNCTION("""COMPUTED_VALUE"""),19007.0)</f>
        <v>19007</v>
      </c>
    </row>
    <row r="1134">
      <c r="A1134" s="2">
        <f>IFERROR(__xludf.DUMMYFUNCTION("""COMPUTED_VALUE"""),42587.64583333333)</f>
        <v>42587.64583</v>
      </c>
      <c r="B1134" s="1">
        <f>IFERROR(__xludf.DUMMYFUNCTION("""COMPUTED_VALUE"""),50100.0)</f>
        <v>50100</v>
      </c>
      <c r="C1134" s="1">
        <f>IFERROR(__xludf.DUMMYFUNCTION("""COMPUTED_VALUE"""),50200.0)</f>
        <v>50200</v>
      </c>
      <c r="D1134" s="1">
        <f>IFERROR(__xludf.DUMMYFUNCTION("""COMPUTED_VALUE"""),49700.0)</f>
        <v>49700</v>
      </c>
      <c r="E1134" s="1">
        <f>IFERROR(__xludf.DUMMYFUNCTION("""COMPUTED_VALUE"""),50000.0)</f>
        <v>50000</v>
      </c>
      <c r="F1134" s="1">
        <f>IFERROR(__xludf.DUMMYFUNCTION("""COMPUTED_VALUE"""),10087.0)</f>
        <v>10087</v>
      </c>
    </row>
    <row r="1135">
      <c r="A1135" s="2">
        <f>IFERROR(__xludf.DUMMYFUNCTION("""COMPUTED_VALUE"""),42590.64583333333)</f>
        <v>42590.64583</v>
      </c>
      <c r="B1135" s="1">
        <f>IFERROR(__xludf.DUMMYFUNCTION("""COMPUTED_VALUE"""),50100.0)</f>
        <v>50100</v>
      </c>
      <c r="C1135" s="1">
        <f>IFERROR(__xludf.DUMMYFUNCTION("""COMPUTED_VALUE"""),50200.0)</f>
        <v>50200</v>
      </c>
      <c r="D1135" s="1">
        <f>IFERROR(__xludf.DUMMYFUNCTION("""COMPUTED_VALUE"""),49050.0)</f>
        <v>49050</v>
      </c>
      <c r="E1135" s="1">
        <f>IFERROR(__xludf.DUMMYFUNCTION("""COMPUTED_VALUE"""),49850.0)</f>
        <v>49850</v>
      </c>
      <c r="F1135" s="1">
        <f>IFERROR(__xludf.DUMMYFUNCTION("""COMPUTED_VALUE"""),6780.0)</f>
        <v>6780</v>
      </c>
    </row>
    <row r="1136">
      <c r="A1136" s="2">
        <f>IFERROR(__xludf.DUMMYFUNCTION("""COMPUTED_VALUE"""),42591.64583333333)</f>
        <v>42591.64583</v>
      </c>
      <c r="B1136" s="1">
        <f>IFERROR(__xludf.DUMMYFUNCTION("""COMPUTED_VALUE"""),49850.0)</f>
        <v>49850</v>
      </c>
      <c r="C1136" s="1">
        <f>IFERROR(__xludf.DUMMYFUNCTION("""COMPUTED_VALUE"""),49950.0)</f>
        <v>49950</v>
      </c>
      <c r="D1136" s="1">
        <f>IFERROR(__xludf.DUMMYFUNCTION("""COMPUTED_VALUE"""),49350.0)</f>
        <v>49350</v>
      </c>
      <c r="E1136" s="1">
        <f>IFERROR(__xludf.DUMMYFUNCTION("""COMPUTED_VALUE"""),49550.0)</f>
        <v>49550</v>
      </c>
      <c r="F1136" s="1">
        <f>IFERROR(__xludf.DUMMYFUNCTION("""COMPUTED_VALUE"""),9238.0)</f>
        <v>9238</v>
      </c>
    </row>
    <row r="1137">
      <c r="A1137" s="2">
        <f>IFERROR(__xludf.DUMMYFUNCTION("""COMPUTED_VALUE"""),42592.64583333333)</f>
        <v>42592.64583</v>
      </c>
      <c r="B1137" s="1">
        <f>IFERROR(__xludf.DUMMYFUNCTION("""COMPUTED_VALUE"""),49800.0)</f>
        <v>49800</v>
      </c>
      <c r="C1137" s="1">
        <f>IFERROR(__xludf.DUMMYFUNCTION("""COMPUTED_VALUE"""),49800.0)</f>
        <v>49800</v>
      </c>
      <c r="D1137" s="1">
        <f>IFERROR(__xludf.DUMMYFUNCTION("""COMPUTED_VALUE"""),49450.0)</f>
        <v>49450</v>
      </c>
      <c r="E1137" s="1">
        <f>IFERROR(__xludf.DUMMYFUNCTION("""COMPUTED_VALUE"""),49750.0)</f>
        <v>49750</v>
      </c>
      <c r="F1137" s="1">
        <f>IFERROR(__xludf.DUMMYFUNCTION("""COMPUTED_VALUE"""),3504.0)</f>
        <v>3504</v>
      </c>
    </row>
    <row r="1138">
      <c r="A1138" s="2">
        <f>IFERROR(__xludf.DUMMYFUNCTION("""COMPUTED_VALUE"""),42593.64583333333)</f>
        <v>42593.64583</v>
      </c>
      <c r="B1138" s="1">
        <f>IFERROR(__xludf.DUMMYFUNCTION("""COMPUTED_VALUE"""),49750.0)</f>
        <v>49750</v>
      </c>
      <c r="C1138" s="1">
        <f>IFERROR(__xludf.DUMMYFUNCTION("""COMPUTED_VALUE"""),49750.0)</f>
        <v>49750</v>
      </c>
      <c r="D1138" s="1">
        <f>IFERROR(__xludf.DUMMYFUNCTION("""COMPUTED_VALUE"""),49250.0)</f>
        <v>49250</v>
      </c>
      <c r="E1138" s="1">
        <f>IFERROR(__xludf.DUMMYFUNCTION("""COMPUTED_VALUE"""),49350.0)</f>
        <v>49350</v>
      </c>
      <c r="F1138" s="1">
        <f>IFERROR(__xludf.DUMMYFUNCTION("""COMPUTED_VALUE"""),8932.0)</f>
        <v>8932</v>
      </c>
    </row>
    <row r="1139">
      <c r="A1139" s="2">
        <f>IFERROR(__xludf.DUMMYFUNCTION("""COMPUTED_VALUE"""),42594.64583333333)</f>
        <v>42594.64583</v>
      </c>
      <c r="B1139" s="1">
        <f>IFERROR(__xludf.DUMMYFUNCTION("""COMPUTED_VALUE"""),49500.0)</f>
        <v>49500</v>
      </c>
      <c r="C1139" s="1">
        <f>IFERROR(__xludf.DUMMYFUNCTION("""COMPUTED_VALUE"""),50100.0)</f>
        <v>50100</v>
      </c>
      <c r="D1139" s="1">
        <f>IFERROR(__xludf.DUMMYFUNCTION("""COMPUTED_VALUE"""),49500.0)</f>
        <v>49500</v>
      </c>
      <c r="E1139" s="1">
        <f>IFERROR(__xludf.DUMMYFUNCTION("""COMPUTED_VALUE"""),49800.0)</f>
        <v>49800</v>
      </c>
      <c r="F1139" s="1">
        <f>IFERROR(__xludf.DUMMYFUNCTION("""COMPUTED_VALUE"""),4370.0)</f>
        <v>4370</v>
      </c>
    </row>
    <row r="1140">
      <c r="A1140" s="2">
        <f>IFERROR(__xludf.DUMMYFUNCTION("""COMPUTED_VALUE"""),42598.64583333333)</f>
        <v>42598.64583</v>
      </c>
      <c r="B1140" s="1">
        <f>IFERROR(__xludf.DUMMYFUNCTION("""COMPUTED_VALUE"""),49800.0)</f>
        <v>49800</v>
      </c>
      <c r="C1140" s="1">
        <f>IFERROR(__xludf.DUMMYFUNCTION("""COMPUTED_VALUE"""),50300.0)</f>
        <v>50300</v>
      </c>
      <c r="D1140" s="1">
        <f>IFERROR(__xludf.DUMMYFUNCTION("""COMPUTED_VALUE"""),49750.0)</f>
        <v>49750</v>
      </c>
      <c r="E1140" s="1">
        <f>IFERROR(__xludf.DUMMYFUNCTION("""COMPUTED_VALUE"""),50000.0)</f>
        <v>50000</v>
      </c>
      <c r="F1140" s="1">
        <f>IFERROR(__xludf.DUMMYFUNCTION("""COMPUTED_VALUE"""),2276.0)</f>
        <v>2276</v>
      </c>
    </row>
    <row r="1141">
      <c r="A1141" s="2">
        <f>IFERROR(__xludf.DUMMYFUNCTION("""COMPUTED_VALUE"""),42599.64583333333)</f>
        <v>42599.64583</v>
      </c>
      <c r="B1141" s="1">
        <f>IFERROR(__xludf.DUMMYFUNCTION("""COMPUTED_VALUE"""),50100.0)</f>
        <v>50100</v>
      </c>
      <c r="C1141" s="1">
        <f>IFERROR(__xludf.DUMMYFUNCTION("""COMPUTED_VALUE"""),50200.0)</f>
        <v>50200</v>
      </c>
      <c r="D1141" s="1">
        <f>IFERROR(__xludf.DUMMYFUNCTION("""COMPUTED_VALUE"""),49800.0)</f>
        <v>49800</v>
      </c>
      <c r="E1141" s="1">
        <f>IFERROR(__xludf.DUMMYFUNCTION("""COMPUTED_VALUE"""),50000.0)</f>
        <v>50000</v>
      </c>
      <c r="F1141" s="1">
        <f>IFERROR(__xludf.DUMMYFUNCTION("""COMPUTED_VALUE"""),4286.0)</f>
        <v>4286</v>
      </c>
    </row>
    <row r="1142">
      <c r="A1142" s="2">
        <f>IFERROR(__xludf.DUMMYFUNCTION("""COMPUTED_VALUE"""),42600.64583333333)</f>
        <v>42600.64583</v>
      </c>
      <c r="B1142" s="1">
        <f>IFERROR(__xludf.DUMMYFUNCTION("""COMPUTED_VALUE"""),50200.0)</f>
        <v>50200</v>
      </c>
      <c r="C1142" s="1">
        <f>IFERROR(__xludf.DUMMYFUNCTION("""COMPUTED_VALUE"""),50300.0)</f>
        <v>50300</v>
      </c>
      <c r="D1142" s="1">
        <f>IFERROR(__xludf.DUMMYFUNCTION("""COMPUTED_VALUE"""),49550.0)</f>
        <v>49550</v>
      </c>
      <c r="E1142" s="1">
        <f>IFERROR(__xludf.DUMMYFUNCTION("""COMPUTED_VALUE"""),50100.0)</f>
        <v>50100</v>
      </c>
      <c r="F1142" s="1">
        <f>IFERROR(__xludf.DUMMYFUNCTION("""COMPUTED_VALUE"""),3193.0)</f>
        <v>3193</v>
      </c>
    </row>
    <row r="1143">
      <c r="A1143" s="2">
        <f>IFERROR(__xludf.DUMMYFUNCTION("""COMPUTED_VALUE"""),42601.64583333333)</f>
        <v>42601.64583</v>
      </c>
      <c r="B1143" s="1">
        <f>IFERROR(__xludf.DUMMYFUNCTION("""COMPUTED_VALUE"""),50300.0)</f>
        <v>50300</v>
      </c>
      <c r="C1143" s="1">
        <f>IFERROR(__xludf.DUMMYFUNCTION("""COMPUTED_VALUE"""),50300.0)</f>
        <v>50300</v>
      </c>
      <c r="D1143" s="1">
        <f>IFERROR(__xludf.DUMMYFUNCTION("""COMPUTED_VALUE"""),49250.0)</f>
        <v>49250</v>
      </c>
      <c r="E1143" s="1">
        <f>IFERROR(__xludf.DUMMYFUNCTION("""COMPUTED_VALUE"""),49600.0)</f>
        <v>49600</v>
      </c>
      <c r="F1143" s="1">
        <f>IFERROR(__xludf.DUMMYFUNCTION("""COMPUTED_VALUE"""),5444.0)</f>
        <v>5444</v>
      </c>
    </row>
    <row r="1144">
      <c r="A1144" s="2">
        <f>IFERROR(__xludf.DUMMYFUNCTION("""COMPUTED_VALUE"""),42604.64583333333)</f>
        <v>42604.64583</v>
      </c>
      <c r="B1144" s="1">
        <f>IFERROR(__xludf.DUMMYFUNCTION("""COMPUTED_VALUE"""),49900.0)</f>
        <v>49900</v>
      </c>
      <c r="C1144" s="1">
        <f>IFERROR(__xludf.DUMMYFUNCTION("""COMPUTED_VALUE"""),49950.0)</f>
        <v>49950</v>
      </c>
      <c r="D1144" s="1">
        <f>IFERROR(__xludf.DUMMYFUNCTION("""COMPUTED_VALUE"""),49300.0)</f>
        <v>49300</v>
      </c>
      <c r="E1144" s="1">
        <f>IFERROR(__xludf.DUMMYFUNCTION("""COMPUTED_VALUE"""),49800.0)</f>
        <v>49800</v>
      </c>
      <c r="F1144" s="1">
        <f>IFERROR(__xludf.DUMMYFUNCTION("""COMPUTED_VALUE"""),2568.0)</f>
        <v>2568</v>
      </c>
    </row>
    <row r="1145">
      <c r="A1145" s="2">
        <f>IFERROR(__xludf.DUMMYFUNCTION("""COMPUTED_VALUE"""),42605.64583333333)</f>
        <v>42605.64583</v>
      </c>
      <c r="B1145" s="1">
        <f>IFERROR(__xludf.DUMMYFUNCTION("""COMPUTED_VALUE"""),49800.0)</f>
        <v>49800</v>
      </c>
      <c r="C1145" s="1">
        <f>IFERROR(__xludf.DUMMYFUNCTION("""COMPUTED_VALUE"""),49800.0)</f>
        <v>49800</v>
      </c>
      <c r="D1145" s="1">
        <f>IFERROR(__xludf.DUMMYFUNCTION("""COMPUTED_VALUE"""),48500.0)</f>
        <v>48500</v>
      </c>
      <c r="E1145" s="1">
        <f>IFERROR(__xludf.DUMMYFUNCTION("""COMPUTED_VALUE"""),48750.0)</f>
        <v>48750</v>
      </c>
      <c r="F1145" s="1">
        <f>IFERROR(__xludf.DUMMYFUNCTION("""COMPUTED_VALUE"""),10386.0)</f>
        <v>10386</v>
      </c>
    </row>
    <row r="1146">
      <c r="A1146" s="2">
        <f>IFERROR(__xludf.DUMMYFUNCTION("""COMPUTED_VALUE"""),42606.64583333333)</f>
        <v>42606.64583</v>
      </c>
      <c r="B1146" s="1">
        <f>IFERROR(__xludf.DUMMYFUNCTION("""COMPUTED_VALUE"""),49550.0)</f>
        <v>49550</v>
      </c>
      <c r="C1146" s="1">
        <f>IFERROR(__xludf.DUMMYFUNCTION("""COMPUTED_VALUE"""),49550.0)</f>
        <v>49550</v>
      </c>
      <c r="D1146" s="1">
        <f>IFERROR(__xludf.DUMMYFUNCTION("""COMPUTED_VALUE"""),47850.0)</f>
        <v>47850</v>
      </c>
      <c r="E1146" s="1">
        <f>IFERROR(__xludf.DUMMYFUNCTION("""COMPUTED_VALUE"""),48450.0)</f>
        <v>48450</v>
      </c>
      <c r="F1146" s="1">
        <f>IFERROR(__xludf.DUMMYFUNCTION("""COMPUTED_VALUE"""),17447.0)</f>
        <v>17447</v>
      </c>
    </row>
    <row r="1147">
      <c r="A1147" s="2">
        <f>IFERROR(__xludf.DUMMYFUNCTION("""COMPUTED_VALUE"""),42607.64583333333)</f>
        <v>42607.64583</v>
      </c>
      <c r="B1147" s="1">
        <f>IFERROR(__xludf.DUMMYFUNCTION("""COMPUTED_VALUE"""),48550.0)</f>
        <v>48550</v>
      </c>
      <c r="C1147" s="1">
        <f>IFERROR(__xludf.DUMMYFUNCTION("""COMPUTED_VALUE"""),48550.0)</f>
        <v>48550</v>
      </c>
      <c r="D1147" s="1">
        <f>IFERROR(__xludf.DUMMYFUNCTION("""COMPUTED_VALUE"""),47450.0)</f>
        <v>47450</v>
      </c>
      <c r="E1147" s="1">
        <f>IFERROR(__xludf.DUMMYFUNCTION("""COMPUTED_VALUE"""),47800.0)</f>
        <v>47800</v>
      </c>
      <c r="F1147" s="1">
        <f>IFERROR(__xludf.DUMMYFUNCTION("""COMPUTED_VALUE"""),6260.0)</f>
        <v>6260</v>
      </c>
    </row>
    <row r="1148">
      <c r="A1148" s="2">
        <f>IFERROR(__xludf.DUMMYFUNCTION("""COMPUTED_VALUE"""),42608.64583333333)</f>
        <v>42608.64583</v>
      </c>
      <c r="B1148" s="1">
        <f>IFERROR(__xludf.DUMMYFUNCTION("""COMPUTED_VALUE"""),47850.0)</f>
        <v>47850</v>
      </c>
      <c r="C1148" s="1">
        <f>IFERROR(__xludf.DUMMYFUNCTION("""COMPUTED_VALUE"""),47950.0)</f>
        <v>47950</v>
      </c>
      <c r="D1148" s="1">
        <f>IFERROR(__xludf.DUMMYFUNCTION("""COMPUTED_VALUE"""),47000.0)</f>
        <v>47000</v>
      </c>
      <c r="E1148" s="1">
        <f>IFERROR(__xludf.DUMMYFUNCTION("""COMPUTED_VALUE"""),47900.0)</f>
        <v>47900</v>
      </c>
      <c r="F1148" s="1">
        <f>IFERROR(__xludf.DUMMYFUNCTION("""COMPUTED_VALUE"""),8815.0)</f>
        <v>8815</v>
      </c>
    </row>
    <row r="1149">
      <c r="A1149" s="2">
        <f>IFERROR(__xludf.DUMMYFUNCTION("""COMPUTED_VALUE"""),42611.64583333333)</f>
        <v>42611.64583</v>
      </c>
      <c r="B1149" s="1">
        <f>IFERROR(__xludf.DUMMYFUNCTION("""COMPUTED_VALUE"""),47750.0)</f>
        <v>47750</v>
      </c>
      <c r="C1149" s="1">
        <f>IFERROR(__xludf.DUMMYFUNCTION("""COMPUTED_VALUE"""),47750.0)</f>
        <v>47750</v>
      </c>
      <c r="D1149" s="1">
        <f>IFERROR(__xludf.DUMMYFUNCTION("""COMPUTED_VALUE"""),46950.0)</f>
        <v>46950</v>
      </c>
      <c r="E1149" s="1">
        <f>IFERROR(__xludf.DUMMYFUNCTION("""COMPUTED_VALUE"""),47300.0)</f>
        <v>47300</v>
      </c>
      <c r="F1149" s="1">
        <f>IFERROR(__xludf.DUMMYFUNCTION("""COMPUTED_VALUE"""),4267.0)</f>
        <v>4267</v>
      </c>
    </row>
    <row r="1150">
      <c r="A1150" s="2">
        <f>IFERROR(__xludf.DUMMYFUNCTION("""COMPUTED_VALUE"""),42612.64583333333)</f>
        <v>42612.64583</v>
      </c>
      <c r="B1150" s="1">
        <f>IFERROR(__xludf.DUMMYFUNCTION("""COMPUTED_VALUE"""),46600.0)</f>
        <v>46600</v>
      </c>
      <c r="C1150" s="1">
        <f>IFERROR(__xludf.DUMMYFUNCTION("""COMPUTED_VALUE"""),47750.0)</f>
        <v>47750</v>
      </c>
      <c r="D1150" s="1">
        <f>IFERROR(__xludf.DUMMYFUNCTION("""COMPUTED_VALUE"""),46600.0)</f>
        <v>46600</v>
      </c>
      <c r="E1150" s="1">
        <f>IFERROR(__xludf.DUMMYFUNCTION("""COMPUTED_VALUE"""),47700.0)</f>
        <v>47700</v>
      </c>
      <c r="F1150" s="1">
        <f>IFERROR(__xludf.DUMMYFUNCTION("""COMPUTED_VALUE"""),3975.0)</f>
        <v>3975</v>
      </c>
    </row>
    <row r="1151">
      <c r="A1151" s="2">
        <f>IFERROR(__xludf.DUMMYFUNCTION("""COMPUTED_VALUE"""),42613.64583333333)</f>
        <v>42613.64583</v>
      </c>
      <c r="B1151" s="1">
        <f>IFERROR(__xludf.DUMMYFUNCTION("""COMPUTED_VALUE"""),47700.0)</f>
        <v>47700</v>
      </c>
      <c r="C1151" s="1">
        <f>IFERROR(__xludf.DUMMYFUNCTION("""COMPUTED_VALUE"""),47950.0)</f>
        <v>47950</v>
      </c>
      <c r="D1151" s="1">
        <f>IFERROR(__xludf.DUMMYFUNCTION("""COMPUTED_VALUE"""),47150.0)</f>
        <v>47150</v>
      </c>
      <c r="E1151" s="1">
        <f>IFERROR(__xludf.DUMMYFUNCTION("""COMPUTED_VALUE"""),47800.0)</f>
        <v>47800</v>
      </c>
      <c r="F1151" s="1">
        <f>IFERROR(__xludf.DUMMYFUNCTION("""COMPUTED_VALUE"""),2190.0)</f>
        <v>2190</v>
      </c>
    </row>
    <row r="1152">
      <c r="A1152" s="2">
        <f>IFERROR(__xludf.DUMMYFUNCTION("""COMPUTED_VALUE"""),42614.64583333333)</f>
        <v>42614.64583</v>
      </c>
      <c r="B1152" s="1">
        <f>IFERROR(__xludf.DUMMYFUNCTION("""COMPUTED_VALUE"""),47600.0)</f>
        <v>47600</v>
      </c>
      <c r="C1152" s="1">
        <f>IFERROR(__xludf.DUMMYFUNCTION("""COMPUTED_VALUE"""),48000.0)</f>
        <v>48000</v>
      </c>
      <c r="D1152" s="1">
        <f>IFERROR(__xludf.DUMMYFUNCTION("""COMPUTED_VALUE"""),47350.0)</f>
        <v>47350</v>
      </c>
      <c r="E1152" s="1">
        <f>IFERROR(__xludf.DUMMYFUNCTION("""COMPUTED_VALUE"""),47700.0)</f>
        <v>47700</v>
      </c>
      <c r="F1152" s="1">
        <f>IFERROR(__xludf.DUMMYFUNCTION("""COMPUTED_VALUE"""),9334.0)</f>
        <v>9334</v>
      </c>
    </row>
    <row r="1153">
      <c r="A1153" s="2">
        <f>IFERROR(__xludf.DUMMYFUNCTION("""COMPUTED_VALUE"""),42615.64583333333)</f>
        <v>42615.64583</v>
      </c>
      <c r="B1153" s="1">
        <f>IFERROR(__xludf.DUMMYFUNCTION("""COMPUTED_VALUE"""),47850.0)</f>
        <v>47850</v>
      </c>
      <c r="C1153" s="1">
        <f>IFERROR(__xludf.DUMMYFUNCTION("""COMPUTED_VALUE"""),47850.0)</f>
        <v>47850</v>
      </c>
      <c r="D1153" s="1">
        <f>IFERROR(__xludf.DUMMYFUNCTION("""COMPUTED_VALUE"""),47650.0)</f>
        <v>47650</v>
      </c>
      <c r="E1153" s="1">
        <f>IFERROR(__xludf.DUMMYFUNCTION("""COMPUTED_VALUE"""),47800.0)</f>
        <v>47800</v>
      </c>
      <c r="F1153" s="1">
        <f>IFERROR(__xludf.DUMMYFUNCTION("""COMPUTED_VALUE"""),2316.0)</f>
        <v>2316</v>
      </c>
    </row>
    <row r="1154">
      <c r="A1154" s="2">
        <f>IFERROR(__xludf.DUMMYFUNCTION("""COMPUTED_VALUE"""),42618.64583333333)</f>
        <v>42618.64583</v>
      </c>
      <c r="B1154" s="1">
        <f>IFERROR(__xludf.DUMMYFUNCTION("""COMPUTED_VALUE"""),47900.0)</f>
        <v>47900</v>
      </c>
      <c r="C1154" s="1">
        <f>IFERROR(__xludf.DUMMYFUNCTION("""COMPUTED_VALUE"""),49750.0)</f>
        <v>49750</v>
      </c>
      <c r="D1154" s="1">
        <f>IFERROR(__xludf.DUMMYFUNCTION("""COMPUTED_VALUE"""),47900.0)</f>
        <v>47900</v>
      </c>
      <c r="E1154" s="1">
        <f>IFERROR(__xludf.DUMMYFUNCTION("""COMPUTED_VALUE"""),49450.0)</f>
        <v>49450</v>
      </c>
      <c r="F1154" s="1">
        <f>IFERROR(__xludf.DUMMYFUNCTION("""COMPUTED_VALUE"""),6980.0)</f>
        <v>6980</v>
      </c>
    </row>
    <row r="1155">
      <c r="A1155" s="2">
        <f>IFERROR(__xludf.DUMMYFUNCTION("""COMPUTED_VALUE"""),42619.64583333333)</f>
        <v>42619.64583</v>
      </c>
      <c r="B1155" s="1">
        <f>IFERROR(__xludf.DUMMYFUNCTION("""COMPUTED_VALUE"""),49650.0)</f>
        <v>49650</v>
      </c>
      <c r="C1155" s="1">
        <f>IFERROR(__xludf.DUMMYFUNCTION("""COMPUTED_VALUE"""),49650.0)</f>
        <v>49650</v>
      </c>
      <c r="D1155" s="1">
        <f>IFERROR(__xludf.DUMMYFUNCTION("""COMPUTED_VALUE"""),48850.0)</f>
        <v>48850</v>
      </c>
      <c r="E1155" s="1">
        <f>IFERROR(__xludf.DUMMYFUNCTION("""COMPUTED_VALUE"""),49050.0)</f>
        <v>49050</v>
      </c>
      <c r="F1155" s="1">
        <f>IFERROR(__xludf.DUMMYFUNCTION("""COMPUTED_VALUE"""),2131.0)</f>
        <v>2131</v>
      </c>
    </row>
    <row r="1156">
      <c r="A1156" s="2">
        <f>IFERROR(__xludf.DUMMYFUNCTION("""COMPUTED_VALUE"""),42620.64583333333)</f>
        <v>42620.64583</v>
      </c>
      <c r="B1156" s="1">
        <f>IFERROR(__xludf.DUMMYFUNCTION("""COMPUTED_VALUE"""),49200.0)</f>
        <v>49200</v>
      </c>
      <c r="C1156" s="1">
        <f>IFERROR(__xludf.DUMMYFUNCTION("""COMPUTED_VALUE"""),49300.0)</f>
        <v>49300</v>
      </c>
      <c r="D1156" s="1">
        <f>IFERROR(__xludf.DUMMYFUNCTION("""COMPUTED_VALUE"""),48550.0)</f>
        <v>48550</v>
      </c>
      <c r="E1156" s="1">
        <f>IFERROR(__xludf.DUMMYFUNCTION("""COMPUTED_VALUE"""),49100.0)</f>
        <v>49100</v>
      </c>
      <c r="F1156" s="1">
        <f>IFERROR(__xludf.DUMMYFUNCTION("""COMPUTED_VALUE"""),5800.0)</f>
        <v>5800</v>
      </c>
    </row>
    <row r="1157">
      <c r="A1157" s="2">
        <f>IFERROR(__xludf.DUMMYFUNCTION("""COMPUTED_VALUE"""),42621.64583333333)</f>
        <v>42621.64583</v>
      </c>
      <c r="B1157" s="1">
        <f>IFERROR(__xludf.DUMMYFUNCTION("""COMPUTED_VALUE"""),49100.0)</f>
        <v>49100</v>
      </c>
      <c r="C1157" s="1">
        <f>IFERROR(__xludf.DUMMYFUNCTION("""COMPUTED_VALUE"""),49100.0)</f>
        <v>49100</v>
      </c>
      <c r="D1157" s="1">
        <f>IFERROR(__xludf.DUMMYFUNCTION("""COMPUTED_VALUE"""),48450.0)</f>
        <v>48450</v>
      </c>
      <c r="E1157" s="1">
        <f>IFERROR(__xludf.DUMMYFUNCTION("""COMPUTED_VALUE"""),48850.0)</f>
        <v>48850</v>
      </c>
      <c r="F1157" s="1">
        <f>IFERROR(__xludf.DUMMYFUNCTION("""COMPUTED_VALUE"""),4640.0)</f>
        <v>4640</v>
      </c>
    </row>
    <row r="1158">
      <c r="A1158" s="2">
        <f>IFERROR(__xludf.DUMMYFUNCTION("""COMPUTED_VALUE"""),42622.64583333333)</f>
        <v>42622.64583</v>
      </c>
      <c r="B1158" s="1">
        <f>IFERROR(__xludf.DUMMYFUNCTION("""COMPUTED_VALUE"""),49200.0)</f>
        <v>49200</v>
      </c>
      <c r="C1158" s="1">
        <f>IFERROR(__xludf.DUMMYFUNCTION("""COMPUTED_VALUE"""),49200.0)</f>
        <v>49200</v>
      </c>
      <c r="D1158" s="1">
        <f>IFERROR(__xludf.DUMMYFUNCTION("""COMPUTED_VALUE"""),48400.0)</f>
        <v>48400</v>
      </c>
      <c r="E1158" s="1">
        <f>IFERROR(__xludf.DUMMYFUNCTION("""COMPUTED_VALUE"""),49200.0)</f>
        <v>49200</v>
      </c>
      <c r="F1158" s="1">
        <f>IFERROR(__xludf.DUMMYFUNCTION("""COMPUTED_VALUE"""),5686.0)</f>
        <v>5686</v>
      </c>
    </row>
    <row r="1159">
      <c r="A1159" s="2">
        <f>IFERROR(__xludf.DUMMYFUNCTION("""COMPUTED_VALUE"""),42625.64583333333)</f>
        <v>42625.64583</v>
      </c>
      <c r="B1159" s="1">
        <f>IFERROR(__xludf.DUMMYFUNCTION("""COMPUTED_VALUE"""),48600.0)</f>
        <v>48600</v>
      </c>
      <c r="C1159" s="1">
        <f>IFERROR(__xludf.DUMMYFUNCTION("""COMPUTED_VALUE"""),48900.0)</f>
        <v>48900</v>
      </c>
      <c r="D1159" s="1">
        <f>IFERROR(__xludf.DUMMYFUNCTION("""COMPUTED_VALUE"""),48350.0)</f>
        <v>48350</v>
      </c>
      <c r="E1159" s="1">
        <f>IFERROR(__xludf.DUMMYFUNCTION("""COMPUTED_VALUE"""),48850.0)</f>
        <v>48850</v>
      </c>
      <c r="F1159" s="1">
        <f>IFERROR(__xludf.DUMMYFUNCTION("""COMPUTED_VALUE"""),4868.0)</f>
        <v>4868</v>
      </c>
    </row>
    <row r="1160">
      <c r="A1160" s="2">
        <f>IFERROR(__xludf.DUMMYFUNCTION("""COMPUTED_VALUE"""),42626.64583333333)</f>
        <v>42626.64583</v>
      </c>
      <c r="B1160" s="1">
        <f>IFERROR(__xludf.DUMMYFUNCTION("""COMPUTED_VALUE"""),49000.0)</f>
        <v>49000</v>
      </c>
      <c r="C1160" s="1">
        <f>IFERROR(__xludf.DUMMYFUNCTION("""COMPUTED_VALUE"""),49000.0)</f>
        <v>49000</v>
      </c>
      <c r="D1160" s="1">
        <f>IFERROR(__xludf.DUMMYFUNCTION("""COMPUTED_VALUE"""),48400.0)</f>
        <v>48400</v>
      </c>
      <c r="E1160" s="1">
        <f>IFERROR(__xludf.DUMMYFUNCTION("""COMPUTED_VALUE"""),48750.0)</f>
        <v>48750</v>
      </c>
      <c r="F1160" s="1">
        <f>IFERROR(__xludf.DUMMYFUNCTION("""COMPUTED_VALUE"""),2030.0)</f>
        <v>2030</v>
      </c>
    </row>
    <row r="1161">
      <c r="A1161" s="2">
        <f>IFERROR(__xludf.DUMMYFUNCTION("""COMPUTED_VALUE"""),42632.64583333333)</f>
        <v>42632.64583</v>
      </c>
      <c r="B1161" s="1">
        <f>IFERROR(__xludf.DUMMYFUNCTION("""COMPUTED_VALUE"""),48950.0)</f>
        <v>48950</v>
      </c>
      <c r="C1161" s="1">
        <f>IFERROR(__xludf.DUMMYFUNCTION("""COMPUTED_VALUE"""),49350.0)</f>
        <v>49350</v>
      </c>
      <c r="D1161" s="1">
        <f>IFERROR(__xludf.DUMMYFUNCTION("""COMPUTED_VALUE"""),48200.0)</f>
        <v>48200</v>
      </c>
      <c r="E1161" s="1">
        <f>IFERROR(__xludf.DUMMYFUNCTION("""COMPUTED_VALUE"""),49200.0)</f>
        <v>49200</v>
      </c>
      <c r="F1161" s="1">
        <f>IFERROR(__xludf.DUMMYFUNCTION("""COMPUTED_VALUE"""),9067.0)</f>
        <v>9067</v>
      </c>
    </row>
    <row r="1162">
      <c r="A1162" s="2">
        <f>IFERROR(__xludf.DUMMYFUNCTION("""COMPUTED_VALUE"""),42633.64583333333)</f>
        <v>42633.64583</v>
      </c>
      <c r="B1162" s="1">
        <f>IFERROR(__xludf.DUMMYFUNCTION("""COMPUTED_VALUE"""),49000.0)</f>
        <v>49000</v>
      </c>
      <c r="C1162" s="1">
        <f>IFERROR(__xludf.DUMMYFUNCTION("""COMPUTED_VALUE"""),49100.0)</f>
        <v>49100</v>
      </c>
      <c r="D1162" s="1">
        <f>IFERROR(__xludf.DUMMYFUNCTION("""COMPUTED_VALUE"""),48450.0)</f>
        <v>48450</v>
      </c>
      <c r="E1162" s="1">
        <f>IFERROR(__xludf.DUMMYFUNCTION("""COMPUTED_VALUE"""),49050.0)</f>
        <v>49050</v>
      </c>
      <c r="F1162" s="1">
        <f>IFERROR(__xludf.DUMMYFUNCTION("""COMPUTED_VALUE"""),4985.0)</f>
        <v>4985</v>
      </c>
    </row>
    <row r="1163">
      <c r="A1163" s="2">
        <f>IFERROR(__xludf.DUMMYFUNCTION("""COMPUTED_VALUE"""),42634.64583333333)</f>
        <v>42634.64583</v>
      </c>
      <c r="B1163" s="1">
        <f>IFERROR(__xludf.DUMMYFUNCTION("""COMPUTED_VALUE"""),49150.0)</f>
        <v>49150</v>
      </c>
      <c r="C1163" s="1">
        <f>IFERROR(__xludf.DUMMYFUNCTION("""COMPUTED_VALUE"""),49150.0)</f>
        <v>49150</v>
      </c>
      <c r="D1163" s="1">
        <f>IFERROR(__xludf.DUMMYFUNCTION("""COMPUTED_VALUE"""),48500.0)</f>
        <v>48500</v>
      </c>
      <c r="E1163" s="1">
        <f>IFERROR(__xludf.DUMMYFUNCTION("""COMPUTED_VALUE"""),49000.0)</f>
        <v>49000</v>
      </c>
      <c r="F1163" s="1">
        <f>IFERROR(__xludf.DUMMYFUNCTION("""COMPUTED_VALUE"""),6757.0)</f>
        <v>6757</v>
      </c>
    </row>
    <row r="1164">
      <c r="A1164" s="2">
        <f>IFERROR(__xludf.DUMMYFUNCTION("""COMPUTED_VALUE"""),42635.64583333333)</f>
        <v>42635.64583</v>
      </c>
      <c r="B1164" s="1">
        <f>IFERROR(__xludf.DUMMYFUNCTION("""COMPUTED_VALUE"""),49250.0)</f>
        <v>49250</v>
      </c>
      <c r="C1164" s="1">
        <f>IFERROR(__xludf.DUMMYFUNCTION("""COMPUTED_VALUE"""),49500.0)</f>
        <v>49500</v>
      </c>
      <c r="D1164" s="1">
        <f>IFERROR(__xludf.DUMMYFUNCTION("""COMPUTED_VALUE"""),49100.0)</f>
        <v>49100</v>
      </c>
      <c r="E1164" s="1">
        <f>IFERROR(__xludf.DUMMYFUNCTION("""COMPUTED_VALUE"""),49450.0)</f>
        <v>49450</v>
      </c>
      <c r="F1164" s="1">
        <f>IFERROR(__xludf.DUMMYFUNCTION("""COMPUTED_VALUE"""),10999.0)</f>
        <v>10999</v>
      </c>
    </row>
    <row r="1165">
      <c r="A1165" s="2">
        <f>IFERROR(__xludf.DUMMYFUNCTION("""COMPUTED_VALUE"""),42636.64583333333)</f>
        <v>42636.64583</v>
      </c>
      <c r="B1165" s="1">
        <f>IFERROR(__xludf.DUMMYFUNCTION("""COMPUTED_VALUE"""),49950.0)</f>
        <v>49950</v>
      </c>
      <c r="C1165" s="1">
        <f>IFERROR(__xludf.DUMMYFUNCTION("""COMPUTED_VALUE"""),50200.0)</f>
        <v>50200</v>
      </c>
      <c r="D1165" s="1">
        <f>IFERROR(__xludf.DUMMYFUNCTION("""COMPUTED_VALUE"""),49650.0)</f>
        <v>49650</v>
      </c>
      <c r="E1165" s="1">
        <f>IFERROR(__xludf.DUMMYFUNCTION("""COMPUTED_VALUE"""),50200.0)</f>
        <v>50200</v>
      </c>
      <c r="F1165" s="1">
        <f>IFERROR(__xludf.DUMMYFUNCTION("""COMPUTED_VALUE"""),5713.0)</f>
        <v>5713</v>
      </c>
    </row>
    <row r="1166">
      <c r="A1166" s="2">
        <f>IFERROR(__xludf.DUMMYFUNCTION("""COMPUTED_VALUE"""),42639.64583333333)</f>
        <v>42639.64583</v>
      </c>
      <c r="B1166" s="1">
        <f>IFERROR(__xludf.DUMMYFUNCTION("""COMPUTED_VALUE"""),50100.0)</f>
        <v>50100</v>
      </c>
      <c r="C1166" s="1">
        <f>IFERROR(__xludf.DUMMYFUNCTION("""COMPUTED_VALUE"""),50500.0)</f>
        <v>50500</v>
      </c>
      <c r="D1166" s="1">
        <f>IFERROR(__xludf.DUMMYFUNCTION("""COMPUTED_VALUE"""),49800.0)</f>
        <v>49800</v>
      </c>
      <c r="E1166" s="1">
        <f>IFERROR(__xludf.DUMMYFUNCTION("""COMPUTED_VALUE"""),50400.0)</f>
        <v>50400</v>
      </c>
      <c r="F1166" s="1">
        <f>IFERROR(__xludf.DUMMYFUNCTION("""COMPUTED_VALUE"""),4612.0)</f>
        <v>4612</v>
      </c>
    </row>
    <row r="1167">
      <c r="A1167" s="2">
        <f>IFERROR(__xludf.DUMMYFUNCTION("""COMPUTED_VALUE"""),42640.64583333333)</f>
        <v>42640.64583</v>
      </c>
      <c r="B1167" s="1">
        <f>IFERROR(__xludf.DUMMYFUNCTION("""COMPUTED_VALUE"""),50400.0)</f>
        <v>50400</v>
      </c>
      <c r="C1167" s="1">
        <f>IFERROR(__xludf.DUMMYFUNCTION("""COMPUTED_VALUE"""),50700.0)</f>
        <v>50700</v>
      </c>
      <c r="D1167" s="1">
        <f>IFERROR(__xludf.DUMMYFUNCTION("""COMPUTED_VALUE"""),50100.0)</f>
        <v>50100</v>
      </c>
      <c r="E1167" s="1">
        <f>IFERROR(__xludf.DUMMYFUNCTION("""COMPUTED_VALUE"""),50700.0)</f>
        <v>50700</v>
      </c>
      <c r="F1167" s="1">
        <f>IFERROR(__xludf.DUMMYFUNCTION("""COMPUTED_VALUE"""),3356.0)</f>
        <v>3356</v>
      </c>
    </row>
    <row r="1168">
      <c r="A1168" s="2">
        <f>IFERROR(__xludf.DUMMYFUNCTION("""COMPUTED_VALUE"""),42641.64583333333)</f>
        <v>42641.64583</v>
      </c>
      <c r="B1168" s="1">
        <f>IFERROR(__xludf.DUMMYFUNCTION("""COMPUTED_VALUE"""),50500.0)</f>
        <v>50500</v>
      </c>
      <c r="C1168" s="1">
        <f>IFERROR(__xludf.DUMMYFUNCTION("""COMPUTED_VALUE"""),50500.0)</f>
        <v>50500</v>
      </c>
      <c r="D1168" s="1">
        <f>IFERROR(__xludf.DUMMYFUNCTION("""COMPUTED_VALUE"""),49800.0)</f>
        <v>49800</v>
      </c>
      <c r="E1168" s="1">
        <f>IFERROR(__xludf.DUMMYFUNCTION("""COMPUTED_VALUE"""),50200.0)</f>
        <v>50200</v>
      </c>
      <c r="F1168" s="1">
        <f>IFERROR(__xludf.DUMMYFUNCTION("""COMPUTED_VALUE"""),2464.0)</f>
        <v>2464</v>
      </c>
    </row>
    <row r="1169">
      <c r="A1169" s="2">
        <f>IFERROR(__xludf.DUMMYFUNCTION("""COMPUTED_VALUE"""),42642.64583333333)</f>
        <v>42642.64583</v>
      </c>
      <c r="B1169" s="1">
        <f>IFERROR(__xludf.DUMMYFUNCTION("""COMPUTED_VALUE"""),51000.0)</f>
        <v>51000</v>
      </c>
      <c r="C1169" s="1">
        <f>IFERROR(__xludf.DUMMYFUNCTION("""COMPUTED_VALUE"""),51600.0)</f>
        <v>51600</v>
      </c>
      <c r="D1169" s="1">
        <f>IFERROR(__xludf.DUMMYFUNCTION("""COMPUTED_VALUE"""),50700.0)</f>
        <v>50700</v>
      </c>
      <c r="E1169" s="1">
        <f>IFERROR(__xludf.DUMMYFUNCTION("""COMPUTED_VALUE"""),51000.0)</f>
        <v>51000</v>
      </c>
      <c r="F1169" s="1">
        <f>IFERROR(__xludf.DUMMYFUNCTION("""COMPUTED_VALUE"""),22638.0)</f>
        <v>22638</v>
      </c>
    </row>
    <row r="1170">
      <c r="A1170" s="2">
        <f>IFERROR(__xludf.DUMMYFUNCTION("""COMPUTED_VALUE"""),42643.64583333333)</f>
        <v>42643.64583</v>
      </c>
      <c r="B1170" s="1">
        <f>IFERROR(__xludf.DUMMYFUNCTION("""COMPUTED_VALUE"""),51000.0)</f>
        <v>51000</v>
      </c>
      <c r="C1170" s="1">
        <f>IFERROR(__xludf.DUMMYFUNCTION("""COMPUTED_VALUE"""),51500.0)</f>
        <v>51500</v>
      </c>
      <c r="D1170" s="1">
        <f>IFERROR(__xludf.DUMMYFUNCTION("""COMPUTED_VALUE"""),50900.0)</f>
        <v>50900</v>
      </c>
      <c r="E1170" s="1">
        <f>IFERROR(__xludf.DUMMYFUNCTION("""COMPUTED_VALUE"""),51400.0)</f>
        <v>51400</v>
      </c>
      <c r="F1170" s="1">
        <f>IFERROR(__xludf.DUMMYFUNCTION("""COMPUTED_VALUE"""),19574.0)</f>
        <v>19574</v>
      </c>
    </row>
    <row r="1171">
      <c r="A1171" s="2">
        <f>IFERROR(__xludf.DUMMYFUNCTION("""COMPUTED_VALUE"""),42647.64583333333)</f>
        <v>42647.64583</v>
      </c>
      <c r="B1171" s="1">
        <f>IFERROR(__xludf.DUMMYFUNCTION("""COMPUTED_VALUE"""),51700.0)</f>
        <v>51700</v>
      </c>
      <c r="C1171" s="1">
        <f>IFERROR(__xludf.DUMMYFUNCTION("""COMPUTED_VALUE"""),52100.0)</f>
        <v>52100</v>
      </c>
      <c r="D1171" s="1">
        <f>IFERROR(__xludf.DUMMYFUNCTION("""COMPUTED_VALUE"""),50800.0)</f>
        <v>50800</v>
      </c>
      <c r="E1171" s="1">
        <f>IFERROR(__xludf.DUMMYFUNCTION("""COMPUTED_VALUE"""),51400.0)</f>
        <v>51400</v>
      </c>
      <c r="F1171" s="1">
        <f>IFERROR(__xludf.DUMMYFUNCTION("""COMPUTED_VALUE"""),6651.0)</f>
        <v>6651</v>
      </c>
    </row>
    <row r="1172">
      <c r="A1172" s="2">
        <f>IFERROR(__xludf.DUMMYFUNCTION("""COMPUTED_VALUE"""),42648.64583333333)</f>
        <v>42648.64583</v>
      </c>
      <c r="B1172" s="1">
        <f>IFERROR(__xludf.DUMMYFUNCTION("""COMPUTED_VALUE"""),51800.0)</f>
        <v>51800</v>
      </c>
      <c r="C1172" s="1">
        <f>IFERROR(__xludf.DUMMYFUNCTION("""COMPUTED_VALUE"""),51800.0)</f>
        <v>51800</v>
      </c>
      <c r="D1172" s="1">
        <f>IFERROR(__xludf.DUMMYFUNCTION("""COMPUTED_VALUE"""),51100.0)</f>
        <v>51100</v>
      </c>
      <c r="E1172" s="1">
        <f>IFERROR(__xludf.DUMMYFUNCTION("""COMPUTED_VALUE"""),51500.0)</f>
        <v>51500</v>
      </c>
      <c r="F1172" s="1">
        <f>IFERROR(__xludf.DUMMYFUNCTION("""COMPUTED_VALUE"""),5952.0)</f>
        <v>5952</v>
      </c>
    </row>
    <row r="1173">
      <c r="A1173" s="2">
        <f>IFERROR(__xludf.DUMMYFUNCTION("""COMPUTED_VALUE"""),42649.64583333333)</f>
        <v>42649.64583</v>
      </c>
      <c r="B1173" s="1">
        <f>IFERROR(__xludf.DUMMYFUNCTION("""COMPUTED_VALUE"""),51800.0)</f>
        <v>51800</v>
      </c>
      <c r="C1173" s="1">
        <f>IFERROR(__xludf.DUMMYFUNCTION("""COMPUTED_VALUE"""),51900.0)</f>
        <v>51900</v>
      </c>
      <c r="D1173" s="1">
        <f>IFERROR(__xludf.DUMMYFUNCTION("""COMPUTED_VALUE"""),51400.0)</f>
        <v>51400</v>
      </c>
      <c r="E1173" s="1">
        <f>IFERROR(__xludf.DUMMYFUNCTION("""COMPUTED_VALUE"""),51600.0)</f>
        <v>51600</v>
      </c>
      <c r="F1173" s="1">
        <f>IFERROR(__xludf.DUMMYFUNCTION("""COMPUTED_VALUE"""),6221.0)</f>
        <v>6221</v>
      </c>
    </row>
    <row r="1174">
      <c r="A1174" s="2">
        <f>IFERROR(__xludf.DUMMYFUNCTION("""COMPUTED_VALUE"""),42650.64583333333)</f>
        <v>42650.64583</v>
      </c>
      <c r="B1174" s="1">
        <f>IFERROR(__xludf.DUMMYFUNCTION("""COMPUTED_VALUE"""),51800.0)</f>
        <v>51800</v>
      </c>
      <c r="C1174" s="1">
        <f>IFERROR(__xludf.DUMMYFUNCTION("""COMPUTED_VALUE"""),51800.0)</f>
        <v>51800</v>
      </c>
      <c r="D1174" s="1">
        <f>IFERROR(__xludf.DUMMYFUNCTION("""COMPUTED_VALUE"""),51300.0)</f>
        <v>51300</v>
      </c>
      <c r="E1174" s="1">
        <f>IFERROR(__xludf.DUMMYFUNCTION("""COMPUTED_VALUE"""),51500.0)</f>
        <v>51500</v>
      </c>
      <c r="F1174" s="1">
        <f>IFERROR(__xludf.DUMMYFUNCTION("""COMPUTED_VALUE"""),2066.0)</f>
        <v>2066</v>
      </c>
    </row>
    <row r="1175">
      <c r="A1175" s="2">
        <f>IFERROR(__xludf.DUMMYFUNCTION("""COMPUTED_VALUE"""),42653.64583333333)</f>
        <v>42653.64583</v>
      </c>
      <c r="B1175" s="1">
        <f>IFERROR(__xludf.DUMMYFUNCTION("""COMPUTED_VALUE"""),51100.0)</f>
        <v>51100</v>
      </c>
      <c r="C1175" s="1">
        <f>IFERROR(__xludf.DUMMYFUNCTION("""COMPUTED_VALUE"""),51700.0)</f>
        <v>51700</v>
      </c>
      <c r="D1175" s="1">
        <f>IFERROR(__xludf.DUMMYFUNCTION("""COMPUTED_VALUE"""),50600.0)</f>
        <v>50600</v>
      </c>
      <c r="E1175" s="1">
        <f>IFERROR(__xludf.DUMMYFUNCTION("""COMPUTED_VALUE"""),51600.0)</f>
        <v>51600</v>
      </c>
      <c r="F1175" s="1">
        <f>IFERROR(__xludf.DUMMYFUNCTION("""COMPUTED_VALUE"""),12075.0)</f>
        <v>12075</v>
      </c>
    </row>
    <row r="1176">
      <c r="A1176" s="2">
        <f>IFERROR(__xludf.DUMMYFUNCTION("""COMPUTED_VALUE"""),42654.64583333333)</f>
        <v>42654.64583</v>
      </c>
      <c r="B1176" s="1">
        <f>IFERROR(__xludf.DUMMYFUNCTION("""COMPUTED_VALUE"""),52000.0)</f>
        <v>52000</v>
      </c>
      <c r="C1176" s="1">
        <f>IFERROR(__xludf.DUMMYFUNCTION("""COMPUTED_VALUE"""),52400.0)</f>
        <v>52400</v>
      </c>
      <c r="D1176" s="1">
        <f>IFERROR(__xludf.DUMMYFUNCTION("""COMPUTED_VALUE"""),51800.0)</f>
        <v>51800</v>
      </c>
      <c r="E1176" s="1">
        <f>IFERROR(__xludf.DUMMYFUNCTION("""COMPUTED_VALUE"""),52100.0)</f>
        <v>52100</v>
      </c>
      <c r="F1176" s="1">
        <f>IFERROR(__xludf.DUMMYFUNCTION("""COMPUTED_VALUE"""),14999.0)</f>
        <v>14999</v>
      </c>
    </row>
    <row r="1177">
      <c r="A1177" s="2">
        <f>IFERROR(__xludf.DUMMYFUNCTION("""COMPUTED_VALUE"""),42655.64583333333)</f>
        <v>42655.64583</v>
      </c>
      <c r="B1177" s="1">
        <f>IFERROR(__xludf.DUMMYFUNCTION("""COMPUTED_VALUE"""),52100.0)</f>
        <v>52100</v>
      </c>
      <c r="C1177" s="1">
        <f>IFERROR(__xludf.DUMMYFUNCTION("""COMPUTED_VALUE"""),52100.0)</f>
        <v>52100</v>
      </c>
      <c r="D1177" s="1">
        <f>IFERROR(__xludf.DUMMYFUNCTION("""COMPUTED_VALUE"""),51500.0)</f>
        <v>51500</v>
      </c>
      <c r="E1177" s="1">
        <f>IFERROR(__xludf.DUMMYFUNCTION("""COMPUTED_VALUE"""),52000.0)</f>
        <v>52000</v>
      </c>
      <c r="F1177" s="1">
        <f>IFERROR(__xludf.DUMMYFUNCTION("""COMPUTED_VALUE"""),11864.0)</f>
        <v>11864</v>
      </c>
    </row>
    <row r="1178">
      <c r="A1178" s="2">
        <f>IFERROR(__xludf.DUMMYFUNCTION("""COMPUTED_VALUE"""),42656.64583333333)</f>
        <v>42656.64583</v>
      </c>
      <c r="B1178" s="1">
        <f>IFERROR(__xludf.DUMMYFUNCTION("""COMPUTED_VALUE"""),52100.0)</f>
        <v>52100</v>
      </c>
      <c r="C1178" s="1">
        <f>IFERROR(__xludf.DUMMYFUNCTION("""COMPUTED_VALUE"""),52100.0)</f>
        <v>52100</v>
      </c>
      <c r="D1178" s="1">
        <f>IFERROR(__xludf.DUMMYFUNCTION("""COMPUTED_VALUE"""),51400.0)</f>
        <v>51400</v>
      </c>
      <c r="E1178" s="1">
        <f>IFERROR(__xludf.DUMMYFUNCTION("""COMPUTED_VALUE"""),51800.0)</f>
        <v>51800</v>
      </c>
      <c r="F1178" s="1">
        <f>IFERROR(__xludf.DUMMYFUNCTION("""COMPUTED_VALUE"""),1649.0)</f>
        <v>1649</v>
      </c>
    </row>
    <row r="1179">
      <c r="A1179" s="2">
        <f>IFERROR(__xludf.DUMMYFUNCTION("""COMPUTED_VALUE"""),42657.64583333333)</f>
        <v>42657.64583</v>
      </c>
      <c r="B1179" s="1">
        <f>IFERROR(__xludf.DUMMYFUNCTION("""COMPUTED_VALUE"""),51800.0)</f>
        <v>51800</v>
      </c>
      <c r="C1179" s="1">
        <f>IFERROR(__xludf.DUMMYFUNCTION("""COMPUTED_VALUE"""),52000.0)</f>
        <v>52000</v>
      </c>
      <c r="D1179" s="1">
        <f>IFERROR(__xludf.DUMMYFUNCTION("""COMPUTED_VALUE"""),51200.0)</f>
        <v>51200</v>
      </c>
      <c r="E1179" s="1">
        <f>IFERROR(__xludf.DUMMYFUNCTION("""COMPUTED_VALUE"""),52000.0)</f>
        <v>52000</v>
      </c>
      <c r="F1179" s="1">
        <f>IFERROR(__xludf.DUMMYFUNCTION("""COMPUTED_VALUE"""),5263.0)</f>
        <v>5263</v>
      </c>
    </row>
    <row r="1180">
      <c r="A1180" s="2">
        <f>IFERROR(__xludf.DUMMYFUNCTION("""COMPUTED_VALUE"""),42660.64583333333)</f>
        <v>42660.64583</v>
      </c>
      <c r="B1180" s="1">
        <f>IFERROR(__xludf.DUMMYFUNCTION("""COMPUTED_VALUE"""),51900.0)</f>
        <v>51900</v>
      </c>
      <c r="C1180" s="1">
        <f>IFERROR(__xludf.DUMMYFUNCTION("""COMPUTED_VALUE"""),51900.0)</f>
        <v>51900</v>
      </c>
      <c r="D1180" s="1">
        <f>IFERROR(__xludf.DUMMYFUNCTION("""COMPUTED_VALUE"""),51200.0)</f>
        <v>51200</v>
      </c>
      <c r="E1180" s="1">
        <f>IFERROR(__xludf.DUMMYFUNCTION("""COMPUTED_VALUE"""),51500.0)</f>
        <v>51500</v>
      </c>
      <c r="F1180" s="1">
        <f>IFERROR(__xludf.DUMMYFUNCTION("""COMPUTED_VALUE"""),4671.0)</f>
        <v>4671</v>
      </c>
    </row>
    <row r="1181">
      <c r="A1181" s="2">
        <f>IFERROR(__xludf.DUMMYFUNCTION("""COMPUTED_VALUE"""),42661.64583333333)</f>
        <v>42661.64583</v>
      </c>
      <c r="B1181" s="1">
        <f>IFERROR(__xludf.DUMMYFUNCTION("""COMPUTED_VALUE"""),51600.0)</f>
        <v>51600</v>
      </c>
      <c r="C1181" s="1">
        <f>IFERROR(__xludf.DUMMYFUNCTION("""COMPUTED_VALUE"""),52000.0)</f>
        <v>52000</v>
      </c>
      <c r="D1181" s="1">
        <f>IFERROR(__xludf.DUMMYFUNCTION("""COMPUTED_VALUE"""),51300.0)</f>
        <v>51300</v>
      </c>
      <c r="E1181" s="1">
        <f>IFERROR(__xludf.DUMMYFUNCTION("""COMPUTED_VALUE"""),51800.0)</f>
        <v>51800</v>
      </c>
      <c r="F1181" s="1">
        <f>IFERROR(__xludf.DUMMYFUNCTION("""COMPUTED_VALUE"""),10580.0)</f>
        <v>10580</v>
      </c>
    </row>
    <row r="1182">
      <c r="A1182" s="2">
        <f>IFERROR(__xludf.DUMMYFUNCTION("""COMPUTED_VALUE"""),42662.64583333333)</f>
        <v>42662.64583</v>
      </c>
      <c r="B1182" s="1">
        <f>IFERROR(__xludf.DUMMYFUNCTION("""COMPUTED_VALUE"""),51900.0)</f>
        <v>51900</v>
      </c>
      <c r="C1182" s="1">
        <f>IFERROR(__xludf.DUMMYFUNCTION("""COMPUTED_VALUE"""),52100.0)</f>
        <v>52100</v>
      </c>
      <c r="D1182" s="1">
        <f>IFERROR(__xludf.DUMMYFUNCTION("""COMPUTED_VALUE"""),51600.0)</f>
        <v>51600</v>
      </c>
      <c r="E1182" s="1">
        <f>IFERROR(__xludf.DUMMYFUNCTION("""COMPUTED_VALUE"""),51900.0)</f>
        <v>51900</v>
      </c>
      <c r="F1182" s="1">
        <f>IFERROR(__xludf.DUMMYFUNCTION("""COMPUTED_VALUE"""),8834.0)</f>
        <v>8834</v>
      </c>
    </row>
    <row r="1183">
      <c r="A1183" s="2">
        <f>IFERROR(__xludf.DUMMYFUNCTION("""COMPUTED_VALUE"""),42663.64583333333)</f>
        <v>42663.64583</v>
      </c>
      <c r="B1183" s="1">
        <f>IFERROR(__xludf.DUMMYFUNCTION("""COMPUTED_VALUE"""),52200.0)</f>
        <v>52200</v>
      </c>
      <c r="C1183" s="1">
        <f>IFERROR(__xludf.DUMMYFUNCTION("""COMPUTED_VALUE"""),52700.0)</f>
        <v>52700</v>
      </c>
      <c r="D1183" s="1">
        <f>IFERROR(__xludf.DUMMYFUNCTION("""COMPUTED_VALUE"""),52100.0)</f>
        <v>52100</v>
      </c>
      <c r="E1183" s="1">
        <f>IFERROR(__xludf.DUMMYFUNCTION("""COMPUTED_VALUE"""),52700.0)</f>
        <v>52700</v>
      </c>
      <c r="F1183" s="1">
        <f>IFERROR(__xludf.DUMMYFUNCTION("""COMPUTED_VALUE"""),21054.0)</f>
        <v>21054</v>
      </c>
    </row>
    <row r="1184">
      <c r="A1184" s="2">
        <f>IFERROR(__xludf.DUMMYFUNCTION("""COMPUTED_VALUE"""),42664.64583333333)</f>
        <v>42664.64583</v>
      </c>
      <c r="B1184" s="1">
        <f>IFERROR(__xludf.DUMMYFUNCTION("""COMPUTED_VALUE"""),52700.0)</f>
        <v>52700</v>
      </c>
      <c r="C1184" s="1">
        <f>IFERROR(__xludf.DUMMYFUNCTION("""COMPUTED_VALUE"""),52700.0)</f>
        <v>52700</v>
      </c>
      <c r="D1184" s="1">
        <f>IFERROR(__xludf.DUMMYFUNCTION("""COMPUTED_VALUE"""),51900.0)</f>
        <v>51900</v>
      </c>
      <c r="E1184" s="1">
        <f>IFERROR(__xludf.DUMMYFUNCTION("""COMPUTED_VALUE"""),52500.0)</f>
        <v>52500</v>
      </c>
      <c r="F1184" s="1">
        <f>IFERROR(__xludf.DUMMYFUNCTION("""COMPUTED_VALUE"""),6938.0)</f>
        <v>6938</v>
      </c>
    </row>
    <row r="1185">
      <c r="A1185" s="2">
        <f>IFERROR(__xludf.DUMMYFUNCTION("""COMPUTED_VALUE"""),42667.64583333333)</f>
        <v>42667.64583</v>
      </c>
      <c r="B1185" s="1">
        <f>IFERROR(__xludf.DUMMYFUNCTION("""COMPUTED_VALUE"""),52200.0)</f>
        <v>52200</v>
      </c>
      <c r="C1185" s="1">
        <f>IFERROR(__xludf.DUMMYFUNCTION("""COMPUTED_VALUE"""),53000.0)</f>
        <v>53000</v>
      </c>
      <c r="D1185" s="1">
        <f>IFERROR(__xludf.DUMMYFUNCTION("""COMPUTED_VALUE"""),52200.0)</f>
        <v>52200</v>
      </c>
      <c r="E1185" s="1">
        <f>IFERROR(__xludf.DUMMYFUNCTION("""COMPUTED_VALUE"""),52900.0)</f>
        <v>52900</v>
      </c>
      <c r="F1185" s="1">
        <f>IFERROR(__xludf.DUMMYFUNCTION("""COMPUTED_VALUE"""),9253.0)</f>
        <v>9253</v>
      </c>
    </row>
    <row r="1186">
      <c r="A1186" s="2">
        <f>IFERROR(__xludf.DUMMYFUNCTION("""COMPUTED_VALUE"""),42668.64583333333)</f>
        <v>42668.64583</v>
      </c>
      <c r="B1186" s="1">
        <f>IFERROR(__xludf.DUMMYFUNCTION("""COMPUTED_VALUE"""),52900.0)</f>
        <v>52900</v>
      </c>
      <c r="C1186" s="1">
        <f>IFERROR(__xludf.DUMMYFUNCTION("""COMPUTED_VALUE"""),52900.0)</f>
        <v>52900</v>
      </c>
      <c r="D1186" s="1">
        <f>IFERROR(__xludf.DUMMYFUNCTION("""COMPUTED_VALUE"""),52100.0)</f>
        <v>52100</v>
      </c>
      <c r="E1186" s="1">
        <f>IFERROR(__xludf.DUMMYFUNCTION("""COMPUTED_VALUE"""),52500.0)</f>
        <v>52500</v>
      </c>
      <c r="F1186" s="1">
        <f>IFERROR(__xludf.DUMMYFUNCTION("""COMPUTED_VALUE"""),4121.0)</f>
        <v>4121</v>
      </c>
    </row>
    <row r="1187">
      <c r="A1187" s="2">
        <f>IFERROR(__xludf.DUMMYFUNCTION("""COMPUTED_VALUE"""),42669.64583333333)</f>
        <v>42669.64583</v>
      </c>
      <c r="B1187" s="1">
        <f>IFERROR(__xludf.DUMMYFUNCTION("""COMPUTED_VALUE"""),52400.0)</f>
        <v>52400</v>
      </c>
      <c r="C1187" s="1">
        <f>IFERROR(__xludf.DUMMYFUNCTION("""COMPUTED_VALUE"""),52500.0)</f>
        <v>52500</v>
      </c>
      <c r="D1187" s="1">
        <f>IFERROR(__xludf.DUMMYFUNCTION("""COMPUTED_VALUE"""),51300.0)</f>
        <v>51300</v>
      </c>
      <c r="E1187" s="1">
        <f>IFERROR(__xludf.DUMMYFUNCTION("""COMPUTED_VALUE"""),51600.0)</f>
        <v>51600</v>
      </c>
      <c r="F1187" s="1">
        <f>IFERROR(__xludf.DUMMYFUNCTION("""COMPUTED_VALUE"""),4039.0)</f>
        <v>4039</v>
      </c>
    </row>
    <row r="1188">
      <c r="A1188" s="2">
        <f>IFERROR(__xludf.DUMMYFUNCTION("""COMPUTED_VALUE"""),42670.64583333333)</f>
        <v>42670.64583</v>
      </c>
      <c r="B1188" s="1">
        <f>IFERROR(__xludf.DUMMYFUNCTION("""COMPUTED_VALUE"""),51800.0)</f>
        <v>51800</v>
      </c>
      <c r="C1188" s="1">
        <f>IFERROR(__xludf.DUMMYFUNCTION("""COMPUTED_VALUE"""),52100.0)</f>
        <v>52100</v>
      </c>
      <c r="D1188" s="1">
        <f>IFERROR(__xludf.DUMMYFUNCTION("""COMPUTED_VALUE"""),51000.0)</f>
        <v>51000</v>
      </c>
      <c r="E1188" s="1">
        <f>IFERROR(__xludf.DUMMYFUNCTION("""COMPUTED_VALUE"""),51800.0)</f>
        <v>51800</v>
      </c>
      <c r="F1188" s="1">
        <f>IFERROR(__xludf.DUMMYFUNCTION("""COMPUTED_VALUE"""),11074.0)</f>
        <v>11074</v>
      </c>
    </row>
    <row r="1189">
      <c r="A1189" s="2">
        <f>IFERROR(__xludf.DUMMYFUNCTION("""COMPUTED_VALUE"""),42671.64583333333)</f>
        <v>42671.64583</v>
      </c>
      <c r="B1189" s="1">
        <f>IFERROR(__xludf.DUMMYFUNCTION("""COMPUTED_VALUE"""),51800.0)</f>
        <v>51800</v>
      </c>
      <c r="C1189" s="1">
        <f>IFERROR(__xludf.DUMMYFUNCTION("""COMPUTED_VALUE"""),52900.0)</f>
        <v>52900</v>
      </c>
      <c r="D1189" s="1">
        <f>IFERROR(__xludf.DUMMYFUNCTION("""COMPUTED_VALUE"""),51500.0)</f>
        <v>51500</v>
      </c>
      <c r="E1189" s="1">
        <f>IFERROR(__xludf.DUMMYFUNCTION("""COMPUTED_VALUE"""),52800.0)</f>
        <v>52800</v>
      </c>
      <c r="F1189" s="1">
        <f>IFERROR(__xludf.DUMMYFUNCTION("""COMPUTED_VALUE"""),21040.0)</f>
        <v>21040</v>
      </c>
    </row>
    <row r="1190">
      <c r="A1190" s="2">
        <f>IFERROR(__xludf.DUMMYFUNCTION("""COMPUTED_VALUE"""),42674.64583333333)</f>
        <v>42674.64583</v>
      </c>
      <c r="B1190" s="1">
        <f>IFERROR(__xludf.DUMMYFUNCTION("""COMPUTED_VALUE"""),52500.0)</f>
        <v>52500</v>
      </c>
      <c r="C1190" s="1">
        <f>IFERROR(__xludf.DUMMYFUNCTION("""COMPUTED_VALUE"""),53000.0)</f>
        <v>53000</v>
      </c>
      <c r="D1190" s="1">
        <f>IFERROR(__xludf.DUMMYFUNCTION("""COMPUTED_VALUE"""),52100.0)</f>
        <v>52100</v>
      </c>
      <c r="E1190" s="1">
        <f>IFERROR(__xludf.DUMMYFUNCTION("""COMPUTED_VALUE"""),52200.0)</f>
        <v>52200</v>
      </c>
      <c r="F1190" s="1">
        <f>IFERROR(__xludf.DUMMYFUNCTION("""COMPUTED_VALUE"""),10074.0)</f>
        <v>10074</v>
      </c>
    </row>
    <row r="1191">
      <c r="A1191" s="2">
        <f>IFERROR(__xludf.DUMMYFUNCTION("""COMPUTED_VALUE"""),42675.64583333333)</f>
        <v>42675.64583</v>
      </c>
      <c r="B1191" s="1">
        <f>IFERROR(__xludf.DUMMYFUNCTION("""COMPUTED_VALUE"""),52100.0)</f>
        <v>52100</v>
      </c>
      <c r="C1191" s="1">
        <f>IFERROR(__xludf.DUMMYFUNCTION("""COMPUTED_VALUE"""),53000.0)</f>
        <v>53000</v>
      </c>
      <c r="D1191" s="1">
        <f>IFERROR(__xludf.DUMMYFUNCTION("""COMPUTED_VALUE"""),51800.0)</f>
        <v>51800</v>
      </c>
      <c r="E1191" s="1">
        <f>IFERROR(__xludf.DUMMYFUNCTION("""COMPUTED_VALUE"""),52500.0)</f>
        <v>52500</v>
      </c>
      <c r="F1191" s="1">
        <f>IFERROR(__xludf.DUMMYFUNCTION("""COMPUTED_VALUE"""),16504.0)</f>
        <v>16504</v>
      </c>
    </row>
    <row r="1192">
      <c r="A1192" s="2">
        <f>IFERROR(__xludf.DUMMYFUNCTION("""COMPUTED_VALUE"""),42676.64583333333)</f>
        <v>42676.64583</v>
      </c>
      <c r="B1192" s="1">
        <f>IFERROR(__xludf.DUMMYFUNCTION("""COMPUTED_VALUE"""),52500.0)</f>
        <v>52500</v>
      </c>
      <c r="C1192" s="1">
        <f>IFERROR(__xludf.DUMMYFUNCTION("""COMPUTED_VALUE"""),53200.0)</f>
        <v>53200</v>
      </c>
      <c r="D1192" s="1">
        <f>IFERROR(__xludf.DUMMYFUNCTION("""COMPUTED_VALUE"""),52200.0)</f>
        <v>52200</v>
      </c>
      <c r="E1192" s="1">
        <f>IFERROR(__xludf.DUMMYFUNCTION("""COMPUTED_VALUE"""),52500.0)</f>
        <v>52500</v>
      </c>
      <c r="F1192" s="1">
        <f>IFERROR(__xludf.DUMMYFUNCTION("""COMPUTED_VALUE"""),39993.0)</f>
        <v>39993</v>
      </c>
    </row>
    <row r="1193">
      <c r="A1193" s="2">
        <f>IFERROR(__xludf.DUMMYFUNCTION("""COMPUTED_VALUE"""),42677.64583333333)</f>
        <v>42677.64583</v>
      </c>
      <c r="B1193" s="1">
        <f>IFERROR(__xludf.DUMMYFUNCTION("""COMPUTED_VALUE"""),52800.0)</f>
        <v>52800</v>
      </c>
      <c r="C1193" s="1">
        <f>IFERROR(__xludf.DUMMYFUNCTION("""COMPUTED_VALUE"""),52800.0)</f>
        <v>52800</v>
      </c>
      <c r="D1193" s="1">
        <f>IFERROR(__xludf.DUMMYFUNCTION("""COMPUTED_VALUE"""),51900.0)</f>
        <v>51900</v>
      </c>
      <c r="E1193" s="1">
        <f>IFERROR(__xludf.DUMMYFUNCTION("""COMPUTED_VALUE"""),52300.0)</f>
        <v>52300</v>
      </c>
      <c r="F1193" s="1">
        <f>IFERROR(__xludf.DUMMYFUNCTION("""COMPUTED_VALUE"""),25459.0)</f>
        <v>25459</v>
      </c>
    </row>
    <row r="1194">
      <c r="A1194" s="2">
        <f>IFERROR(__xludf.DUMMYFUNCTION("""COMPUTED_VALUE"""),42678.64583333333)</f>
        <v>42678.64583</v>
      </c>
      <c r="B1194" s="1">
        <f>IFERROR(__xludf.DUMMYFUNCTION("""COMPUTED_VALUE"""),52000.0)</f>
        <v>52000</v>
      </c>
      <c r="C1194" s="1">
        <f>IFERROR(__xludf.DUMMYFUNCTION("""COMPUTED_VALUE"""),52600.0)</f>
        <v>52600</v>
      </c>
      <c r="D1194" s="1">
        <f>IFERROR(__xludf.DUMMYFUNCTION("""COMPUTED_VALUE"""),51900.0)</f>
        <v>51900</v>
      </c>
      <c r="E1194" s="1">
        <f>IFERROR(__xludf.DUMMYFUNCTION("""COMPUTED_VALUE"""),52600.0)</f>
        <v>52600</v>
      </c>
      <c r="F1194" s="1">
        <f>IFERROR(__xludf.DUMMYFUNCTION("""COMPUTED_VALUE"""),38076.0)</f>
        <v>38076</v>
      </c>
    </row>
    <row r="1195">
      <c r="A1195" s="2">
        <f>IFERROR(__xludf.DUMMYFUNCTION("""COMPUTED_VALUE"""),42681.64583333333)</f>
        <v>42681.64583</v>
      </c>
      <c r="B1195" s="1">
        <f>IFERROR(__xludf.DUMMYFUNCTION("""COMPUTED_VALUE"""),52600.0)</f>
        <v>52600</v>
      </c>
      <c r="C1195" s="1">
        <f>IFERROR(__xludf.DUMMYFUNCTION("""COMPUTED_VALUE"""),53100.0)</f>
        <v>53100</v>
      </c>
      <c r="D1195" s="1">
        <f>IFERROR(__xludf.DUMMYFUNCTION("""COMPUTED_VALUE"""),52000.0)</f>
        <v>52000</v>
      </c>
      <c r="E1195" s="1">
        <f>IFERROR(__xludf.DUMMYFUNCTION("""COMPUTED_VALUE"""),52700.0)</f>
        <v>52700</v>
      </c>
      <c r="F1195" s="1">
        <f>IFERROR(__xludf.DUMMYFUNCTION("""COMPUTED_VALUE"""),30119.0)</f>
        <v>30119</v>
      </c>
    </row>
    <row r="1196">
      <c r="A1196" s="2">
        <f>IFERROR(__xludf.DUMMYFUNCTION("""COMPUTED_VALUE"""),42682.64583333333)</f>
        <v>42682.64583</v>
      </c>
      <c r="B1196" s="1">
        <f>IFERROR(__xludf.DUMMYFUNCTION("""COMPUTED_VALUE"""),52900.0)</f>
        <v>52900</v>
      </c>
      <c r="C1196" s="1">
        <f>IFERROR(__xludf.DUMMYFUNCTION("""COMPUTED_VALUE"""),53700.0)</f>
        <v>53700</v>
      </c>
      <c r="D1196" s="1">
        <f>IFERROR(__xludf.DUMMYFUNCTION("""COMPUTED_VALUE"""),52700.0)</f>
        <v>52700</v>
      </c>
      <c r="E1196" s="1">
        <f>IFERROR(__xludf.DUMMYFUNCTION("""COMPUTED_VALUE"""),53500.0)</f>
        <v>53500</v>
      </c>
      <c r="F1196" s="1">
        <f>IFERROR(__xludf.DUMMYFUNCTION("""COMPUTED_VALUE"""),18851.0)</f>
        <v>18851</v>
      </c>
    </row>
    <row r="1197">
      <c r="A1197" s="2">
        <f>IFERROR(__xludf.DUMMYFUNCTION("""COMPUTED_VALUE"""),42683.64583333333)</f>
        <v>42683.64583</v>
      </c>
      <c r="B1197" s="1">
        <f>IFERROR(__xludf.DUMMYFUNCTION("""COMPUTED_VALUE"""),53600.0)</f>
        <v>53600</v>
      </c>
      <c r="C1197" s="1">
        <f>IFERROR(__xludf.DUMMYFUNCTION("""COMPUTED_VALUE"""),53800.0)</f>
        <v>53800</v>
      </c>
      <c r="D1197" s="1">
        <f>IFERROR(__xludf.DUMMYFUNCTION("""COMPUTED_VALUE"""),52200.0)</f>
        <v>52200</v>
      </c>
      <c r="E1197" s="1">
        <f>IFERROR(__xludf.DUMMYFUNCTION("""COMPUTED_VALUE"""),52900.0)</f>
        <v>52900</v>
      </c>
      <c r="F1197" s="1">
        <f>IFERROR(__xludf.DUMMYFUNCTION("""COMPUTED_VALUE"""),35298.0)</f>
        <v>35298</v>
      </c>
    </row>
    <row r="1198">
      <c r="A1198" s="2">
        <f>IFERROR(__xludf.DUMMYFUNCTION("""COMPUTED_VALUE"""),42684.64583333333)</f>
        <v>42684.64583</v>
      </c>
      <c r="B1198" s="1">
        <f>IFERROR(__xludf.DUMMYFUNCTION("""COMPUTED_VALUE"""),53500.0)</f>
        <v>53500</v>
      </c>
      <c r="C1198" s="1">
        <f>IFERROR(__xludf.DUMMYFUNCTION("""COMPUTED_VALUE"""),55200.0)</f>
        <v>55200</v>
      </c>
      <c r="D1198" s="1">
        <f>IFERROR(__xludf.DUMMYFUNCTION("""COMPUTED_VALUE"""),53500.0)</f>
        <v>53500</v>
      </c>
      <c r="E1198" s="1">
        <f>IFERROR(__xludf.DUMMYFUNCTION("""COMPUTED_VALUE"""),54800.0)</f>
        <v>54800</v>
      </c>
      <c r="F1198" s="1">
        <f>IFERROR(__xludf.DUMMYFUNCTION("""COMPUTED_VALUE"""),37101.0)</f>
        <v>37101</v>
      </c>
    </row>
    <row r="1199">
      <c r="A1199" s="2">
        <f>IFERROR(__xludf.DUMMYFUNCTION("""COMPUTED_VALUE"""),42685.64583333333)</f>
        <v>42685.64583</v>
      </c>
      <c r="B1199" s="1">
        <f>IFERROR(__xludf.DUMMYFUNCTION("""COMPUTED_VALUE"""),54800.0)</f>
        <v>54800</v>
      </c>
      <c r="C1199" s="1">
        <f>IFERROR(__xludf.DUMMYFUNCTION("""COMPUTED_VALUE"""),55100.0)</f>
        <v>55100</v>
      </c>
      <c r="D1199" s="1">
        <f>IFERROR(__xludf.DUMMYFUNCTION("""COMPUTED_VALUE"""),54000.0)</f>
        <v>54000</v>
      </c>
      <c r="E1199" s="1">
        <f>IFERROR(__xludf.DUMMYFUNCTION("""COMPUTED_VALUE"""),54900.0)</f>
        <v>54900</v>
      </c>
      <c r="F1199" s="1">
        <f>IFERROR(__xludf.DUMMYFUNCTION("""COMPUTED_VALUE"""),9452.0)</f>
        <v>9452</v>
      </c>
    </row>
    <row r="1200">
      <c r="A1200" s="2">
        <f>IFERROR(__xludf.DUMMYFUNCTION("""COMPUTED_VALUE"""),42688.64583333333)</f>
        <v>42688.64583</v>
      </c>
      <c r="B1200" s="1">
        <f>IFERROR(__xludf.DUMMYFUNCTION("""COMPUTED_VALUE"""),54800.0)</f>
        <v>54800</v>
      </c>
      <c r="C1200" s="1">
        <f>IFERROR(__xludf.DUMMYFUNCTION("""COMPUTED_VALUE"""),55000.0)</f>
        <v>55000</v>
      </c>
      <c r="D1200" s="1">
        <f>IFERROR(__xludf.DUMMYFUNCTION("""COMPUTED_VALUE"""),54100.0)</f>
        <v>54100</v>
      </c>
      <c r="E1200" s="1">
        <f>IFERROR(__xludf.DUMMYFUNCTION("""COMPUTED_VALUE"""),55000.0)</f>
        <v>55000</v>
      </c>
      <c r="F1200" s="1">
        <f>IFERROR(__xludf.DUMMYFUNCTION("""COMPUTED_VALUE"""),8211.0)</f>
        <v>8211</v>
      </c>
    </row>
    <row r="1201">
      <c r="A1201" s="2">
        <f>IFERROR(__xludf.DUMMYFUNCTION("""COMPUTED_VALUE"""),42689.64583333333)</f>
        <v>42689.64583</v>
      </c>
      <c r="B1201" s="1">
        <f>IFERROR(__xludf.DUMMYFUNCTION("""COMPUTED_VALUE"""),54900.0)</f>
        <v>54900</v>
      </c>
      <c r="C1201" s="1">
        <f>IFERROR(__xludf.DUMMYFUNCTION("""COMPUTED_VALUE"""),55000.0)</f>
        <v>55000</v>
      </c>
      <c r="D1201" s="1">
        <f>IFERROR(__xludf.DUMMYFUNCTION("""COMPUTED_VALUE"""),54200.0)</f>
        <v>54200</v>
      </c>
      <c r="E1201" s="1">
        <f>IFERROR(__xludf.DUMMYFUNCTION("""COMPUTED_VALUE"""),54800.0)</f>
        <v>54800</v>
      </c>
      <c r="F1201" s="1">
        <f>IFERROR(__xludf.DUMMYFUNCTION("""COMPUTED_VALUE"""),12844.0)</f>
        <v>12844</v>
      </c>
    </row>
    <row r="1202">
      <c r="A1202" s="2">
        <f>IFERROR(__xludf.DUMMYFUNCTION("""COMPUTED_VALUE"""),42690.64583333333)</f>
        <v>42690.64583</v>
      </c>
      <c r="B1202" s="1">
        <f>IFERROR(__xludf.DUMMYFUNCTION("""COMPUTED_VALUE"""),55100.0)</f>
        <v>55100</v>
      </c>
      <c r="C1202" s="1">
        <f>IFERROR(__xludf.DUMMYFUNCTION("""COMPUTED_VALUE"""),55200.0)</f>
        <v>55200</v>
      </c>
      <c r="D1202" s="1">
        <f>IFERROR(__xludf.DUMMYFUNCTION("""COMPUTED_VALUE"""),54500.0)</f>
        <v>54500</v>
      </c>
      <c r="E1202" s="1">
        <f>IFERROR(__xludf.DUMMYFUNCTION("""COMPUTED_VALUE"""),54700.0)</f>
        <v>54700</v>
      </c>
      <c r="F1202" s="1">
        <f>IFERROR(__xludf.DUMMYFUNCTION("""COMPUTED_VALUE"""),7682.0)</f>
        <v>7682</v>
      </c>
    </row>
    <row r="1203">
      <c r="A1203" s="2">
        <f>IFERROR(__xludf.DUMMYFUNCTION("""COMPUTED_VALUE"""),42691.64583333333)</f>
        <v>42691.64583</v>
      </c>
      <c r="B1203" s="1">
        <f>IFERROR(__xludf.DUMMYFUNCTION("""COMPUTED_VALUE"""),54700.0)</f>
        <v>54700</v>
      </c>
      <c r="C1203" s="1">
        <f>IFERROR(__xludf.DUMMYFUNCTION("""COMPUTED_VALUE"""),54700.0)</f>
        <v>54700</v>
      </c>
      <c r="D1203" s="1">
        <f>IFERROR(__xludf.DUMMYFUNCTION("""COMPUTED_VALUE"""),53700.0)</f>
        <v>53700</v>
      </c>
      <c r="E1203" s="1">
        <f>IFERROR(__xludf.DUMMYFUNCTION("""COMPUTED_VALUE"""),54500.0)</f>
        <v>54500</v>
      </c>
      <c r="F1203" s="1">
        <f>IFERROR(__xludf.DUMMYFUNCTION("""COMPUTED_VALUE"""),29660.0)</f>
        <v>29660</v>
      </c>
    </row>
    <row r="1204">
      <c r="A1204" s="2">
        <f>IFERROR(__xludf.DUMMYFUNCTION("""COMPUTED_VALUE"""),42692.64583333333)</f>
        <v>42692.64583</v>
      </c>
      <c r="B1204" s="1">
        <f>IFERROR(__xludf.DUMMYFUNCTION("""COMPUTED_VALUE"""),54900.0)</f>
        <v>54900</v>
      </c>
      <c r="C1204" s="1">
        <f>IFERROR(__xludf.DUMMYFUNCTION("""COMPUTED_VALUE"""),55000.0)</f>
        <v>55000</v>
      </c>
      <c r="D1204" s="1">
        <f>IFERROR(__xludf.DUMMYFUNCTION("""COMPUTED_VALUE"""),54200.0)</f>
        <v>54200</v>
      </c>
      <c r="E1204" s="1">
        <f>IFERROR(__xludf.DUMMYFUNCTION("""COMPUTED_VALUE"""),54700.0)</f>
        <v>54700</v>
      </c>
      <c r="F1204" s="1">
        <f>IFERROR(__xludf.DUMMYFUNCTION("""COMPUTED_VALUE"""),14508.0)</f>
        <v>14508</v>
      </c>
    </row>
    <row r="1205">
      <c r="A1205" s="2">
        <f>IFERROR(__xludf.DUMMYFUNCTION("""COMPUTED_VALUE"""),42695.64583333333)</f>
        <v>42695.64583</v>
      </c>
      <c r="B1205" s="1">
        <f>IFERROR(__xludf.DUMMYFUNCTION("""COMPUTED_VALUE"""),54400.0)</f>
        <v>54400</v>
      </c>
      <c r="C1205" s="1">
        <f>IFERROR(__xludf.DUMMYFUNCTION("""COMPUTED_VALUE"""),55000.0)</f>
        <v>55000</v>
      </c>
      <c r="D1205" s="1">
        <f>IFERROR(__xludf.DUMMYFUNCTION("""COMPUTED_VALUE"""),54400.0)</f>
        <v>54400</v>
      </c>
      <c r="E1205" s="1">
        <f>IFERROR(__xludf.DUMMYFUNCTION("""COMPUTED_VALUE"""),54900.0)</f>
        <v>54900</v>
      </c>
      <c r="F1205" s="1">
        <f>IFERROR(__xludf.DUMMYFUNCTION("""COMPUTED_VALUE"""),9447.0)</f>
        <v>9447</v>
      </c>
    </row>
    <row r="1206">
      <c r="A1206" s="2">
        <f>IFERROR(__xludf.DUMMYFUNCTION("""COMPUTED_VALUE"""),42696.64583333333)</f>
        <v>42696.64583</v>
      </c>
      <c r="B1206" s="1">
        <f>IFERROR(__xludf.DUMMYFUNCTION("""COMPUTED_VALUE"""),55000.0)</f>
        <v>55000</v>
      </c>
      <c r="C1206" s="1">
        <f>IFERROR(__xludf.DUMMYFUNCTION("""COMPUTED_VALUE"""),56300.0)</f>
        <v>56300</v>
      </c>
      <c r="D1206" s="1">
        <f>IFERROR(__xludf.DUMMYFUNCTION("""COMPUTED_VALUE"""),55000.0)</f>
        <v>55000</v>
      </c>
      <c r="E1206" s="1">
        <f>IFERROR(__xludf.DUMMYFUNCTION("""COMPUTED_VALUE"""),56300.0)</f>
        <v>56300</v>
      </c>
      <c r="F1206" s="1">
        <f>IFERROR(__xludf.DUMMYFUNCTION("""COMPUTED_VALUE"""),20686.0)</f>
        <v>20686</v>
      </c>
    </row>
    <row r="1207">
      <c r="A1207" s="2">
        <f>IFERROR(__xludf.DUMMYFUNCTION("""COMPUTED_VALUE"""),42697.64583333333)</f>
        <v>42697.64583</v>
      </c>
      <c r="B1207" s="1">
        <f>IFERROR(__xludf.DUMMYFUNCTION("""COMPUTED_VALUE"""),56500.0)</f>
        <v>56500</v>
      </c>
      <c r="C1207" s="1">
        <f>IFERROR(__xludf.DUMMYFUNCTION("""COMPUTED_VALUE"""),56500.0)</f>
        <v>56500</v>
      </c>
      <c r="D1207" s="1">
        <f>IFERROR(__xludf.DUMMYFUNCTION("""COMPUTED_VALUE"""),55700.0)</f>
        <v>55700</v>
      </c>
      <c r="E1207" s="1">
        <f>IFERROR(__xludf.DUMMYFUNCTION("""COMPUTED_VALUE"""),56200.0)</f>
        <v>56200</v>
      </c>
      <c r="F1207" s="1">
        <f>IFERROR(__xludf.DUMMYFUNCTION("""COMPUTED_VALUE"""),4873.0)</f>
        <v>4873</v>
      </c>
    </row>
    <row r="1208">
      <c r="A1208" s="2">
        <f>IFERROR(__xludf.DUMMYFUNCTION("""COMPUTED_VALUE"""),42698.64583333333)</f>
        <v>42698.64583</v>
      </c>
      <c r="B1208" s="1">
        <f>IFERROR(__xludf.DUMMYFUNCTION("""COMPUTED_VALUE"""),55500.0)</f>
        <v>55500</v>
      </c>
      <c r="C1208" s="1">
        <f>IFERROR(__xludf.DUMMYFUNCTION("""COMPUTED_VALUE"""),56300.0)</f>
        <v>56300</v>
      </c>
      <c r="D1208" s="1">
        <f>IFERROR(__xludf.DUMMYFUNCTION("""COMPUTED_VALUE"""),55500.0)</f>
        <v>55500</v>
      </c>
      <c r="E1208" s="1">
        <f>IFERROR(__xludf.DUMMYFUNCTION("""COMPUTED_VALUE"""),56300.0)</f>
        <v>56300</v>
      </c>
      <c r="F1208" s="1">
        <f>IFERROR(__xludf.DUMMYFUNCTION("""COMPUTED_VALUE"""),3604.0)</f>
        <v>3604</v>
      </c>
    </row>
    <row r="1209">
      <c r="A1209" s="2">
        <f>IFERROR(__xludf.DUMMYFUNCTION("""COMPUTED_VALUE"""),42699.64583333333)</f>
        <v>42699.64583</v>
      </c>
      <c r="B1209" s="1">
        <f>IFERROR(__xludf.DUMMYFUNCTION("""COMPUTED_VALUE"""),56500.0)</f>
        <v>56500</v>
      </c>
      <c r="C1209" s="1">
        <f>IFERROR(__xludf.DUMMYFUNCTION("""COMPUTED_VALUE"""),56600.0)</f>
        <v>56600</v>
      </c>
      <c r="D1209" s="1">
        <f>IFERROR(__xludf.DUMMYFUNCTION("""COMPUTED_VALUE"""),55900.0)</f>
        <v>55900</v>
      </c>
      <c r="E1209" s="1">
        <f>IFERROR(__xludf.DUMMYFUNCTION("""COMPUTED_VALUE"""),56300.0)</f>
        <v>56300</v>
      </c>
      <c r="F1209" s="1">
        <f>IFERROR(__xludf.DUMMYFUNCTION("""COMPUTED_VALUE"""),7044.0)</f>
        <v>7044</v>
      </c>
    </row>
    <row r="1210">
      <c r="A1210" s="2">
        <f>IFERROR(__xludf.DUMMYFUNCTION("""COMPUTED_VALUE"""),42702.64583333333)</f>
        <v>42702.64583</v>
      </c>
      <c r="B1210" s="1">
        <f>IFERROR(__xludf.DUMMYFUNCTION("""COMPUTED_VALUE"""),55900.0)</f>
        <v>55900</v>
      </c>
      <c r="C1210" s="1">
        <f>IFERROR(__xludf.DUMMYFUNCTION("""COMPUTED_VALUE"""),55900.0)</f>
        <v>55900</v>
      </c>
      <c r="D1210" s="1">
        <f>IFERROR(__xludf.DUMMYFUNCTION("""COMPUTED_VALUE"""),55300.0)</f>
        <v>55300</v>
      </c>
      <c r="E1210" s="1">
        <f>IFERROR(__xludf.DUMMYFUNCTION("""COMPUTED_VALUE"""),55700.0)</f>
        <v>55700</v>
      </c>
      <c r="F1210" s="1">
        <f>IFERROR(__xludf.DUMMYFUNCTION("""COMPUTED_VALUE"""),8665.0)</f>
        <v>8665</v>
      </c>
    </row>
    <row r="1211">
      <c r="A1211" s="2">
        <f>IFERROR(__xludf.DUMMYFUNCTION("""COMPUTED_VALUE"""),42703.64583333333)</f>
        <v>42703.64583</v>
      </c>
      <c r="B1211" s="1">
        <f>IFERROR(__xludf.DUMMYFUNCTION("""COMPUTED_VALUE"""),55600.0)</f>
        <v>55600</v>
      </c>
      <c r="C1211" s="1">
        <f>IFERROR(__xludf.DUMMYFUNCTION("""COMPUTED_VALUE"""),56100.0)</f>
        <v>56100</v>
      </c>
      <c r="D1211" s="1">
        <f>IFERROR(__xludf.DUMMYFUNCTION("""COMPUTED_VALUE"""),55400.0)</f>
        <v>55400</v>
      </c>
      <c r="E1211" s="1">
        <f>IFERROR(__xludf.DUMMYFUNCTION("""COMPUTED_VALUE"""),55900.0)</f>
        <v>55900</v>
      </c>
      <c r="F1211" s="1">
        <f>IFERROR(__xludf.DUMMYFUNCTION("""COMPUTED_VALUE"""),7751.0)</f>
        <v>7751</v>
      </c>
    </row>
    <row r="1212">
      <c r="A1212" s="2">
        <f>IFERROR(__xludf.DUMMYFUNCTION("""COMPUTED_VALUE"""),42704.64583333333)</f>
        <v>42704.64583</v>
      </c>
      <c r="B1212" s="1">
        <f>IFERROR(__xludf.DUMMYFUNCTION("""COMPUTED_VALUE"""),55600.0)</f>
        <v>55600</v>
      </c>
      <c r="C1212" s="1">
        <f>IFERROR(__xludf.DUMMYFUNCTION("""COMPUTED_VALUE"""),55900.0)</f>
        <v>55900</v>
      </c>
      <c r="D1212" s="1">
        <f>IFERROR(__xludf.DUMMYFUNCTION("""COMPUTED_VALUE"""),55300.0)</f>
        <v>55300</v>
      </c>
      <c r="E1212" s="1">
        <f>IFERROR(__xludf.DUMMYFUNCTION("""COMPUTED_VALUE"""),55700.0)</f>
        <v>55700</v>
      </c>
      <c r="F1212" s="1">
        <f>IFERROR(__xludf.DUMMYFUNCTION("""COMPUTED_VALUE"""),15950.0)</f>
        <v>15950</v>
      </c>
    </row>
    <row r="1213">
      <c r="A1213" s="2">
        <f>IFERROR(__xludf.DUMMYFUNCTION("""COMPUTED_VALUE"""),42705.64583333333)</f>
        <v>42705.64583</v>
      </c>
      <c r="B1213" s="1">
        <f>IFERROR(__xludf.DUMMYFUNCTION("""COMPUTED_VALUE"""),57000.0)</f>
        <v>57000</v>
      </c>
      <c r="C1213" s="1">
        <f>IFERROR(__xludf.DUMMYFUNCTION("""COMPUTED_VALUE"""),58400.0)</f>
        <v>58400</v>
      </c>
      <c r="D1213" s="1">
        <f>IFERROR(__xludf.DUMMYFUNCTION("""COMPUTED_VALUE"""),56600.0)</f>
        <v>56600</v>
      </c>
      <c r="E1213" s="1">
        <f>IFERROR(__xludf.DUMMYFUNCTION("""COMPUTED_VALUE"""),57000.0)</f>
        <v>57000</v>
      </c>
      <c r="F1213" s="1">
        <f>IFERROR(__xludf.DUMMYFUNCTION("""COMPUTED_VALUE"""),12935.0)</f>
        <v>12935</v>
      </c>
    </row>
    <row r="1214">
      <c r="A1214" s="2">
        <f>IFERROR(__xludf.DUMMYFUNCTION("""COMPUTED_VALUE"""),42706.64583333333)</f>
        <v>42706.64583</v>
      </c>
      <c r="B1214" s="1">
        <f>IFERROR(__xludf.DUMMYFUNCTION("""COMPUTED_VALUE"""),57500.0)</f>
        <v>57500</v>
      </c>
      <c r="C1214" s="1">
        <f>IFERROR(__xludf.DUMMYFUNCTION("""COMPUTED_VALUE"""),57500.0)</f>
        <v>57500</v>
      </c>
      <c r="D1214" s="1">
        <f>IFERROR(__xludf.DUMMYFUNCTION("""COMPUTED_VALUE"""),56600.0)</f>
        <v>56600</v>
      </c>
      <c r="E1214" s="1">
        <f>IFERROR(__xludf.DUMMYFUNCTION("""COMPUTED_VALUE"""),56800.0)</f>
        <v>56800</v>
      </c>
      <c r="F1214" s="1">
        <f>IFERROR(__xludf.DUMMYFUNCTION("""COMPUTED_VALUE"""),15503.0)</f>
        <v>15503</v>
      </c>
    </row>
    <row r="1215">
      <c r="A1215" s="2">
        <f>IFERROR(__xludf.DUMMYFUNCTION("""COMPUTED_VALUE"""),42709.64583333333)</f>
        <v>42709.64583</v>
      </c>
      <c r="B1215" s="1">
        <f>IFERROR(__xludf.DUMMYFUNCTION("""COMPUTED_VALUE"""),56500.0)</f>
        <v>56500</v>
      </c>
      <c r="C1215" s="1">
        <f>IFERROR(__xludf.DUMMYFUNCTION("""COMPUTED_VALUE"""),57100.0)</f>
        <v>57100</v>
      </c>
      <c r="D1215" s="1">
        <f>IFERROR(__xludf.DUMMYFUNCTION("""COMPUTED_VALUE"""),56100.0)</f>
        <v>56100</v>
      </c>
      <c r="E1215" s="1">
        <f>IFERROR(__xludf.DUMMYFUNCTION("""COMPUTED_VALUE"""),56700.0)</f>
        <v>56700</v>
      </c>
      <c r="F1215" s="1">
        <f>IFERROR(__xludf.DUMMYFUNCTION("""COMPUTED_VALUE"""),4358.0)</f>
        <v>4358</v>
      </c>
    </row>
    <row r="1216">
      <c r="A1216" s="2">
        <f>IFERROR(__xludf.DUMMYFUNCTION("""COMPUTED_VALUE"""),42710.64583333333)</f>
        <v>42710.64583</v>
      </c>
      <c r="B1216" s="1">
        <f>IFERROR(__xludf.DUMMYFUNCTION("""COMPUTED_VALUE"""),56200.0)</f>
        <v>56200</v>
      </c>
      <c r="C1216" s="1">
        <f>IFERROR(__xludf.DUMMYFUNCTION("""COMPUTED_VALUE"""),56900.0)</f>
        <v>56900</v>
      </c>
      <c r="D1216" s="1">
        <f>IFERROR(__xludf.DUMMYFUNCTION("""COMPUTED_VALUE"""),56200.0)</f>
        <v>56200</v>
      </c>
      <c r="E1216" s="1">
        <f>IFERROR(__xludf.DUMMYFUNCTION("""COMPUTED_VALUE"""),56900.0)</f>
        <v>56900</v>
      </c>
      <c r="F1216" s="1">
        <f>IFERROR(__xludf.DUMMYFUNCTION("""COMPUTED_VALUE"""),3498.0)</f>
        <v>3498</v>
      </c>
    </row>
    <row r="1217">
      <c r="A1217" s="2">
        <f>IFERROR(__xludf.DUMMYFUNCTION("""COMPUTED_VALUE"""),42711.64583333333)</f>
        <v>42711.64583</v>
      </c>
      <c r="B1217" s="1">
        <f>IFERROR(__xludf.DUMMYFUNCTION("""COMPUTED_VALUE"""),56800.0)</f>
        <v>56800</v>
      </c>
      <c r="C1217" s="1">
        <f>IFERROR(__xludf.DUMMYFUNCTION("""COMPUTED_VALUE"""),56800.0)</f>
        <v>56800</v>
      </c>
      <c r="D1217" s="1">
        <f>IFERROR(__xludf.DUMMYFUNCTION("""COMPUTED_VALUE"""),55400.0)</f>
        <v>55400</v>
      </c>
      <c r="E1217" s="1">
        <f>IFERROR(__xludf.DUMMYFUNCTION("""COMPUTED_VALUE"""),55700.0)</f>
        <v>55700</v>
      </c>
      <c r="F1217" s="1">
        <f>IFERROR(__xludf.DUMMYFUNCTION("""COMPUTED_VALUE"""),7623.0)</f>
        <v>7623</v>
      </c>
    </row>
    <row r="1218">
      <c r="A1218" s="2">
        <f>IFERROR(__xludf.DUMMYFUNCTION("""COMPUTED_VALUE"""),42712.64583333333)</f>
        <v>42712.64583</v>
      </c>
      <c r="B1218" s="1">
        <f>IFERROR(__xludf.DUMMYFUNCTION("""COMPUTED_VALUE"""),55700.0)</f>
        <v>55700</v>
      </c>
      <c r="C1218" s="1">
        <f>IFERROR(__xludf.DUMMYFUNCTION("""COMPUTED_VALUE"""),56000.0)</f>
        <v>56000</v>
      </c>
      <c r="D1218" s="1">
        <f>IFERROR(__xludf.DUMMYFUNCTION("""COMPUTED_VALUE"""),55300.0)</f>
        <v>55300</v>
      </c>
      <c r="E1218" s="1">
        <f>IFERROR(__xludf.DUMMYFUNCTION("""COMPUTED_VALUE"""),56000.0)</f>
        <v>56000</v>
      </c>
      <c r="F1218" s="1">
        <f>IFERROR(__xludf.DUMMYFUNCTION("""COMPUTED_VALUE"""),10851.0)</f>
        <v>10851</v>
      </c>
    </row>
    <row r="1219">
      <c r="A1219" s="2">
        <f>IFERROR(__xludf.DUMMYFUNCTION("""COMPUTED_VALUE"""),42713.64583333333)</f>
        <v>42713.64583</v>
      </c>
      <c r="B1219" s="1">
        <f>IFERROR(__xludf.DUMMYFUNCTION("""COMPUTED_VALUE"""),56100.0)</f>
        <v>56100</v>
      </c>
      <c r="C1219" s="1">
        <f>IFERROR(__xludf.DUMMYFUNCTION("""COMPUTED_VALUE"""),56100.0)</f>
        <v>56100</v>
      </c>
      <c r="D1219" s="1">
        <f>IFERROR(__xludf.DUMMYFUNCTION("""COMPUTED_VALUE"""),55100.0)</f>
        <v>55100</v>
      </c>
      <c r="E1219" s="1">
        <f>IFERROR(__xludf.DUMMYFUNCTION("""COMPUTED_VALUE"""),55600.0)</f>
        <v>55600</v>
      </c>
      <c r="F1219" s="1">
        <f>IFERROR(__xludf.DUMMYFUNCTION("""COMPUTED_VALUE"""),11515.0)</f>
        <v>11515</v>
      </c>
    </row>
    <row r="1220">
      <c r="A1220" s="2">
        <f>IFERROR(__xludf.DUMMYFUNCTION("""COMPUTED_VALUE"""),42716.64583333333)</f>
        <v>42716.64583</v>
      </c>
      <c r="B1220" s="1">
        <f>IFERROR(__xludf.DUMMYFUNCTION("""COMPUTED_VALUE"""),55800.0)</f>
        <v>55800</v>
      </c>
      <c r="C1220" s="1">
        <f>IFERROR(__xludf.DUMMYFUNCTION("""COMPUTED_VALUE"""),56200.0)</f>
        <v>56200</v>
      </c>
      <c r="D1220" s="1">
        <f>IFERROR(__xludf.DUMMYFUNCTION("""COMPUTED_VALUE"""),55600.0)</f>
        <v>55600</v>
      </c>
      <c r="E1220" s="1">
        <f>IFERROR(__xludf.DUMMYFUNCTION("""COMPUTED_VALUE"""),55900.0)</f>
        <v>55900</v>
      </c>
      <c r="F1220" s="1">
        <f>IFERROR(__xludf.DUMMYFUNCTION("""COMPUTED_VALUE"""),4754.0)</f>
        <v>4754</v>
      </c>
    </row>
    <row r="1221">
      <c r="A1221" s="2">
        <f>IFERROR(__xludf.DUMMYFUNCTION("""COMPUTED_VALUE"""),42717.64583333333)</f>
        <v>42717.64583</v>
      </c>
      <c r="B1221" s="1">
        <f>IFERROR(__xludf.DUMMYFUNCTION("""COMPUTED_VALUE"""),55500.0)</f>
        <v>55500</v>
      </c>
      <c r="C1221" s="1">
        <f>IFERROR(__xludf.DUMMYFUNCTION("""COMPUTED_VALUE"""),56600.0)</f>
        <v>56600</v>
      </c>
      <c r="D1221" s="1">
        <f>IFERROR(__xludf.DUMMYFUNCTION("""COMPUTED_VALUE"""),55300.0)</f>
        <v>55300</v>
      </c>
      <c r="E1221" s="1">
        <f>IFERROR(__xludf.DUMMYFUNCTION("""COMPUTED_VALUE"""),55700.0)</f>
        <v>55700</v>
      </c>
      <c r="F1221" s="1">
        <f>IFERROR(__xludf.DUMMYFUNCTION("""COMPUTED_VALUE"""),10959.0)</f>
        <v>10959</v>
      </c>
    </row>
    <row r="1222">
      <c r="A1222" s="2">
        <f>IFERROR(__xludf.DUMMYFUNCTION("""COMPUTED_VALUE"""),42718.64583333333)</f>
        <v>42718.64583</v>
      </c>
      <c r="B1222" s="1">
        <f>IFERROR(__xludf.DUMMYFUNCTION("""COMPUTED_VALUE"""),55900.0)</f>
        <v>55900</v>
      </c>
      <c r="C1222" s="1">
        <f>IFERROR(__xludf.DUMMYFUNCTION("""COMPUTED_VALUE"""),56000.0)</f>
        <v>56000</v>
      </c>
      <c r="D1222" s="1">
        <f>IFERROR(__xludf.DUMMYFUNCTION("""COMPUTED_VALUE"""),55000.0)</f>
        <v>55000</v>
      </c>
      <c r="E1222" s="1">
        <f>IFERROR(__xludf.DUMMYFUNCTION("""COMPUTED_VALUE"""),55700.0)</f>
        <v>55700</v>
      </c>
      <c r="F1222" s="1">
        <f>IFERROR(__xludf.DUMMYFUNCTION("""COMPUTED_VALUE"""),18847.0)</f>
        <v>18847</v>
      </c>
    </row>
    <row r="1223">
      <c r="A1223" s="2">
        <f>IFERROR(__xludf.DUMMYFUNCTION("""COMPUTED_VALUE"""),42719.64583333333)</f>
        <v>42719.64583</v>
      </c>
      <c r="B1223" s="1">
        <f>IFERROR(__xludf.DUMMYFUNCTION("""COMPUTED_VALUE"""),55700.0)</f>
        <v>55700</v>
      </c>
      <c r="C1223" s="1">
        <f>IFERROR(__xludf.DUMMYFUNCTION("""COMPUTED_VALUE"""),55800.0)</f>
        <v>55800</v>
      </c>
      <c r="D1223" s="1">
        <f>IFERROR(__xludf.DUMMYFUNCTION("""COMPUTED_VALUE"""),55300.0)</f>
        <v>55300</v>
      </c>
      <c r="E1223" s="1">
        <f>IFERROR(__xludf.DUMMYFUNCTION("""COMPUTED_VALUE"""),55800.0)</f>
        <v>55800</v>
      </c>
      <c r="F1223" s="1">
        <f>IFERROR(__xludf.DUMMYFUNCTION("""COMPUTED_VALUE"""),6453.0)</f>
        <v>6453</v>
      </c>
    </row>
    <row r="1224">
      <c r="A1224" s="2">
        <f>IFERROR(__xludf.DUMMYFUNCTION("""COMPUTED_VALUE"""),42720.64583333333)</f>
        <v>42720.64583</v>
      </c>
      <c r="B1224" s="1">
        <f>IFERROR(__xludf.DUMMYFUNCTION("""COMPUTED_VALUE"""),55900.0)</f>
        <v>55900</v>
      </c>
      <c r="C1224" s="1">
        <f>IFERROR(__xludf.DUMMYFUNCTION("""COMPUTED_VALUE"""),56100.0)</f>
        <v>56100</v>
      </c>
      <c r="D1224" s="1">
        <f>IFERROR(__xludf.DUMMYFUNCTION("""COMPUTED_VALUE"""),55500.0)</f>
        <v>55500</v>
      </c>
      <c r="E1224" s="1">
        <f>IFERROR(__xludf.DUMMYFUNCTION("""COMPUTED_VALUE"""),56000.0)</f>
        <v>56000</v>
      </c>
      <c r="F1224" s="1">
        <f>IFERROR(__xludf.DUMMYFUNCTION("""COMPUTED_VALUE"""),14462.0)</f>
        <v>14462</v>
      </c>
    </row>
    <row r="1225">
      <c r="A1225" s="2">
        <f>IFERROR(__xludf.DUMMYFUNCTION("""COMPUTED_VALUE"""),42723.64583333333)</f>
        <v>42723.64583</v>
      </c>
      <c r="B1225" s="1">
        <f>IFERROR(__xludf.DUMMYFUNCTION("""COMPUTED_VALUE"""),56100.0)</f>
        <v>56100</v>
      </c>
      <c r="C1225" s="1">
        <f>IFERROR(__xludf.DUMMYFUNCTION("""COMPUTED_VALUE"""),56600.0)</f>
        <v>56600</v>
      </c>
      <c r="D1225" s="1">
        <f>IFERROR(__xludf.DUMMYFUNCTION("""COMPUTED_VALUE"""),55800.0)</f>
        <v>55800</v>
      </c>
      <c r="E1225" s="1">
        <f>IFERROR(__xludf.DUMMYFUNCTION("""COMPUTED_VALUE"""),56400.0)</f>
        <v>56400</v>
      </c>
      <c r="F1225" s="1">
        <f>IFERROR(__xludf.DUMMYFUNCTION("""COMPUTED_VALUE"""),12131.0)</f>
        <v>12131</v>
      </c>
    </row>
    <row r="1226">
      <c r="A1226" s="2">
        <f>IFERROR(__xludf.DUMMYFUNCTION("""COMPUTED_VALUE"""),42724.64583333333)</f>
        <v>42724.64583</v>
      </c>
      <c r="B1226" s="1">
        <f>IFERROR(__xludf.DUMMYFUNCTION("""COMPUTED_VALUE"""),56500.0)</f>
        <v>56500</v>
      </c>
      <c r="C1226" s="1">
        <f>IFERROR(__xludf.DUMMYFUNCTION("""COMPUTED_VALUE"""),56900.0)</f>
        <v>56900</v>
      </c>
      <c r="D1226" s="1">
        <f>IFERROR(__xludf.DUMMYFUNCTION("""COMPUTED_VALUE"""),55900.0)</f>
        <v>55900</v>
      </c>
      <c r="E1226" s="1">
        <f>IFERROR(__xludf.DUMMYFUNCTION("""COMPUTED_VALUE"""),56700.0)</f>
        <v>56700</v>
      </c>
      <c r="F1226" s="1">
        <f>IFERROR(__xludf.DUMMYFUNCTION("""COMPUTED_VALUE"""),36308.0)</f>
        <v>36308</v>
      </c>
    </row>
    <row r="1227">
      <c r="A1227" s="2">
        <f>IFERROR(__xludf.DUMMYFUNCTION("""COMPUTED_VALUE"""),42725.64583333333)</f>
        <v>42725.64583</v>
      </c>
      <c r="B1227" s="1">
        <f>IFERROR(__xludf.DUMMYFUNCTION("""COMPUTED_VALUE"""),56700.0)</f>
        <v>56700</v>
      </c>
      <c r="C1227" s="1">
        <f>IFERROR(__xludf.DUMMYFUNCTION("""COMPUTED_VALUE"""),57100.0)</f>
        <v>57100</v>
      </c>
      <c r="D1227" s="1">
        <f>IFERROR(__xludf.DUMMYFUNCTION("""COMPUTED_VALUE"""),56500.0)</f>
        <v>56500</v>
      </c>
      <c r="E1227" s="1">
        <f>IFERROR(__xludf.DUMMYFUNCTION("""COMPUTED_VALUE"""),56900.0)</f>
        <v>56900</v>
      </c>
      <c r="F1227" s="1">
        <f>IFERROR(__xludf.DUMMYFUNCTION("""COMPUTED_VALUE"""),34356.0)</f>
        <v>34356</v>
      </c>
    </row>
    <row r="1228">
      <c r="A1228" s="2">
        <f>IFERROR(__xludf.DUMMYFUNCTION("""COMPUTED_VALUE"""),42726.64583333333)</f>
        <v>42726.64583</v>
      </c>
      <c r="B1228" s="1">
        <f>IFERROR(__xludf.DUMMYFUNCTION("""COMPUTED_VALUE"""),57200.0)</f>
        <v>57200</v>
      </c>
      <c r="C1228" s="1">
        <f>IFERROR(__xludf.DUMMYFUNCTION("""COMPUTED_VALUE"""),57600.0)</f>
        <v>57600</v>
      </c>
      <c r="D1228" s="1">
        <f>IFERROR(__xludf.DUMMYFUNCTION("""COMPUTED_VALUE"""),56800.0)</f>
        <v>56800</v>
      </c>
      <c r="E1228" s="1">
        <f>IFERROR(__xludf.DUMMYFUNCTION("""COMPUTED_VALUE"""),57500.0)</f>
        <v>57500</v>
      </c>
      <c r="F1228" s="1">
        <f>IFERROR(__xludf.DUMMYFUNCTION("""COMPUTED_VALUE"""),19268.0)</f>
        <v>19268</v>
      </c>
    </row>
    <row r="1229">
      <c r="A1229" s="2">
        <f>IFERROR(__xludf.DUMMYFUNCTION("""COMPUTED_VALUE"""),42727.64583333333)</f>
        <v>42727.64583</v>
      </c>
      <c r="B1229" s="1">
        <f>IFERROR(__xludf.DUMMYFUNCTION("""COMPUTED_VALUE"""),57700.0)</f>
        <v>57700</v>
      </c>
      <c r="C1229" s="1">
        <f>IFERROR(__xludf.DUMMYFUNCTION("""COMPUTED_VALUE"""),57800.0)</f>
        <v>57800</v>
      </c>
      <c r="D1229" s="1">
        <f>IFERROR(__xludf.DUMMYFUNCTION("""COMPUTED_VALUE"""),57200.0)</f>
        <v>57200</v>
      </c>
      <c r="E1229" s="1">
        <f>IFERROR(__xludf.DUMMYFUNCTION("""COMPUTED_VALUE"""),57800.0)</f>
        <v>57800</v>
      </c>
      <c r="F1229" s="1">
        <f>IFERROR(__xludf.DUMMYFUNCTION("""COMPUTED_VALUE"""),29268.0)</f>
        <v>29268</v>
      </c>
    </row>
    <row r="1230">
      <c r="A1230" s="2">
        <f>IFERROR(__xludf.DUMMYFUNCTION("""COMPUTED_VALUE"""),42730.64583333333)</f>
        <v>42730.64583</v>
      </c>
      <c r="B1230" s="1">
        <f>IFERROR(__xludf.DUMMYFUNCTION("""COMPUTED_VALUE"""),57900.0)</f>
        <v>57900</v>
      </c>
      <c r="C1230" s="1">
        <f>IFERROR(__xludf.DUMMYFUNCTION("""COMPUTED_VALUE"""),58200.0)</f>
        <v>58200</v>
      </c>
      <c r="D1230" s="1">
        <f>IFERROR(__xludf.DUMMYFUNCTION("""COMPUTED_VALUE"""),57600.0)</f>
        <v>57600</v>
      </c>
      <c r="E1230" s="1">
        <f>IFERROR(__xludf.DUMMYFUNCTION("""COMPUTED_VALUE"""),57800.0)</f>
        <v>57800</v>
      </c>
      <c r="F1230" s="1">
        <f>IFERROR(__xludf.DUMMYFUNCTION("""COMPUTED_VALUE"""),34285.0)</f>
        <v>34285</v>
      </c>
    </row>
    <row r="1231">
      <c r="A1231" s="2">
        <f>IFERROR(__xludf.DUMMYFUNCTION("""COMPUTED_VALUE"""),42731.64583333333)</f>
        <v>42731.64583</v>
      </c>
      <c r="B1231" s="1">
        <f>IFERROR(__xludf.DUMMYFUNCTION("""COMPUTED_VALUE"""),57900.0)</f>
        <v>57900</v>
      </c>
      <c r="C1231" s="1">
        <f>IFERROR(__xludf.DUMMYFUNCTION("""COMPUTED_VALUE"""),57900.0)</f>
        <v>57900</v>
      </c>
      <c r="D1231" s="1">
        <f>IFERROR(__xludf.DUMMYFUNCTION("""COMPUTED_VALUE"""),57200.0)</f>
        <v>57200</v>
      </c>
      <c r="E1231" s="1">
        <f>IFERROR(__xludf.DUMMYFUNCTION("""COMPUTED_VALUE"""),57500.0)</f>
        <v>57500</v>
      </c>
      <c r="F1231" s="1">
        <f>IFERROR(__xludf.DUMMYFUNCTION("""COMPUTED_VALUE"""),34882.0)</f>
        <v>34882</v>
      </c>
    </row>
    <row r="1232">
      <c r="A1232" s="2">
        <f>IFERROR(__xludf.DUMMYFUNCTION("""COMPUTED_VALUE"""),42732.64583333333)</f>
        <v>42732.64583</v>
      </c>
      <c r="B1232" s="1">
        <f>IFERROR(__xludf.DUMMYFUNCTION("""COMPUTED_VALUE"""),55000.0)</f>
        <v>55000</v>
      </c>
      <c r="C1232" s="1">
        <f>IFERROR(__xludf.DUMMYFUNCTION("""COMPUTED_VALUE"""),57200.0)</f>
        <v>57200</v>
      </c>
      <c r="D1232" s="1">
        <f>IFERROR(__xludf.DUMMYFUNCTION("""COMPUTED_VALUE"""),54800.0)</f>
        <v>54800</v>
      </c>
      <c r="E1232" s="1">
        <f>IFERROR(__xludf.DUMMYFUNCTION("""COMPUTED_VALUE"""),56600.0)</f>
        <v>56600</v>
      </c>
      <c r="F1232" s="1">
        <f>IFERROR(__xludf.DUMMYFUNCTION("""COMPUTED_VALUE"""),27317.0)</f>
        <v>27317</v>
      </c>
    </row>
    <row r="1233">
      <c r="A1233" s="2">
        <f>IFERROR(__xludf.DUMMYFUNCTION("""COMPUTED_VALUE"""),42733.64583333333)</f>
        <v>42733.64583</v>
      </c>
      <c r="B1233" s="1">
        <f>IFERROR(__xludf.DUMMYFUNCTION("""COMPUTED_VALUE"""),56400.0)</f>
        <v>56400</v>
      </c>
      <c r="C1233" s="1">
        <f>IFERROR(__xludf.DUMMYFUNCTION("""COMPUTED_VALUE"""),56600.0)</f>
        <v>56600</v>
      </c>
      <c r="D1233" s="1">
        <f>IFERROR(__xludf.DUMMYFUNCTION("""COMPUTED_VALUE"""),55400.0)</f>
        <v>55400</v>
      </c>
      <c r="E1233" s="1">
        <f>IFERROR(__xludf.DUMMYFUNCTION("""COMPUTED_VALUE"""),56000.0)</f>
        <v>56000</v>
      </c>
      <c r="F1233" s="1">
        <f>IFERROR(__xludf.DUMMYFUNCTION("""COMPUTED_VALUE"""),9960.0)</f>
        <v>9960</v>
      </c>
    </row>
    <row r="1234">
      <c r="A1234" s="2">
        <f>IFERROR(__xludf.DUMMYFUNCTION("""COMPUTED_VALUE"""),42737.64583333333)</f>
        <v>42737.64583</v>
      </c>
      <c r="B1234" s="1">
        <f>IFERROR(__xludf.DUMMYFUNCTION("""COMPUTED_VALUE"""),56000.0)</f>
        <v>56000</v>
      </c>
      <c r="C1234" s="1">
        <f>IFERROR(__xludf.DUMMYFUNCTION("""COMPUTED_VALUE"""),56000.0)</f>
        <v>56000</v>
      </c>
      <c r="D1234" s="1">
        <f>IFERROR(__xludf.DUMMYFUNCTION("""COMPUTED_VALUE"""),55000.0)</f>
        <v>55000</v>
      </c>
      <c r="E1234" s="1">
        <f>IFERROR(__xludf.DUMMYFUNCTION("""COMPUTED_VALUE"""),55200.0)</f>
        <v>55200</v>
      </c>
      <c r="F1234" s="1">
        <f>IFERROR(__xludf.DUMMYFUNCTION("""COMPUTED_VALUE"""),11079.0)</f>
        <v>11079</v>
      </c>
    </row>
    <row r="1235">
      <c r="A1235" s="2">
        <f>IFERROR(__xludf.DUMMYFUNCTION("""COMPUTED_VALUE"""),42738.64583333333)</f>
        <v>42738.64583</v>
      </c>
      <c r="B1235" s="1">
        <f>IFERROR(__xludf.DUMMYFUNCTION("""COMPUTED_VALUE"""),55000.0)</f>
        <v>55000</v>
      </c>
      <c r="C1235" s="1">
        <f>IFERROR(__xludf.DUMMYFUNCTION("""COMPUTED_VALUE"""),56100.0)</f>
        <v>56100</v>
      </c>
      <c r="D1235" s="1">
        <f>IFERROR(__xludf.DUMMYFUNCTION("""COMPUTED_VALUE"""),55000.0)</f>
        <v>55000</v>
      </c>
      <c r="E1235" s="1">
        <f>IFERROR(__xludf.DUMMYFUNCTION("""COMPUTED_VALUE"""),56000.0)</f>
        <v>56000</v>
      </c>
      <c r="F1235" s="1">
        <f>IFERROR(__xludf.DUMMYFUNCTION("""COMPUTED_VALUE"""),9909.0)</f>
        <v>9909</v>
      </c>
    </row>
    <row r="1236">
      <c r="A1236" s="2">
        <f>IFERROR(__xludf.DUMMYFUNCTION("""COMPUTED_VALUE"""),42739.64583333333)</f>
        <v>42739.64583</v>
      </c>
      <c r="B1236" s="1">
        <f>IFERROR(__xludf.DUMMYFUNCTION("""COMPUTED_VALUE"""),55900.0)</f>
        <v>55900</v>
      </c>
      <c r="C1236" s="1">
        <f>IFERROR(__xludf.DUMMYFUNCTION("""COMPUTED_VALUE"""),56100.0)</f>
        <v>56100</v>
      </c>
      <c r="D1236" s="1">
        <f>IFERROR(__xludf.DUMMYFUNCTION("""COMPUTED_VALUE"""),55300.0)</f>
        <v>55300</v>
      </c>
      <c r="E1236" s="1">
        <f>IFERROR(__xludf.DUMMYFUNCTION("""COMPUTED_VALUE"""),55900.0)</f>
        <v>55900</v>
      </c>
      <c r="F1236" s="1">
        <f>IFERROR(__xludf.DUMMYFUNCTION("""COMPUTED_VALUE"""),5727.0)</f>
        <v>5727</v>
      </c>
    </row>
    <row r="1237">
      <c r="A1237" s="2">
        <f>IFERROR(__xludf.DUMMYFUNCTION("""COMPUTED_VALUE"""),42740.64583333333)</f>
        <v>42740.64583</v>
      </c>
      <c r="B1237" s="1">
        <f>IFERROR(__xludf.DUMMYFUNCTION("""COMPUTED_VALUE"""),56000.0)</f>
        <v>56000</v>
      </c>
      <c r="C1237" s="1">
        <f>IFERROR(__xludf.DUMMYFUNCTION("""COMPUTED_VALUE"""),56000.0)</f>
        <v>56000</v>
      </c>
      <c r="D1237" s="1">
        <f>IFERROR(__xludf.DUMMYFUNCTION("""COMPUTED_VALUE"""),54500.0)</f>
        <v>54500</v>
      </c>
      <c r="E1237" s="1">
        <f>IFERROR(__xludf.DUMMYFUNCTION("""COMPUTED_VALUE"""),55000.0)</f>
        <v>55000</v>
      </c>
      <c r="F1237" s="1">
        <f>IFERROR(__xludf.DUMMYFUNCTION("""COMPUTED_VALUE"""),9892.0)</f>
        <v>9892</v>
      </c>
    </row>
    <row r="1238">
      <c r="A1238" s="2">
        <f>IFERROR(__xludf.DUMMYFUNCTION("""COMPUTED_VALUE"""),42741.64583333333)</f>
        <v>42741.64583</v>
      </c>
      <c r="B1238" s="1">
        <f>IFERROR(__xludf.DUMMYFUNCTION("""COMPUTED_VALUE"""),55000.0)</f>
        <v>55000</v>
      </c>
      <c r="C1238" s="1">
        <f>IFERROR(__xludf.DUMMYFUNCTION("""COMPUTED_VALUE"""),55700.0)</f>
        <v>55700</v>
      </c>
      <c r="D1238" s="1">
        <f>IFERROR(__xludf.DUMMYFUNCTION("""COMPUTED_VALUE"""),54800.0)</f>
        <v>54800</v>
      </c>
      <c r="E1238" s="1">
        <f>IFERROR(__xludf.DUMMYFUNCTION("""COMPUTED_VALUE"""),55500.0)</f>
        <v>55500</v>
      </c>
      <c r="F1238" s="1">
        <f>IFERROR(__xludf.DUMMYFUNCTION("""COMPUTED_VALUE"""),6981.0)</f>
        <v>6981</v>
      </c>
    </row>
    <row r="1239">
      <c r="A1239" s="2">
        <f>IFERROR(__xludf.DUMMYFUNCTION("""COMPUTED_VALUE"""),42744.64583333333)</f>
        <v>42744.64583</v>
      </c>
      <c r="B1239" s="1">
        <f>IFERROR(__xludf.DUMMYFUNCTION("""COMPUTED_VALUE"""),55600.0)</f>
        <v>55600</v>
      </c>
      <c r="C1239" s="1">
        <f>IFERROR(__xludf.DUMMYFUNCTION("""COMPUTED_VALUE"""),55600.0)</f>
        <v>55600</v>
      </c>
      <c r="D1239" s="1">
        <f>IFERROR(__xludf.DUMMYFUNCTION("""COMPUTED_VALUE"""),54800.0)</f>
        <v>54800</v>
      </c>
      <c r="E1239" s="1">
        <f>IFERROR(__xludf.DUMMYFUNCTION("""COMPUTED_VALUE"""),55200.0)</f>
        <v>55200</v>
      </c>
      <c r="F1239" s="1">
        <f>IFERROR(__xludf.DUMMYFUNCTION("""COMPUTED_VALUE"""),3472.0)</f>
        <v>3472</v>
      </c>
    </row>
    <row r="1240">
      <c r="A1240" s="2">
        <f>IFERROR(__xludf.DUMMYFUNCTION("""COMPUTED_VALUE"""),42745.64583333333)</f>
        <v>42745.64583</v>
      </c>
      <c r="B1240" s="1">
        <f>IFERROR(__xludf.DUMMYFUNCTION("""COMPUTED_VALUE"""),55200.0)</f>
        <v>55200</v>
      </c>
      <c r="C1240" s="1">
        <f>IFERROR(__xludf.DUMMYFUNCTION("""COMPUTED_VALUE"""),55200.0)</f>
        <v>55200</v>
      </c>
      <c r="D1240" s="1">
        <f>IFERROR(__xludf.DUMMYFUNCTION("""COMPUTED_VALUE"""),54500.0)</f>
        <v>54500</v>
      </c>
      <c r="E1240" s="1">
        <f>IFERROR(__xludf.DUMMYFUNCTION("""COMPUTED_VALUE"""),54900.0)</f>
        <v>54900</v>
      </c>
      <c r="F1240" s="1">
        <f>IFERROR(__xludf.DUMMYFUNCTION("""COMPUTED_VALUE"""),9361.0)</f>
        <v>9361</v>
      </c>
    </row>
    <row r="1241">
      <c r="A1241" s="2">
        <f>IFERROR(__xludf.DUMMYFUNCTION("""COMPUTED_VALUE"""),42746.64583333333)</f>
        <v>42746.64583</v>
      </c>
      <c r="B1241" s="1">
        <f>IFERROR(__xludf.DUMMYFUNCTION("""COMPUTED_VALUE"""),55100.0)</f>
        <v>55100</v>
      </c>
      <c r="C1241" s="1">
        <f>IFERROR(__xludf.DUMMYFUNCTION("""COMPUTED_VALUE"""),55200.0)</f>
        <v>55200</v>
      </c>
      <c r="D1241" s="1">
        <f>IFERROR(__xludf.DUMMYFUNCTION("""COMPUTED_VALUE"""),54500.0)</f>
        <v>54500</v>
      </c>
      <c r="E1241" s="1">
        <f>IFERROR(__xludf.DUMMYFUNCTION("""COMPUTED_VALUE"""),55100.0)</f>
        <v>55100</v>
      </c>
      <c r="F1241" s="1">
        <f>IFERROR(__xludf.DUMMYFUNCTION("""COMPUTED_VALUE"""),8815.0)</f>
        <v>8815</v>
      </c>
    </row>
    <row r="1242">
      <c r="A1242" s="2">
        <f>IFERROR(__xludf.DUMMYFUNCTION("""COMPUTED_VALUE"""),42747.64583333333)</f>
        <v>42747.64583</v>
      </c>
      <c r="B1242" s="1">
        <f>IFERROR(__xludf.DUMMYFUNCTION("""COMPUTED_VALUE"""),55400.0)</f>
        <v>55400</v>
      </c>
      <c r="C1242" s="1">
        <f>IFERROR(__xludf.DUMMYFUNCTION("""COMPUTED_VALUE"""),55500.0)</f>
        <v>55500</v>
      </c>
      <c r="D1242" s="1">
        <f>IFERROR(__xludf.DUMMYFUNCTION("""COMPUTED_VALUE"""),55100.0)</f>
        <v>55100</v>
      </c>
      <c r="E1242" s="1">
        <f>IFERROR(__xludf.DUMMYFUNCTION("""COMPUTED_VALUE"""),55500.0)</f>
        <v>55500</v>
      </c>
      <c r="F1242" s="1">
        <f>IFERROR(__xludf.DUMMYFUNCTION("""COMPUTED_VALUE"""),4143.0)</f>
        <v>4143</v>
      </c>
    </row>
    <row r="1243">
      <c r="A1243" s="2">
        <f>IFERROR(__xludf.DUMMYFUNCTION("""COMPUTED_VALUE"""),42748.64583333333)</f>
        <v>42748.64583</v>
      </c>
      <c r="B1243" s="1">
        <f>IFERROR(__xludf.DUMMYFUNCTION("""COMPUTED_VALUE"""),55300.0)</f>
        <v>55300</v>
      </c>
      <c r="C1243" s="1">
        <f>IFERROR(__xludf.DUMMYFUNCTION("""COMPUTED_VALUE"""),55700.0)</f>
        <v>55700</v>
      </c>
      <c r="D1243" s="1">
        <f>IFERROR(__xludf.DUMMYFUNCTION("""COMPUTED_VALUE"""),55200.0)</f>
        <v>55200</v>
      </c>
      <c r="E1243" s="1">
        <f>IFERROR(__xludf.DUMMYFUNCTION("""COMPUTED_VALUE"""),55700.0)</f>
        <v>55700</v>
      </c>
      <c r="F1243" s="1">
        <f>IFERROR(__xludf.DUMMYFUNCTION("""COMPUTED_VALUE"""),6733.0)</f>
        <v>6733</v>
      </c>
    </row>
    <row r="1244">
      <c r="A1244" s="2">
        <f>IFERROR(__xludf.DUMMYFUNCTION("""COMPUTED_VALUE"""),42751.64583333333)</f>
        <v>42751.64583</v>
      </c>
      <c r="B1244" s="1">
        <f>IFERROR(__xludf.DUMMYFUNCTION("""COMPUTED_VALUE"""),55700.0)</f>
        <v>55700</v>
      </c>
      <c r="C1244" s="1">
        <f>IFERROR(__xludf.DUMMYFUNCTION("""COMPUTED_VALUE"""),55800.0)</f>
        <v>55800</v>
      </c>
      <c r="D1244" s="1">
        <f>IFERROR(__xludf.DUMMYFUNCTION("""COMPUTED_VALUE"""),55400.0)</f>
        <v>55400</v>
      </c>
      <c r="E1244" s="1">
        <f>IFERROR(__xludf.DUMMYFUNCTION("""COMPUTED_VALUE"""),55700.0)</f>
        <v>55700</v>
      </c>
      <c r="F1244" s="1">
        <f>IFERROR(__xludf.DUMMYFUNCTION("""COMPUTED_VALUE"""),2648.0)</f>
        <v>2648</v>
      </c>
    </row>
    <row r="1245">
      <c r="A1245" s="2">
        <f>IFERROR(__xludf.DUMMYFUNCTION("""COMPUTED_VALUE"""),42752.64583333333)</f>
        <v>42752.64583</v>
      </c>
      <c r="B1245" s="1">
        <f>IFERROR(__xludf.DUMMYFUNCTION("""COMPUTED_VALUE"""),55500.0)</f>
        <v>55500</v>
      </c>
      <c r="C1245" s="1">
        <f>IFERROR(__xludf.DUMMYFUNCTION("""COMPUTED_VALUE"""),55800.0)</f>
        <v>55800</v>
      </c>
      <c r="D1245" s="1">
        <f>IFERROR(__xludf.DUMMYFUNCTION("""COMPUTED_VALUE"""),55300.0)</f>
        <v>55300</v>
      </c>
      <c r="E1245" s="1">
        <f>IFERROR(__xludf.DUMMYFUNCTION("""COMPUTED_VALUE"""),55800.0)</f>
        <v>55800</v>
      </c>
      <c r="F1245" s="1">
        <f>IFERROR(__xludf.DUMMYFUNCTION("""COMPUTED_VALUE"""),5681.0)</f>
        <v>5681</v>
      </c>
    </row>
    <row r="1246">
      <c r="A1246" s="2">
        <f>IFERROR(__xludf.DUMMYFUNCTION("""COMPUTED_VALUE"""),42753.64583333333)</f>
        <v>42753.64583</v>
      </c>
      <c r="B1246" s="1">
        <f>IFERROR(__xludf.DUMMYFUNCTION("""COMPUTED_VALUE"""),55800.0)</f>
        <v>55800</v>
      </c>
      <c r="C1246" s="1">
        <f>IFERROR(__xludf.DUMMYFUNCTION("""COMPUTED_VALUE"""),55800.0)</f>
        <v>55800</v>
      </c>
      <c r="D1246" s="1">
        <f>IFERROR(__xludf.DUMMYFUNCTION("""COMPUTED_VALUE"""),55500.0)</f>
        <v>55500</v>
      </c>
      <c r="E1246" s="1">
        <f>IFERROR(__xludf.DUMMYFUNCTION("""COMPUTED_VALUE"""),55800.0)</f>
        <v>55800</v>
      </c>
      <c r="F1246" s="1">
        <f>IFERROR(__xludf.DUMMYFUNCTION("""COMPUTED_VALUE"""),2671.0)</f>
        <v>2671</v>
      </c>
    </row>
    <row r="1247">
      <c r="A1247" s="2">
        <f>IFERROR(__xludf.DUMMYFUNCTION("""COMPUTED_VALUE"""),42754.64583333333)</f>
        <v>42754.64583</v>
      </c>
      <c r="B1247" s="1">
        <f>IFERROR(__xludf.DUMMYFUNCTION("""COMPUTED_VALUE"""),55800.0)</f>
        <v>55800</v>
      </c>
      <c r="C1247" s="1">
        <f>IFERROR(__xludf.DUMMYFUNCTION("""COMPUTED_VALUE"""),55800.0)</f>
        <v>55800</v>
      </c>
      <c r="D1247" s="1">
        <f>IFERROR(__xludf.DUMMYFUNCTION("""COMPUTED_VALUE"""),55400.0)</f>
        <v>55400</v>
      </c>
      <c r="E1247" s="1">
        <f>IFERROR(__xludf.DUMMYFUNCTION("""COMPUTED_VALUE"""),55400.0)</f>
        <v>55400</v>
      </c>
      <c r="F1247" s="1">
        <f>IFERROR(__xludf.DUMMYFUNCTION("""COMPUTED_VALUE"""),11820.0)</f>
        <v>11820</v>
      </c>
    </row>
    <row r="1248">
      <c r="A1248" s="2">
        <f>IFERROR(__xludf.DUMMYFUNCTION("""COMPUTED_VALUE"""),42755.64583333333)</f>
        <v>42755.64583</v>
      </c>
      <c r="B1248" s="1">
        <f>IFERROR(__xludf.DUMMYFUNCTION("""COMPUTED_VALUE"""),55400.0)</f>
        <v>55400</v>
      </c>
      <c r="C1248" s="1">
        <f>IFERROR(__xludf.DUMMYFUNCTION("""COMPUTED_VALUE"""),55700.0)</f>
        <v>55700</v>
      </c>
      <c r="D1248" s="1">
        <f>IFERROR(__xludf.DUMMYFUNCTION("""COMPUTED_VALUE"""),54600.0)</f>
        <v>54600</v>
      </c>
      <c r="E1248" s="1">
        <f>IFERROR(__xludf.DUMMYFUNCTION("""COMPUTED_VALUE"""),55300.0)</f>
        <v>55300</v>
      </c>
      <c r="F1248" s="1">
        <f>IFERROR(__xludf.DUMMYFUNCTION("""COMPUTED_VALUE"""),13392.0)</f>
        <v>13392</v>
      </c>
    </row>
    <row r="1249">
      <c r="A1249" s="2">
        <f>IFERROR(__xludf.DUMMYFUNCTION("""COMPUTED_VALUE"""),42758.64583333333)</f>
        <v>42758.64583</v>
      </c>
      <c r="B1249" s="1">
        <f>IFERROR(__xludf.DUMMYFUNCTION("""COMPUTED_VALUE"""),55400.0)</f>
        <v>55400</v>
      </c>
      <c r="C1249" s="1">
        <f>IFERROR(__xludf.DUMMYFUNCTION("""COMPUTED_VALUE"""),55500.0)</f>
        <v>55500</v>
      </c>
      <c r="D1249" s="1">
        <f>IFERROR(__xludf.DUMMYFUNCTION("""COMPUTED_VALUE"""),54800.0)</f>
        <v>54800</v>
      </c>
      <c r="E1249" s="1">
        <f>IFERROR(__xludf.DUMMYFUNCTION("""COMPUTED_VALUE"""),55000.0)</f>
        <v>55000</v>
      </c>
      <c r="F1249" s="1">
        <f>IFERROR(__xludf.DUMMYFUNCTION("""COMPUTED_VALUE"""),10415.0)</f>
        <v>10415</v>
      </c>
    </row>
    <row r="1250">
      <c r="A1250" s="2">
        <f>IFERROR(__xludf.DUMMYFUNCTION("""COMPUTED_VALUE"""),42759.64583333333)</f>
        <v>42759.64583</v>
      </c>
      <c r="B1250" s="1">
        <f>IFERROR(__xludf.DUMMYFUNCTION("""COMPUTED_VALUE"""),55300.0)</f>
        <v>55300</v>
      </c>
      <c r="C1250" s="1">
        <f>IFERROR(__xludf.DUMMYFUNCTION("""COMPUTED_VALUE"""),55300.0)</f>
        <v>55300</v>
      </c>
      <c r="D1250" s="1">
        <f>IFERROR(__xludf.DUMMYFUNCTION("""COMPUTED_VALUE"""),54400.0)</f>
        <v>54400</v>
      </c>
      <c r="E1250" s="1">
        <f>IFERROR(__xludf.DUMMYFUNCTION("""COMPUTED_VALUE"""),54600.0)</f>
        <v>54600</v>
      </c>
      <c r="F1250" s="1">
        <f>IFERROR(__xludf.DUMMYFUNCTION("""COMPUTED_VALUE"""),13348.0)</f>
        <v>13348</v>
      </c>
    </row>
    <row r="1251">
      <c r="A1251" s="2">
        <f>IFERROR(__xludf.DUMMYFUNCTION("""COMPUTED_VALUE"""),42760.64583333333)</f>
        <v>42760.64583</v>
      </c>
      <c r="B1251" s="1">
        <f>IFERROR(__xludf.DUMMYFUNCTION("""COMPUTED_VALUE"""),55200.0)</f>
        <v>55200</v>
      </c>
      <c r="C1251" s="1">
        <f>IFERROR(__xludf.DUMMYFUNCTION("""COMPUTED_VALUE"""),56200.0)</f>
        <v>56200</v>
      </c>
      <c r="D1251" s="1">
        <f>IFERROR(__xludf.DUMMYFUNCTION("""COMPUTED_VALUE"""),53700.0)</f>
        <v>53700</v>
      </c>
      <c r="E1251" s="1">
        <f>IFERROR(__xludf.DUMMYFUNCTION("""COMPUTED_VALUE"""),54400.0)</f>
        <v>54400</v>
      </c>
      <c r="F1251" s="1">
        <f>IFERROR(__xludf.DUMMYFUNCTION("""COMPUTED_VALUE"""),19870.0)</f>
        <v>19870</v>
      </c>
    </row>
    <row r="1252">
      <c r="A1252" s="2">
        <f>IFERROR(__xludf.DUMMYFUNCTION("""COMPUTED_VALUE"""),42761.64583333333)</f>
        <v>42761.64583</v>
      </c>
      <c r="B1252" s="1">
        <f>IFERROR(__xludf.DUMMYFUNCTION("""COMPUTED_VALUE"""),54500.0)</f>
        <v>54500</v>
      </c>
      <c r="C1252" s="1">
        <f>IFERROR(__xludf.DUMMYFUNCTION("""COMPUTED_VALUE"""),55000.0)</f>
        <v>55000</v>
      </c>
      <c r="D1252" s="1">
        <f>IFERROR(__xludf.DUMMYFUNCTION("""COMPUTED_VALUE"""),54200.0)</f>
        <v>54200</v>
      </c>
      <c r="E1252" s="1">
        <f>IFERROR(__xludf.DUMMYFUNCTION("""COMPUTED_VALUE"""),54800.0)</f>
        <v>54800</v>
      </c>
      <c r="F1252" s="1">
        <f>IFERROR(__xludf.DUMMYFUNCTION("""COMPUTED_VALUE"""),7246.0)</f>
        <v>7246</v>
      </c>
    </row>
    <row r="1253">
      <c r="A1253" s="2">
        <f>IFERROR(__xludf.DUMMYFUNCTION("""COMPUTED_VALUE"""),42766.64583333333)</f>
        <v>42766.64583</v>
      </c>
      <c r="B1253" s="1">
        <f>IFERROR(__xludf.DUMMYFUNCTION("""COMPUTED_VALUE"""),54900.0)</f>
        <v>54900</v>
      </c>
      <c r="C1253" s="1">
        <f>IFERROR(__xludf.DUMMYFUNCTION("""COMPUTED_VALUE"""),54900.0)</f>
        <v>54900</v>
      </c>
      <c r="D1253" s="1">
        <f>IFERROR(__xludf.DUMMYFUNCTION("""COMPUTED_VALUE"""),53900.0)</f>
        <v>53900</v>
      </c>
      <c r="E1253" s="1">
        <f>IFERROR(__xludf.DUMMYFUNCTION("""COMPUTED_VALUE"""),54500.0)</f>
        <v>54500</v>
      </c>
      <c r="F1253" s="1">
        <f>IFERROR(__xludf.DUMMYFUNCTION("""COMPUTED_VALUE"""),4817.0)</f>
        <v>4817</v>
      </c>
    </row>
    <row r="1254">
      <c r="A1254" s="2">
        <f>IFERROR(__xludf.DUMMYFUNCTION("""COMPUTED_VALUE"""),42767.64583333333)</f>
        <v>42767.64583</v>
      </c>
      <c r="B1254" s="1">
        <f>IFERROR(__xludf.DUMMYFUNCTION("""COMPUTED_VALUE"""),54600.0)</f>
        <v>54600</v>
      </c>
      <c r="C1254" s="1">
        <f>IFERROR(__xludf.DUMMYFUNCTION("""COMPUTED_VALUE"""),54600.0)</f>
        <v>54600</v>
      </c>
      <c r="D1254" s="1">
        <f>IFERROR(__xludf.DUMMYFUNCTION("""COMPUTED_VALUE"""),53900.0)</f>
        <v>53900</v>
      </c>
      <c r="E1254" s="1">
        <f>IFERROR(__xludf.DUMMYFUNCTION("""COMPUTED_VALUE"""),54500.0)</f>
        <v>54500</v>
      </c>
      <c r="F1254" s="1">
        <f>IFERROR(__xludf.DUMMYFUNCTION("""COMPUTED_VALUE"""),11892.0)</f>
        <v>11892</v>
      </c>
    </row>
    <row r="1255">
      <c r="A1255" s="2">
        <f>IFERROR(__xludf.DUMMYFUNCTION("""COMPUTED_VALUE"""),42768.64583333333)</f>
        <v>42768.64583</v>
      </c>
      <c r="B1255" s="1">
        <f>IFERROR(__xludf.DUMMYFUNCTION("""COMPUTED_VALUE"""),54800.0)</f>
        <v>54800</v>
      </c>
      <c r="C1255" s="1">
        <f>IFERROR(__xludf.DUMMYFUNCTION("""COMPUTED_VALUE"""),55600.0)</f>
        <v>55600</v>
      </c>
      <c r="D1255" s="1">
        <f>IFERROR(__xludf.DUMMYFUNCTION("""COMPUTED_VALUE"""),54500.0)</f>
        <v>54500</v>
      </c>
      <c r="E1255" s="1">
        <f>IFERROR(__xludf.DUMMYFUNCTION("""COMPUTED_VALUE"""),55300.0)</f>
        <v>55300</v>
      </c>
      <c r="F1255" s="1">
        <f>IFERROR(__xludf.DUMMYFUNCTION("""COMPUTED_VALUE"""),14840.0)</f>
        <v>14840</v>
      </c>
    </row>
    <row r="1256">
      <c r="A1256" s="2">
        <f>IFERROR(__xludf.DUMMYFUNCTION("""COMPUTED_VALUE"""),42769.64583333333)</f>
        <v>42769.64583</v>
      </c>
      <c r="B1256" s="1">
        <f>IFERROR(__xludf.DUMMYFUNCTION("""COMPUTED_VALUE"""),55800.0)</f>
        <v>55800</v>
      </c>
      <c r="C1256" s="1">
        <f>IFERROR(__xludf.DUMMYFUNCTION("""COMPUTED_VALUE"""),55900.0)</f>
        <v>55900</v>
      </c>
      <c r="D1256" s="1">
        <f>IFERROR(__xludf.DUMMYFUNCTION("""COMPUTED_VALUE"""),54400.0)</f>
        <v>54400</v>
      </c>
      <c r="E1256" s="1">
        <f>IFERROR(__xludf.DUMMYFUNCTION("""COMPUTED_VALUE"""),54900.0)</f>
        <v>54900</v>
      </c>
      <c r="F1256" s="1">
        <f>IFERROR(__xludf.DUMMYFUNCTION("""COMPUTED_VALUE"""),6449.0)</f>
        <v>6449</v>
      </c>
    </row>
    <row r="1257">
      <c r="A1257" s="2">
        <f>IFERROR(__xludf.DUMMYFUNCTION("""COMPUTED_VALUE"""),42772.64583333333)</f>
        <v>42772.64583</v>
      </c>
      <c r="B1257" s="1">
        <f>IFERROR(__xludf.DUMMYFUNCTION("""COMPUTED_VALUE"""),55400.0)</f>
        <v>55400</v>
      </c>
      <c r="C1257" s="1">
        <f>IFERROR(__xludf.DUMMYFUNCTION("""COMPUTED_VALUE"""),56000.0)</f>
        <v>56000</v>
      </c>
      <c r="D1257" s="1">
        <f>IFERROR(__xludf.DUMMYFUNCTION("""COMPUTED_VALUE"""),55100.0)</f>
        <v>55100</v>
      </c>
      <c r="E1257" s="1">
        <f>IFERROR(__xludf.DUMMYFUNCTION("""COMPUTED_VALUE"""),55600.0)</f>
        <v>55600</v>
      </c>
      <c r="F1257" s="1">
        <f>IFERROR(__xludf.DUMMYFUNCTION("""COMPUTED_VALUE"""),5145.0)</f>
        <v>5145</v>
      </c>
    </row>
    <row r="1258">
      <c r="A1258" s="2">
        <f>IFERROR(__xludf.DUMMYFUNCTION("""COMPUTED_VALUE"""),42773.64583333333)</f>
        <v>42773.64583</v>
      </c>
      <c r="B1258" s="1">
        <f>IFERROR(__xludf.DUMMYFUNCTION("""COMPUTED_VALUE"""),55800.0)</f>
        <v>55800</v>
      </c>
      <c r="C1258" s="1">
        <f>IFERROR(__xludf.DUMMYFUNCTION("""COMPUTED_VALUE"""),56200.0)</f>
        <v>56200</v>
      </c>
      <c r="D1258" s="1">
        <f>IFERROR(__xludf.DUMMYFUNCTION("""COMPUTED_VALUE"""),55100.0)</f>
        <v>55100</v>
      </c>
      <c r="E1258" s="1">
        <f>IFERROR(__xludf.DUMMYFUNCTION("""COMPUTED_VALUE"""),55700.0)</f>
        <v>55700</v>
      </c>
      <c r="F1258" s="1">
        <f>IFERROR(__xludf.DUMMYFUNCTION("""COMPUTED_VALUE"""),9428.0)</f>
        <v>9428</v>
      </c>
    </row>
    <row r="1259">
      <c r="A1259" s="2">
        <f>IFERROR(__xludf.DUMMYFUNCTION("""COMPUTED_VALUE"""),42774.64583333333)</f>
        <v>42774.64583</v>
      </c>
      <c r="B1259" s="1">
        <f>IFERROR(__xludf.DUMMYFUNCTION("""COMPUTED_VALUE"""),55900.0)</f>
        <v>55900</v>
      </c>
      <c r="C1259" s="1">
        <f>IFERROR(__xludf.DUMMYFUNCTION("""COMPUTED_VALUE"""),56000.0)</f>
        <v>56000</v>
      </c>
      <c r="D1259" s="1">
        <f>IFERROR(__xludf.DUMMYFUNCTION("""COMPUTED_VALUE"""),55000.0)</f>
        <v>55000</v>
      </c>
      <c r="E1259" s="1">
        <f>IFERROR(__xludf.DUMMYFUNCTION("""COMPUTED_VALUE"""),55500.0)</f>
        <v>55500</v>
      </c>
      <c r="F1259" s="1">
        <f>IFERROR(__xludf.DUMMYFUNCTION("""COMPUTED_VALUE"""),10813.0)</f>
        <v>10813</v>
      </c>
    </row>
    <row r="1260">
      <c r="A1260" s="2">
        <f>IFERROR(__xludf.DUMMYFUNCTION("""COMPUTED_VALUE"""),42775.64583333333)</f>
        <v>42775.64583</v>
      </c>
      <c r="B1260" s="1">
        <f>IFERROR(__xludf.DUMMYFUNCTION("""COMPUTED_VALUE"""),55600.0)</f>
        <v>55600</v>
      </c>
      <c r="C1260" s="1">
        <f>IFERROR(__xludf.DUMMYFUNCTION("""COMPUTED_VALUE"""),55900.0)</f>
        <v>55900</v>
      </c>
      <c r="D1260" s="1">
        <f>IFERROR(__xludf.DUMMYFUNCTION("""COMPUTED_VALUE"""),55400.0)</f>
        <v>55400</v>
      </c>
      <c r="E1260" s="1">
        <f>IFERROR(__xludf.DUMMYFUNCTION("""COMPUTED_VALUE"""),55500.0)</f>
        <v>55500</v>
      </c>
      <c r="F1260" s="1">
        <f>IFERROR(__xludf.DUMMYFUNCTION("""COMPUTED_VALUE"""),2786.0)</f>
        <v>2786</v>
      </c>
    </row>
    <row r="1261">
      <c r="A1261" s="2">
        <f>IFERROR(__xludf.DUMMYFUNCTION("""COMPUTED_VALUE"""),42776.64583333333)</f>
        <v>42776.64583</v>
      </c>
      <c r="B1261" s="1">
        <f>IFERROR(__xludf.DUMMYFUNCTION("""COMPUTED_VALUE"""),55800.0)</f>
        <v>55800</v>
      </c>
      <c r="C1261" s="1">
        <f>IFERROR(__xludf.DUMMYFUNCTION("""COMPUTED_VALUE"""),56500.0)</f>
        <v>56500</v>
      </c>
      <c r="D1261" s="1">
        <f>IFERROR(__xludf.DUMMYFUNCTION("""COMPUTED_VALUE"""),55600.0)</f>
        <v>55600</v>
      </c>
      <c r="E1261" s="1">
        <f>IFERROR(__xludf.DUMMYFUNCTION("""COMPUTED_VALUE"""),56300.0)</f>
        <v>56300</v>
      </c>
      <c r="F1261" s="1">
        <f>IFERROR(__xludf.DUMMYFUNCTION("""COMPUTED_VALUE"""),8209.0)</f>
        <v>8209</v>
      </c>
    </row>
    <row r="1262">
      <c r="A1262" s="2">
        <f>IFERROR(__xludf.DUMMYFUNCTION("""COMPUTED_VALUE"""),42779.64583333333)</f>
        <v>42779.64583</v>
      </c>
      <c r="B1262" s="1">
        <f>IFERROR(__xludf.DUMMYFUNCTION("""COMPUTED_VALUE"""),56400.0)</f>
        <v>56400</v>
      </c>
      <c r="C1262" s="1">
        <f>IFERROR(__xludf.DUMMYFUNCTION("""COMPUTED_VALUE"""),57000.0)</f>
        <v>57000</v>
      </c>
      <c r="D1262" s="1">
        <f>IFERROR(__xludf.DUMMYFUNCTION("""COMPUTED_VALUE"""),56400.0)</f>
        <v>56400</v>
      </c>
      <c r="E1262" s="1">
        <f>IFERROR(__xludf.DUMMYFUNCTION("""COMPUTED_VALUE"""),57000.0)</f>
        <v>57000</v>
      </c>
      <c r="F1262" s="1">
        <f>IFERROR(__xludf.DUMMYFUNCTION("""COMPUTED_VALUE"""),26070.0)</f>
        <v>26070</v>
      </c>
    </row>
    <row r="1263">
      <c r="A1263" s="2">
        <f>IFERROR(__xludf.DUMMYFUNCTION("""COMPUTED_VALUE"""),42780.64583333333)</f>
        <v>42780.64583</v>
      </c>
      <c r="B1263" s="1">
        <f>IFERROR(__xludf.DUMMYFUNCTION("""COMPUTED_VALUE"""),57300.0)</f>
        <v>57300</v>
      </c>
      <c r="C1263" s="1">
        <f>IFERROR(__xludf.DUMMYFUNCTION("""COMPUTED_VALUE"""),57400.0)</f>
        <v>57400</v>
      </c>
      <c r="D1263" s="1">
        <f>IFERROR(__xludf.DUMMYFUNCTION("""COMPUTED_VALUE"""),56500.0)</f>
        <v>56500</v>
      </c>
      <c r="E1263" s="1">
        <f>IFERROR(__xludf.DUMMYFUNCTION("""COMPUTED_VALUE"""),57200.0)</f>
        <v>57200</v>
      </c>
      <c r="F1263" s="1">
        <f>IFERROR(__xludf.DUMMYFUNCTION("""COMPUTED_VALUE"""),10516.0)</f>
        <v>10516</v>
      </c>
    </row>
    <row r="1264">
      <c r="A1264" s="2">
        <f>IFERROR(__xludf.DUMMYFUNCTION("""COMPUTED_VALUE"""),42781.64583333333)</f>
        <v>42781.64583</v>
      </c>
      <c r="B1264" s="1">
        <f>IFERROR(__xludf.DUMMYFUNCTION("""COMPUTED_VALUE"""),57400.0)</f>
        <v>57400</v>
      </c>
      <c r="C1264" s="1">
        <f>IFERROR(__xludf.DUMMYFUNCTION("""COMPUTED_VALUE"""),57600.0)</f>
        <v>57600</v>
      </c>
      <c r="D1264" s="1">
        <f>IFERROR(__xludf.DUMMYFUNCTION("""COMPUTED_VALUE"""),57000.0)</f>
        <v>57000</v>
      </c>
      <c r="E1264" s="1">
        <f>IFERROR(__xludf.DUMMYFUNCTION("""COMPUTED_VALUE"""),57500.0)</f>
        <v>57500</v>
      </c>
      <c r="F1264" s="1">
        <f>IFERROR(__xludf.DUMMYFUNCTION("""COMPUTED_VALUE"""),24392.0)</f>
        <v>24392</v>
      </c>
    </row>
    <row r="1265">
      <c r="A1265" s="2">
        <f>IFERROR(__xludf.DUMMYFUNCTION("""COMPUTED_VALUE"""),42782.64583333333)</f>
        <v>42782.64583</v>
      </c>
      <c r="B1265" s="1">
        <f>IFERROR(__xludf.DUMMYFUNCTION("""COMPUTED_VALUE"""),57800.0)</f>
        <v>57800</v>
      </c>
      <c r="C1265" s="1">
        <f>IFERROR(__xludf.DUMMYFUNCTION("""COMPUTED_VALUE"""),57900.0)</f>
        <v>57900</v>
      </c>
      <c r="D1265" s="1">
        <f>IFERROR(__xludf.DUMMYFUNCTION("""COMPUTED_VALUE"""),57100.0)</f>
        <v>57100</v>
      </c>
      <c r="E1265" s="1">
        <f>IFERROR(__xludf.DUMMYFUNCTION("""COMPUTED_VALUE"""),57300.0)</f>
        <v>57300</v>
      </c>
      <c r="F1265" s="1">
        <f>IFERROR(__xludf.DUMMYFUNCTION("""COMPUTED_VALUE"""),5995.0)</f>
        <v>5995</v>
      </c>
    </row>
    <row r="1266">
      <c r="A1266" s="2">
        <f>IFERROR(__xludf.DUMMYFUNCTION("""COMPUTED_VALUE"""),42783.64583333333)</f>
        <v>42783.64583</v>
      </c>
      <c r="B1266" s="1">
        <f>IFERROR(__xludf.DUMMYFUNCTION("""COMPUTED_VALUE"""),57400.0)</f>
        <v>57400</v>
      </c>
      <c r="C1266" s="1">
        <f>IFERROR(__xludf.DUMMYFUNCTION("""COMPUTED_VALUE"""),57400.0)</f>
        <v>57400</v>
      </c>
      <c r="D1266" s="1">
        <f>IFERROR(__xludf.DUMMYFUNCTION("""COMPUTED_VALUE"""),57000.0)</f>
        <v>57000</v>
      </c>
      <c r="E1266" s="1">
        <f>IFERROR(__xludf.DUMMYFUNCTION("""COMPUTED_VALUE"""),57200.0)</f>
        <v>57200</v>
      </c>
      <c r="F1266" s="1">
        <f>IFERROR(__xludf.DUMMYFUNCTION("""COMPUTED_VALUE"""),7445.0)</f>
        <v>7445</v>
      </c>
    </row>
    <row r="1267">
      <c r="A1267" s="2">
        <f>IFERROR(__xludf.DUMMYFUNCTION("""COMPUTED_VALUE"""),42786.64583333333)</f>
        <v>42786.64583</v>
      </c>
      <c r="B1267" s="1">
        <f>IFERROR(__xludf.DUMMYFUNCTION("""COMPUTED_VALUE"""),57500.0)</f>
        <v>57500</v>
      </c>
      <c r="C1267" s="1">
        <f>IFERROR(__xludf.DUMMYFUNCTION("""COMPUTED_VALUE"""),57500.0)</f>
        <v>57500</v>
      </c>
      <c r="D1267" s="1">
        <f>IFERROR(__xludf.DUMMYFUNCTION("""COMPUTED_VALUE"""),56500.0)</f>
        <v>56500</v>
      </c>
      <c r="E1267" s="1">
        <f>IFERROR(__xludf.DUMMYFUNCTION("""COMPUTED_VALUE"""),57000.0)</f>
        <v>57000</v>
      </c>
      <c r="F1267" s="1">
        <f>IFERROR(__xludf.DUMMYFUNCTION("""COMPUTED_VALUE"""),5734.0)</f>
        <v>5734</v>
      </c>
    </row>
    <row r="1268">
      <c r="A1268" s="2">
        <f>IFERROR(__xludf.DUMMYFUNCTION("""COMPUTED_VALUE"""),42787.64583333333)</f>
        <v>42787.64583</v>
      </c>
      <c r="B1268" s="1">
        <f>IFERROR(__xludf.DUMMYFUNCTION("""COMPUTED_VALUE"""),57400.0)</f>
        <v>57400</v>
      </c>
      <c r="C1268" s="1">
        <f>IFERROR(__xludf.DUMMYFUNCTION("""COMPUTED_VALUE"""),57700.0)</f>
        <v>57700</v>
      </c>
      <c r="D1268" s="1">
        <f>IFERROR(__xludf.DUMMYFUNCTION("""COMPUTED_VALUE"""),57000.0)</f>
        <v>57000</v>
      </c>
      <c r="E1268" s="1">
        <f>IFERROR(__xludf.DUMMYFUNCTION("""COMPUTED_VALUE"""),57600.0)</f>
        <v>57600</v>
      </c>
      <c r="F1268" s="1">
        <f>IFERROR(__xludf.DUMMYFUNCTION("""COMPUTED_VALUE"""),28361.0)</f>
        <v>28361</v>
      </c>
    </row>
    <row r="1269">
      <c r="A1269" s="2">
        <f>IFERROR(__xludf.DUMMYFUNCTION("""COMPUTED_VALUE"""),42788.64583333333)</f>
        <v>42788.64583</v>
      </c>
      <c r="B1269" s="1">
        <f>IFERROR(__xludf.DUMMYFUNCTION("""COMPUTED_VALUE"""),57900.0)</f>
        <v>57900</v>
      </c>
      <c r="C1269" s="1">
        <f>IFERROR(__xludf.DUMMYFUNCTION("""COMPUTED_VALUE"""),57900.0)</f>
        <v>57900</v>
      </c>
      <c r="D1269" s="1">
        <f>IFERROR(__xludf.DUMMYFUNCTION("""COMPUTED_VALUE"""),57000.0)</f>
        <v>57000</v>
      </c>
      <c r="E1269" s="1">
        <f>IFERROR(__xludf.DUMMYFUNCTION("""COMPUTED_VALUE"""),57900.0)</f>
        <v>57900</v>
      </c>
      <c r="F1269" s="1">
        <f>IFERROR(__xludf.DUMMYFUNCTION("""COMPUTED_VALUE"""),17528.0)</f>
        <v>17528</v>
      </c>
    </row>
    <row r="1270">
      <c r="A1270" s="2">
        <f>IFERROR(__xludf.DUMMYFUNCTION("""COMPUTED_VALUE"""),42789.64583333333)</f>
        <v>42789.64583</v>
      </c>
      <c r="B1270" s="1">
        <f>IFERROR(__xludf.DUMMYFUNCTION("""COMPUTED_VALUE"""),57900.0)</f>
        <v>57900</v>
      </c>
      <c r="C1270" s="1">
        <f>IFERROR(__xludf.DUMMYFUNCTION("""COMPUTED_VALUE"""),57900.0)</f>
        <v>57900</v>
      </c>
      <c r="D1270" s="1">
        <f>IFERROR(__xludf.DUMMYFUNCTION("""COMPUTED_VALUE"""),56900.0)</f>
        <v>56900</v>
      </c>
      <c r="E1270" s="1">
        <f>IFERROR(__xludf.DUMMYFUNCTION("""COMPUTED_VALUE"""),57500.0)</f>
        <v>57500</v>
      </c>
      <c r="F1270" s="1">
        <f>IFERROR(__xludf.DUMMYFUNCTION("""COMPUTED_VALUE"""),27327.0)</f>
        <v>27327</v>
      </c>
    </row>
    <row r="1271">
      <c r="A1271" s="2">
        <f>IFERROR(__xludf.DUMMYFUNCTION("""COMPUTED_VALUE"""),42790.64583333333)</f>
        <v>42790.64583</v>
      </c>
      <c r="B1271" s="1">
        <f>IFERROR(__xludf.DUMMYFUNCTION("""COMPUTED_VALUE"""),57900.0)</f>
        <v>57900</v>
      </c>
      <c r="C1271" s="1">
        <f>IFERROR(__xludf.DUMMYFUNCTION("""COMPUTED_VALUE"""),57900.0)</f>
        <v>57900</v>
      </c>
      <c r="D1271" s="1">
        <f>IFERROR(__xludf.DUMMYFUNCTION("""COMPUTED_VALUE"""),57300.0)</f>
        <v>57300</v>
      </c>
      <c r="E1271" s="1">
        <f>IFERROR(__xludf.DUMMYFUNCTION("""COMPUTED_VALUE"""),57500.0)</f>
        <v>57500</v>
      </c>
      <c r="F1271" s="1">
        <f>IFERROR(__xludf.DUMMYFUNCTION("""COMPUTED_VALUE"""),8718.0)</f>
        <v>8718</v>
      </c>
    </row>
    <row r="1272">
      <c r="A1272" s="2">
        <f>IFERROR(__xludf.DUMMYFUNCTION("""COMPUTED_VALUE"""),42793.64583333333)</f>
        <v>42793.64583</v>
      </c>
      <c r="B1272" s="1">
        <f>IFERROR(__xludf.DUMMYFUNCTION("""COMPUTED_VALUE"""),57900.0)</f>
        <v>57900</v>
      </c>
      <c r="C1272" s="1">
        <f>IFERROR(__xludf.DUMMYFUNCTION("""COMPUTED_VALUE"""),58400.0)</f>
        <v>58400</v>
      </c>
      <c r="D1272" s="1">
        <f>IFERROR(__xludf.DUMMYFUNCTION("""COMPUTED_VALUE"""),57600.0)</f>
        <v>57600</v>
      </c>
      <c r="E1272" s="1">
        <f>IFERROR(__xludf.DUMMYFUNCTION("""COMPUTED_VALUE"""),58000.0)</f>
        <v>58000</v>
      </c>
      <c r="F1272" s="1">
        <f>IFERROR(__xludf.DUMMYFUNCTION("""COMPUTED_VALUE"""),15194.0)</f>
        <v>15194</v>
      </c>
    </row>
    <row r="1273">
      <c r="A1273" s="2">
        <f>IFERROR(__xludf.DUMMYFUNCTION("""COMPUTED_VALUE"""),42794.64583333333)</f>
        <v>42794.64583</v>
      </c>
      <c r="B1273" s="1">
        <f>IFERROR(__xludf.DUMMYFUNCTION("""COMPUTED_VALUE"""),58400.0)</f>
        <v>58400</v>
      </c>
      <c r="C1273" s="1">
        <f>IFERROR(__xludf.DUMMYFUNCTION("""COMPUTED_VALUE"""),59500.0)</f>
        <v>59500</v>
      </c>
      <c r="D1273" s="1">
        <f>IFERROR(__xludf.DUMMYFUNCTION("""COMPUTED_VALUE"""),58000.0)</f>
        <v>58000</v>
      </c>
      <c r="E1273" s="1">
        <f>IFERROR(__xludf.DUMMYFUNCTION("""COMPUTED_VALUE"""),59100.0)</f>
        <v>59100</v>
      </c>
      <c r="F1273" s="1">
        <f>IFERROR(__xludf.DUMMYFUNCTION("""COMPUTED_VALUE"""),17633.0)</f>
        <v>17633</v>
      </c>
    </row>
    <row r="1274">
      <c r="A1274" s="2">
        <f>IFERROR(__xludf.DUMMYFUNCTION("""COMPUTED_VALUE"""),42796.64583333333)</f>
        <v>42796.64583</v>
      </c>
      <c r="B1274" s="1">
        <f>IFERROR(__xludf.DUMMYFUNCTION("""COMPUTED_VALUE"""),59500.0)</f>
        <v>59500</v>
      </c>
      <c r="C1274" s="1">
        <f>IFERROR(__xludf.DUMMYFUNCTION("""COMPUTED_VALUE"""),60000.0)</f>
        <v>60000</v>
      </c>
      <c r="D1274" s="1">
        <f>IFERROR(__xludf.DUMMYFUNCTION("""COMPUTED_VALUE"""),59100.0)</f>
        <v>59100</v>
      </c>
      <c r="E1274" s="1">
        <f>IFERROR(__xludf.DUMMYFUNCTION("""COMPUTED_VALUE"""),59900.0)</f>
        <v>59900</v>
      </c>
      <c r="F1274" s="1">
        <f>IFERROR(__xludf.DUMMYFUNCTION("""COMPUTED_VALUE"""),12476.0)</f>
        <v>12476</v>
      </c>
    </row>
    <row r="1275">
      <c r="A1275" s="2">
        <f>IFERROR(__xludf.DUMMYFUNCTION("""COMPUTED_VALUE"""),42797.64583333333)</f>
        <v>42797.64583</v>
      </c>
      <c r="B1275" s="1">
        <f>IFERROR(__xludf.DUMMYFUNCTION("""COMPUTED_VALUE"""),59900.0)</f>
        <v>59900</v>
      </c>
      <c r="C1275" s="1">
        <f>IFERROR(__xludf.DUMMYFUNCTION("""COMPUTED_VALUE"""),60300.0)</f>
        <v>60300</v>
      </c>
      <c r="D1275" s="1">
        <f>IFERROR(__xludf.DUMMYFUNCTION("""COMPUTED_VALUE"""),59500.0)</f>
        <v>59500</v>
      </c>
      <c r="E1275" s="1">
        <f>IFERROR(__xludf.DUMMYFUNCTION("""COMPUTED_VALUE"""),59800.0)</f>
        <v>59800</v>
      </c>
      <c r="F1275" s="1">
        <f>IFERROR(__xludf.DUMMYFUNCTION("""COMPUTED_VALUE"""),6865.0)</f>
        <v>6865</v>
      </c>
    </row>
    <row r="1276">
      <c r="A1276" s="2">
        <f>IFERROR(__xludf.DUMMYFUNCTION("""COMPUTED_VALUE"""),42800.64583333333)</f>
        <v>42800.64583</v>
      </c>
      <c r="B1276" s="1">
        <f>IFERROR(__xludf.DUMMYFUNCTION("""COMPUTED_VALUE"""),59800.0)</f>
        <v>59800</v>
      </c>
      <c r="C1276" s="1">
        <f>IFERROR(__xludf.DUMMYFUNCTION("""COMPUTED_VALUE"""),59800.0)</f>
        <v>59800</v>
      </c>
      <c r="D1276" s="1">
        <f>IFERROR(__xludf.DUMMYFUNCTION("""COMPUTED_VALUE"""),59100.0)</f>
        <v>59100</v>
      </c>
      <c r="E1276" s="1">
        <f>IFERROR(__xludf.DUMMYFUNCTION("""COMPUTED_VALUE"""),59400.0)</f>
        <v>59400</v>
      </c>
      <c r="F1276" s="1">
        <f>IFERROR(__xludf.DUMMYFUNCTION("""COMPUTED_VALUE"""),4004.0)</f>
        <v>4004</v>
      </c>
    </row>
    <row r="1277">
      <c r="A1277" s="2">
        <f>IFERROR(__xludf.DUMMYFUNCTION("""COMPUTED_VALUE"""),42801.64583333333)</f>
        <v>42801.64583</v>
      </c>
      <c r="B1277" s="1">
        <f>IFERROR(__xludf.DUMMYFUNCTION("""COMPUTED_VALUE"""),59400.0)</f>
        <v>59400</v>
      </c>
      <c r="C1277" s="1">
        <f>IFERROR(__xludf.DUMMYFUNCTION("""COMPUTED_VALUE"""),59800.0)</f>
        <v>59800</v>
      </c>
      <c r="D1277" s="1">
        <f>IFERROR(__xludf.DUMMYFUNCTION("""COMPUTED_VALUE"""),58400.0)</f>
        <v>58400</v>
      </c>
      <c r="E1277" s="1">
        <f>IFERROR(__xludf.DUMMYFUNCTION("""COMPUTED_VALUE"""),59200.0)</f>
        <v>59200</v>
      </c>
      <c r="F1277" s="1">
        <f>IFERROR(__xludf.DUMMYFUNCTION("""COMPUTED_VALUE"""),8933.0)</f>
        <v>8933</v>
      </c>
    </row>
    <row r="1278">
      <c r="A1278" s="2">
        <f>IFERROR(__xludf.DUMMYFUNCTION("""COMPUTED_VALUE"""),42802.64583333333)</f>
        <v>42802.64583</v>
      </c>
      <c r="B1278" s="1">
        <f>IFERROR(__xludf.DUMMYFUNCTION("""COMPUTED_VALUE"""),59400.0)</f>
        <v>59400</v>
      </c>
      <c r="C1278" s="1">
        <f>IFERROR(__xludf.DUMMYFUNCTION("""COMPUTED_VALUE"""),59500.0)</f>
        <v>59500</v>
      </c>
      <c r="D1278" s="1">
        <f>IFERROR(__xludf.DUMMYFUNCTION("""COMPUTED_VALUE"""),58600.0)</f>
        <v>58600</v>
      </c>
      <c r="E1278" s="1">
        <f>IFERROR(__xludf.DUMMYFUNCTION("""COMPUTED_VALUE"""),59000.0)</f>
        <v>59000</v>
      </c>
      <c r="F1278" s="1">
        <f>IFERROR(__xludf.DUMMYFUNCTION("""COMPUTED_VALUE"""),3775.0)</f>
        <v>3775</v>
      </c>
    </row>
    <row r="1279">
      <c r="A1279" s="2">
        <f>IFERROR(__xludf.DUMMYFUNCTION("""COMPUTED_VALUE"""),42803.64583333333)</f>
        <v>42803.64583</v>
      </c>
      <c r="B1279" s="1">
        <f>IFERROR(__xludf.DUMMYFUNCTION("""COMPUTED_VALUE"""),58900.0)</f>
        <v>58900</v>
      </c>
      <c r="C1279" s="1">
        <f>IFERROR(__xludf.DUMMYFUNCTION("""COMPUTED_VALUE"""),58900.0)</f>
        <v>58900</v>
      </c>
      <c r="D1279" s="1">
        <f>IFERROR(__xludf.DUMMYFUNCTION("""COMPUTED_VALUE"""),58300.0)</f>
        <v>58300</v>
      </c>
      <c r="E1279" s="1">
        <f>IFERROR(__xludf.DUMMYFUNCTION("""COMPUTED_VALUE"""),58800.0)</f>
        <v>58800</v>
      </c>
      <c r="F1279" s="1">
        <f>IFERROR(__xludf.DUMMYFUNCTION("""COMPUTED_VALUE"""),5129.0)</f>
        <v>5129</v>
      </c>
    </row>
    <row r="1280">
      <c r="A1280" s="2">
        <f>IFERROR(__xludf.DUMMYFUNCTION("""COMPUTED_VALUE"""),42804.64583333333)</f>
        <v>42804.64583</v>
      </c>
      <c r="B1280" s="1">
        <f>IFERROR(__xludf.DUMMYFUNCTION("""COMPUTED_VALUE"""),59000.0)</f>
        <v>59000</v>
      </c>
      <c r="C1280" s="1">
        <f>IFERROR(__xludf.DUMMYFUNCTION("""COMPUTED_VALUE"""),59000.0)</f>
        <v>59000</v>
      </c>
      <c r="D1280" s="1">
        <f>IFERROR(__xludf.DUMMYFUNCTION("""COMPUTED_VALUE"""),58200.0)</f>
        <v>58200</v>
      </c>
      <c r="E1280" s="1">
        <f>IFERROR(__xludf.DUMMYFUNCTION("""COMPUTED_VALUE"""),58800.0)</f>
        <v>58800</v>
      </c>
      <c r="F1280" s="1">
        <f>IFERROR(__xludf.DUMMYFUNCTION("""COMPUTED_VALUE"""),6135.0)</f>
        <v>6135</v>
      </c>
    </row>
    <row r="1281">
      <c r="A1281" s="2">
        <f>IFERROR(__xludf.DUMMYFUNCTION("""COMPUTED_VALUE"""),42807.64583333333)</f>
        <v>42807.64583</v>
      </c>
      <c r="B1281" s="1">
        <f>IFERROR(__xludf.DUMMYFUNCTION("""COMPUTED_VALUE"""),63000.0)</f>
        <v>63000</v>
      </c>
      <c r="C1281" s="1">
        <f>IFERROR(__xludf.DUMMYFUNCTION("""COMPUTED_VALUE"""),64900.0)</f>
        <v>64900</v>
      </c>
      <c r="D1281" s="1">
        <f>IFERROR(__xludf.DUMMYFUNCTION("""COMPUTED_VALUE"""),62400.0)</f>
        <v>62400</v>
      </c>
      <c r="E1281" s="1">
        <f>IFERROR(__xludf.DUMMYFUNCTION("""COMPUTED_VALUE"""),64900.0)</f>
        <v>64900</v>
      </c>
      <c r="F1281" s="1">
        <f>IFERROR(__xludf.DUMMYFUNCTION("""COMPUTED_VALUE"""),151923.0)</f>
        <v>151923</v>
      </c>
    </row>
    <row r="1282">
      <c r="A1282" s="2">
        <f>IFERROR(__xludf.DUMMYFUNCTION("""COMPUTED_VALUE"""),42808.64583333333)</f>
        <v>42808.64583</v>
      </c>
      <c r="B1282" s="1">
        <f>IFERROR(__xludf.DUMMYFUNCTION("""COMPUTED_VALUE"""),67000.0)</f>
        <v>67000</v>
      </c>
      <c r="C1282" s="1">
        <f>IFERROR(__xludf.DUMMYFUNCTION("""COMPUTED_VALUE"""),67300.0)</f>
        <v>67300</v>
      </c>
      <c r="D1282" s="1">
        <f>IFERROR(__xludf.DUMMYFUNCTION("""COMPUTED_VALUE"""),64000.0)</f>
        <v>64000</v>
      </c>
      <c r="E1282" s="1">
        <f>IFERROR(__xludf.DUMMYFUNCTION("""COMPUTED_VALUE"""),65100.0)</f>
        <v>65100</v>
      </c>
      <c r="F1282" s="1">
        <f>IFERROR(__xludf.DUMMYFUNCTION("""COMPUTED_VALUE"""),38000.0)</f>
        <v>38000</v>
      </c>
    </row>
    <row r="1283">
      <c r="A1283" s="2">
        <f>IFERROR(__xludf.DUMMYFUNCTION("""COMPUTED_VALUE"""),42809.64583333333)</f>
        <v>42809.64583</v>
      </c>
      <c r="B1283" s="1">
        <f>IFERROR(__xludf.DUMMYFUNCTION("""COMPUTED_VALUE"""),64900.0)</f>
        <v>64900</v>
      </c>
      <c r="C1283" s="1">
        <f>IFERROR(__xludf.DUMMYFUNCTION("""COMPUTED_VALUE"""),66300.0)</f>
        <v>66300</v>
      </c>
      <c r="D1283" s="1">
        <f>IFERROR(__xludf.DUMMYFUNCTION("""COMPUTED_VALUE"""),64000.0)</f>
        <v>64000</v>
      </c>
      <c r="E1283" s="1">
        <f>IFERROR(__xludf.DUMMYFUNCTION("""COMPUTED_VALUE"""),66300.0)</f>
        <v>66300</v>
      </c>
      <c r="F1283" s="1">
        <f>IFERROR(__xludf.DUMMYFUNCTION("""COMPUTED_VALUE"""),13567.0)</f>
        <v>13567</v>
      </c>
    </row>
    <row r="1284">
      <c r="A1284" s="2">
        <f>IFERROR(__xludf.DUMMYFUNCTION("""COMPUTED_VALUE"""),42810.64583333333)</f>
        <v>42810.64583</v>
      </c>
      <c r="B1284" s="1">
        <f>IFERROR(__xludf.DUMMYFUNCTION("""COMPUTED_VALUE"""),67000.0)</f>
        <v>67000</v>
      </c>
      <c r="C1284" s="1">
        <f>IFERROR(__xludf.DUMMYFUNCTION("""COMPUTED_VALUE"""),70400.0)</f>
        <v>70400</v>
      </c>
      <c r="D1284" s="1">
        <f>IFERROR(__xludf.DUMMYFUNCTION("""COMPUTED_VALUE"""),67000.0)</f>
        <v>67000</v>
      </c>
      <c r="E1284" s="1">
        <f>IFERROR(__xludf.DUMMYFUNCTION("""COMPUTED_VALUE"""),70400.0)</f>
        <v>70400</v>
      </c>
      <c r="F1284" s="1">
        <f>IFERROR(__xludf.DUMMYFUNCTION("""COMPUTED_VALUE"""),49250.0)</f>
        <v>49250</v>
      </c>
    </row>
    <row r="1285">
      <c r="A1285" s="2">
        <f>IFERROR(__xludf.DUMMYFUNCTION("""COMPUTED_VALUE"""),42811.64583333333)</f>
        <v>42811.64583</v>
      </c>
      <c r="B1285" s="1">
        <f>IFERROR(__xludf.DUMMYFUNCTION("""COMPUTED_VALUE"""),70700.0)</f>
        <v>70700</v>
      </c>
      <c r="C1285" s="1">
        <f>IFERROR(__xludf.DUMMYFUNCTION("""COMPUTED_VALUE"""),71200.0)</f>
        <v>71200</v>
      </c>
      <c r="D1285" s="1">
        <f>IFERROR(__xludf.DUMMYFUNCTION("""COMPUTED_VALUE"""),69500.0)</f>
        <v>69500</v>
      </c>
      <c r="E1285" s="1">
        <f>IFERROR(__xludf.DUMMYFUNCTION("""COMPUTED_VALUE"""),71000.0)</f>
        <v>71000</v>
      </c>
      <c r="F1285" s="1">
        <f>IFERROR(__xludf.DUMMYFUNCTION("""COMPUTED_VALUE"""),21200.0)</f>
        <v>21200</v>
      </c>
    </row>
    <row r="1286">
      <c r="A1286" s="2">
        <f>IFERROR(__xludf.DUMMYFUNCTION("""COMPUTED_VALUE"""),42814.64583333333)</f>
        <v>42814.64583</v>
      </c>
      <c r="B1286" s="1">
        <f>IFERROR(__xludf.DUMMYFUNCTION("""COMPUTED_VALUE"""),71200.0)</f>
        <v>71200</v>
      </c>
      <c r="C1286" s="1">
        <f>IFERROR(__xludf.DUMMYFUNCTION("""COMPUTED_VALUE"""),71200.0)</f>
        <v>71200</v>
      </c>
      <c r="D1286" s="1">
        <f>IFERROR(__xludf.DUMMYFUNCTION("""COMPUTED_VALUE"""),70200.0)</f>
        <v>70200</v>
      </c>
      <c r="E1286" s="1">
        <f>IFERROR(__xludf.DUMMYFUNCTION("""COMPUTED_VALUE"""),71000.0)</f>
        <v>71000</v>
      </c>
      <c r="F1286" s="1">
        <f>IFERROR(__xludf.DUMMYFUNCTION("""COMPUTED_VALUE"""),10674.0)</f>
        <v>10674</v>
      </c>
    </row>
    <row r="1287">
      <c r="A1287" s="2">
        <f>IFERROR(__xludf.DUMMYFUNCTION("""COMPUTED_VALUE"""),42815.64583333333)</f>
        <v>42815.64583</v>
      </c>
      <c r="B1287" s="1">
        <f>IFERROR(__xludf.DUMMYFUNCTION("""COMPUTED_VALUE"""),70900.0)</f>
        <v>70900</v>
      </c>
      <c r="C1287" s="1">
        <f>IFERROR(__xludf.DUMMYFUNCTION("""COMPUTED_VALUE"""),74500.0)</f>
        <v>74500</v>
      </c>
      <c r="D1287" s="1">
        <f>IFERROR(__xludf.DUMMYFUNCTION("""COMPUTED_VALUE"""),70400.0)</f>
        <v>70400</v>
      </c>
      <c r="E1287" s="1">
        <f>IFERROR(__xludf.DUMMYFUNCTION("""COMPUTED_VALUE"""),74000.0)</f>
        <v>74000</v>
      </c>
      <c r="F1287" s="1">
        <f>IFERROR(__xludf.DUMMYFUNCTION("""COMPUTED_VALUE"""),15834.0)</f>
        <v>15834</v>
      </c>
    </row>
    <row r="1288">
      <c r="A1288" s="2">
        <f>IFERROR(__xludf.DUMMYFUNCTION("""COMPUTED_VALUE"""),42816.64583333333)</f>
        <v>42816.64583</v>
      </c>
      <c r="B1288" s="1">
        <f>IFERROR(__xludf.DUMMYFUNCTION("""COMPUTED_VALUE"""),73500.0)</f>
        <v>73500</v>
      </c>
      <c r="C1288" s="1">
        <f>IFERROR(__xludf.DUMMYFUNCTION("""COMPUTED_VALUE"""),74700.0)</f>
        <v>74700</v>
      </c>
      <c r="D1288" s="1">
        <f>IFERROR(__xludf.DUMMYFUNCTION("""COMPUTED_VALUE"""),72600.0)</f>
        <v>72600</v>
      </c>
      <c r="E1288" s="1">
        <f>IFERROR(__xludf.DUMMYFUNCTION("""COMPUTED_VALUE"""),74300.0)</f>
        <v>74300</v>
      </c>
      <c r="F1288" s="1">
        <f>IFERROR(__xludf.DUMMYFUNCTION("""COMPUTED_VALUE"""),16844.0)</f>
        <v>16844</v>
      </c>
    </row>
    <row r="1289">
      <c r="A1289" s="2">
        <f>IFERROR(__xludf.DUMMYFUNCTION("""COMPUTED_VALUE"""),42817.64583333333)</f>
        <v>42817.64583</v>
      </c>
      <c r="B1289" s="1">
        <f>IFERROR(__xludf.DUMMYFUNCTION("""COMPUTED_VALUE"""),74500.0)</f>
        <v>74500</v>
      </c>
      <c r="C1289" s="1">
        <f>IFERROR(__xludf.DUMMYFUNCTION("""COMPUTED_VALUE"""),75100.0)</f>
        <v>75100</v>
      </c>
      <c r="D1289" s="1">
        <f>IFERROR(__xludf.DUMMYFUNCTION("""COMPUTED_VALUE"""),74000.0)</f>
        <v>74000</v>
      </c>
      <c r="E1289" s="1">
        <f>IFERROR(__xludf.DUMMYFUNCTION("""COMPUTED_VALUE"""),74500.0)</f>
        <v>74500</v>
      </c>
      <c r="F1289" s="1">
        <f>IFERROR(__xludf.DUMMYFUNCTION("""COMPUTED_VALUE"""),7926.0)</f>
        <v>7926</v>
      </c>
    </row>
    <row r="1290">
      <c r="A1290" s="2">
        <f>IFERROR(__xludf.DUMMYFUNCTION("""COMPUTED_VALUE"""),42818.64583333333)</f>
        <v>42818.64583</v>
      </c>
      <c r="B1290" s="1">
        <f>IFERROR(__xludf.DUMMYFUNCTION("""COMPUTED_VALUE"""),75200.0)</f>
        <v>75200</v>
      </c>
      <c r="C1290" s="1">
        <f>IFERROR(__xludf.DUMMYFUNCTION("""COMPUTED_VALUE"""),75200.0)</f>
        <v>75200</v>
      </c>
      <c r="D1290" s="1">
        <f>IFERROR(__xludf.DUMMYFUNCTION("""COMPUTED_VALUE"""),72800.0)</f>
        <v>72800</v>
      </c>
      <c r="E1290" s="1">
        <f>IFERROR(__xludf.DUMMYFUNCTION("""COMPUTED_VALUE"""),75200.0)</f>
        <v>75200</v>
      </c>
      <c r="F1290" s="1">
        <f>IFERROR(__xludf.DUMMYFUNCTION("""COMPUTED_VALUE"""),14359.0)</f>
        <v>14359</v>
      </c>
    </row>
    <row r="1291">
      <c r="A1291" s="2">
        <f>IFERROR(__xludf.DUMMYFUNCTION("""COMPUTED_VALUE"""),42821.64583333333)</f>
        <v>42821.64583</v>
      </c>
      <c r="B1291" s="1">
        <f>IFERROR(__xludf.DUMMYFUNCTION("""COMPUTED_VALUE"""),75000.0)</f>
        <v>75000</v>
      </c>
      <c r="C1291" s="1">
        <f>IFERROR(__xludf.DUMMYFUNCTION("""COMPUTED_VALUE"""),76000.0)</f>
        <v>76000</v>
      </c>
      <c r="D1291" s="1">
        <f>IFERROR(__xludf.DUMMYFUNCTION("""COMPUTED_VALUE"""),73600.0)</f>
        <v>73600</v>
      </c>
      <c r="E1291" s="1">
        <f>IFERROR(__xludf.DUMMYFUNCTION("""COMPUTED_VALUE"""),74800.0)</f>
        <v>74800</v>
      </c>
      <c r="F1291" s="1">
        <f>IFERROR(__xludf.DUMMYFUNCTION("""COMPUTED_VALUE"""),12784.0)</f>
        <v>12784</v>
      </c>
    </row>
    <row r="1292">
      <c r="A1292" s="2">
        <f>IFERROR(__xludf.DUMMYFUNCTION("""COMPUTED_VALUE"""),42822.64583333333)</f>
        <v>42822.64583</v>
      </c>
      <c r="B1292" s="1">
        <f>IFERROR(__xludf.DUMMYFUNCTION("""COMPUTED_VALUE"""),74700.0)</f>
        <v>74700</v>
      </c>
      <c r="C1292" s="1">
        <f>IFERROR(__xludf.DUMMYFUNCTION("""COMPUTED_VALUE"""),76000.0)</f>
        <v>76000</v>
      </c>
      <c r="D1292" s="1">
        <f>IFERROR(__xludf.DUMMYFUNCTION("""COMPUTED_VALUE"""),73300.0)</f>
        <v>73300</v>
      </c>
      <c r="E1292" s="1">
        <f>IFERROR(__xludf.DUMMYFUNCTION("""COMPUTED_VALUE"""),76000.0)</f>
        <v>76000</v>
      </c>
      <c r="F1292" s="1">
        <f>IFERROR(__xludf.DUMMYFUNCTION("""COMPUTED_VALUE"""),19911.0)</f>
        <v>19911</v>
      </c>
    </row>
    <row r="1293">
      <c r="A1293" s="2">
        <f>IFERROR(__xludf.DUMMYFUNCTION("""COMPUTED_VALUE"""),42823.64583333333)</f>
        <v>42823.64583</v>
      </c>
      <c r="B1293" s="1">
        <f>IFERROR(__xludf.DUMMYFUNCTION("""COMPUTED_VALUE"""),76700.0)</f>
        <v>76700</v>
      </c>
      <c r="C1293" s="1">
        <f>IFERROR(__xludf.DUMMYFUNCTION("""COMPUTED_VALUE"""),76800.0)</f>
        <v>76800</v>
      </c>
      <c r="D1293" s="1">
        <f>IFERROR(__xludf.DUMMYFUNCTION("""COMPUTED_VALUE"""),75600.0)</f>
        <v>75600</v>
      </c>
      <c r="E1293" s="1">
        <f>IFERROR(__xludf.DUMMYFUNCTION("""COMPUTED_VALUE"""),76300.0)</f>
        <v>76300</v>
      </c>
      <c r="F1293" s="1">
        <f>IFERROR(__xludf.DUMMYFUNCTION("""COMPUTED_VALUE"""),11439.0)</f>
        <v>11439</v>
      </c>
    </row>
    <row r="1294">
      <c r="A1294" s="2">
        <f>IFERROR(__xludf.DUMMYFUNCTION("""COMPUTED_VALUE"""),42824.64583333333)</f>
        <v>42824.64583</v>
      </c>
      <c r="B1294" s="1">
        <f>IFERROR(__xludf.DUMMYFUNCTION("""COMPUTED_VALUE"""),76000.0)</f>
        <v>76000</v>
      </c>
      <c r="C1294" s="1">
        <f>IFERROR(__xludf.DUMMYFUNCTION("""COMPUTED_VALUE"""),78200.0)</f>
        <v>78200</v>
      </c>
      <c r="D1294" s="1">
        <f>IFERROR(__xludf.DUMMYFUNCTION("""COMPUTED_VALUE"""),76000.0)</f>
        <v>76000</v>
      </c>
      <c r="E1294" s="1">
        <f>IFERROR(__xludf.DUMMYFUNCTION("""COMPUTED_VALUE"""),77500.0)</f>
        <v>77500</v>
      </c>
      <c r="F1294" s="1">
        <f>IFERROR(__xludf.DUMMYFUNCTION("""COMPUTED_VALUE"""),12633.0)</f>
        <v>12633</v>
      </c>
    </row>
    <row r="1295">
      <c r="A1295" s="2">
        <f>IFERROR(__xludf.DUMMYFUNCTION("""COMPUTED_VALUE"""),42825.64583333333)</f>
        <v>42825.64583</v>
      </c>
      <c r="B1295" s="1">
        <f>IFERROR(__xludf.DUMMYFUNCTION("""COMPUTED_VALUE"""),77800.0)</f>
        <v>77800</v>
      </c>
      <c r="C1295" s="1">
        <f>IFERROR(__xludf.DUMMYFUNCTION("""COMPUTED_VALUE"""),79900.0)</f>
        <v>79900</v>
      </c>
      <c r="D1295" s="1">
        <f>IFERROR(__xludf.DUMMYFUNCTION("""COMPUTED_VALUE"""),77800.0)</f>
        <v>77800</v>
      </c>
      <c r="E1295" s="1">
        <f>IFERROR(__xludf.DUMMYFUNCTION("""COMPUTED_VALUE"""),79200.0)</f>
        <v>79200</v>
      </c>
      <c r="F1295" s="1">
        <f>IFERROR(__xludf.DUMMYFUNCTION("""COMPUTED_VALUE"""),28354.0)</f>
        <v>28354</v>
      </c>
    </row>
    <row r="1296">
      <c r="A1296" s="2">
        <f>IFERROR(__xludf.DUMMYFUNCTION("""COMPUTED_VALUE"""),42828.64583333333)</f>
        <v>42828.64583</v>
      </c>
      <c r="B1296" s="1">
        <f>IFERROR(__xludf.DUMMYFUNCTION("""COMPUTED_VALUE"""),79100.0)</f>
        <v>79100</v>
      </c>
      <c r="C1296" s="1">
        <f>IFERROR(__xludf.DUMMYFUNCTION("""COMPUTED_VALUE"""),79600.0)</f>
        <v>79600</v>
      </c>
      <c r="D1296" s="1">
        <f>IFERROR(__xludf.DUMMYFUNCTION("""COMPUTED_VALUE"""),77900.0)</f>
        <v>77900</v>
      </c>
      <c r="E1296" s="1">
        <f>IFERROR(__xludf.DUMMYFUNCTION("""COMPUTED_VALUE"""),78600.0)</f>
        <v>78600</v>
      </c>
      <c r="F1296" s="1">
        <f>IFERROR(__xludf.DUMMYFUNCTION("""COMPUTED_VALUE"""),16431.0)</f>
        <v>16431</v>
      </c>
    </row>
    <row r="1297">
      <c r="A1297" s="2">
        <f>IFERROR(__xludf.DUMMYFUNCTION("""COMPUTED_VALUE"""),42829.64583333333)</f>
        <v>42829.64583</v>
      </c>
      <c r="B1297" s="1">
        <f>IFERROR(__xludf.DUMMYFUNCTION("""COMPUTED_VALUE"""),78900.0)</f>
        <v>78900</v>
      </c>
      <c r="C1297" s="1">
        <f>IFERROR(__xludf.DUMMYFUNCTION("""COMPUTED_VALUE"""),79800.0)</f>
        <v>79800</v>
      </c>
      <c r="D1297" s="1">
        <f>IFERROR(__xludf.DUMMYFUNCTION("""COMPUTED_VALUE"""),73400.0)</f>
        <v>73400</v>
      </c>
      <c r="E1297" s="1">
        <f>IFERROR(__xludf.DUMMYFUNCTION("""COMPUTED_VALUE"""),75700.0)</f>
        <v>75700</v>
      </c>
      <c r="F1297" s="1">
        <f>IFERROR(__xludf.DUMMYFUNCTION("""COMPUTED_VALUE"""),33969.0)</f>
        <v>33969</v>
      </c>
    </row>
    <row r="1298">
      <c r="A1298" s="2">
        <f>IFERROR(__xludf.DUMMYFUNCTION("""COMPUTED_VALUE"""),42830.64583333333)</f>
        <v>42830.64583</v>
      </c>
      <c r="B1298" s="1">
        <f>IFERROR(__xludf.DUMMYFUNCTION("""COMPUTED_VALUE"""),76100.0)</f>
        <v>76100</v>
      </c>
      <c r="C1298" s="1">
        <f>IFERROR(__xludf.DUMMYFUNCTION("""COMPUTED_VALUE"""),76300.0)</f>
        <v>76300</v>
      </c>
      <c r="D1298" s="1">
        <f>IFERROR(__xludf.DUMMYFUNCTION("""COMPUTED_VALUE"""),75000.0)</f>
        <v>75000</v>
      </c>
      <c r="E1298" s="1">
        <f>IFERROR(__xludf.DUMMYFUNCTION("""COMPUTED_VALUE"""),76200.0)</f>
        <v>76200</v>
      </c>
      <c r="F1298" s="1">
        <f>IFERROR(__xludf.DUMMYFUNCTION("""COMPUTED_VALUE"""),14620.0)</f>
        <v>14620</v>
      </c>
    </row>
    <row r="1299">
      <c r="A1299" s="2">
        <f>IFERROR(__xludf.DUMMYFUNCTION("""COMPUTED_VALUE"""),42831.64583333333)</f>
        <v>42831.64583</v>
      </c>
      <c r="B1299" s="1">
        <f>IFERROR(__xludf.DUMMYFUNCTION("""COMPUTED_VALUE"""),75900.0)</f>
        <v>75900</v>
      </c>
      <c r="C1299" s="1">
        <f>IFERROR(__xludf.DUMMYFUNCTION("""COMPUTED_VALUE"""),76500.0)</f>
        <v>76500</v>
      </c>
      <c r="D1299" s="1">
        <f>IFERROR(__xludf.DUMMYFUNCTION("""COMPUTED_VALUE"""),75600.0)</f>
        <v>75600</v>
      </c>
      <c r="E1299" s="1">
        <f>IFERROR(__xludf.DUMMYFUNCTION("""COMPUTED_VALUE"""),76300.0)</f>
        <v>76300</v>
      </c>
      <c r="F1299" s="1">
        <f>IFERROR(__xludf.DUMMYFUNCTION("""COMPUTED_VALUE"""),5955.0)</f>
        <v>5955</v>
      </c>
    </row>
    <row r="1300">
      <c r="A1300" s="2">
        <f>IFERROR(__xludf.DUMMYFUNCTION("""COMPUTED_VALUE"""),42832.64583333333)</f>
        <v>42832.64583</v>
      </c>
      <c r="B1300" s="1">
        <f>IFERROR(__xludf.DUMMYFUNCTION("""COMPUTED_VALUE"""),76000.0)</f>
        <v>76000</v>
      </c>
      <c r="C1300" s="1">
        <f>IFERROR(__xludf.DUMMYFUNCTION("""COMPUTED_VALUE"""),76500.0)</f>
        <v>76500</v>
      </c>
      <c r="D1300" s="1">
        <f>IFERROR(__xludf.DUMMYFUNCTION("""COMPUTED_VALUE"""),75600.0)</f>
        <v>75600</v>
      </c>
      <c r="E1300" s="1">
        <f>IFERROR(__xludf.DUMMYFUNCTION("""COMPUTED_VALUE"""),76500.0)</f>
        <v>76500</v>
      </c>
      <c r="F1300" s="1">
        <f>IFERROR(__xludf.DUMMYFUNCTION("""COMPUTED_VALUE"""),9785.0)</f>
        <v>9785</v>
      </c>
    </row>
    <row r="1301">
      <c r="A1301" s="2">
        <f>IFERROR(__xludf.DUMMYFUNCTION("""COMPUTED_VALUE"""),42835.64583333333)</f>
        <v>42835.64583</v>
      </c>
      <c r="B1301" s="1">
        <f>IFERROR(__xludf.DUMMYFUNCTION("""COMPUTED_VALUE"""),76200.0)</f>
        <v>76200</v>
      </c>
      <c r="C1301" s="1">
        <f>IFERROR(__xludf.DUMMYFUNCTION("""COMPUTED_VALUE"""),76500.0)</f>
        <v>76500</v>
      </c>
      <c r="D1301" s="1">
        <f>IFERROR(__xludf.DUMMYFUNCTION("""COMPUTED_VALUE"""),74100.0)</f>
        <v>74100</v>
      </c>
      <c r="E1301" s="1">
        <f>IFERROR(__xludf.DUMMYFUNCTION("""COMPUTED_VALUE"""),74600.0)</f>
        <v>74600</v>
      </c>
      <c r="F1301" s="1">
        <f>IFERROR(__xludf.DUMMYFUNCTION("""COMPUTED_VALUE"""),17215.0)</f>
        <v>17215</v>
      </c>
    </row>
    <row r="1302">
      <c r="A1302" s="2">
        <f>IFERROR(__xludf.DUMMYFUNCTION("""COMPUTED_VALUE"""),42836.64583333333)</f>
        <v>42836.64583</v>
      </c>
      <c r="B1302" s="1">
        <f>IFERROR(__xludf.DUMMYFUNCTION("""COMPUTED_VALUE"""),74600.0)</f>
        <v>74600</v>
      </c>
      <c r="C1302" s="1">
        <f>IFERROR(__xludf.DUMMYFUNCTION("""COMPUTED_VALUE"""),75000.0)</f>
        <v>75000</v>
      </c>
      <c r="D1302" s="1">
        <f>IFERROR(__xludf.DUMMYFUNCTION("""COMPUTED_VALUE"""),74300.0)</f>
        <v>74300</v>
      </c>
      <c r="E1302" s="1">
        <f>IFERROR(__xludf.DUMMYFUNCTION("""COMPUTED_VALUE"""),74800.0)</f>
        <v>74800</v>
      </c>
      <c r="F1302" s="1">
        <f>IFERROR(__xludf.DUMMYFUNCTION("""COMPUTED_VALUE"""),10771.0)</f>
        <v>10771</v>
      </c>
    </row>
    <row r="1303">
      <c r="A1303" s="2">
        <f>IFERROR(__xludf.DUMMYFUNCTION("""COMPUTED_VALUE"""),42837.64583333333)</f>
        <v>42837.64583</v>
      </c>
      <c r="B1303" s="1">
        <f>IFERROR(__xludf.DUMMYFUNCTION("""COMPUTED_VALUE"""),74500.0)</f>
        <v>74500</v>
      </c>
      <c r="C1303" s="1">
        <f>IFERROR(__xludf.DUMMYFUNCTION("""COMPUTED_VALUE"""),76100.0)</f>
        <v>76100</v>
      </c>
      <c r="D1303" s="1">
        <f>IFERROR(__xludf.DUMMYFUNCTION("""COMPUTED_VALUE"""),74500.0)</f>
        <v>74500</v>
      </c>
      <c r="E1303" s="1">
        <f>IFERROR(__xludf.DUMMYFUNCTION("""COMPUTED_VALUE"""),75600.0)</f>
        <v>75600</v>
      </c>
      <c r="F1303" s="1">
        <f>IFERROR(__xludf.DUMMYFUNCTION("""COMPUTED_VALUE"""),12162.0)</f>
        <v>12162</v>
      </c>
    </row>
    <row r="1304">
      <c r="A1304" s="2">
        <f>IFERROR(__xludf.DUMMYFUNCTION("""COMPUTED_VALUE"""),42838.64583333333)</f>
        <v>42838.64583</v>
      </c>
      <c r="B1304" s="1">
        <f>IFERROR(__xludf.DUMMYFUNCTION("""COMPUTED_VALUE"""),76000.0)</f>
        <v>76000</v>
      </c>
      <c r="C1304" s="1">
        <f>IFERROR(__xludf.DUMMYFUNCTION("""COMPUTED_VALUE"""),76500.0)</f>
        <v>76500</v>
      </c>
      <c r="D1304" s="1">
        <f>IFERROR(__xludf.DUMMYFUNCTION("""COMPUTED_VALUE"""),75100.0)</f>
        <v>75100</v>
      </c>
      <c r="E1304" s="1">
        <f>IFERROR(__xludf.DUMMYFUNCTION("""COMPUTED_VALUE"""),76400.0)</f>
        <v>76400</v>
      </c>
      <c r="F1304" s="1">
        <f>IFERROR(__xludf.DUMMYFUNCTION("""COMPUTED_VALUE"""),12499.0)</f>
        <v>12499</v>
      </c>
    </row>
    <row r="1305">
      <c r="A1305" s="2">
        <f>IFERROR(__xludf.DUMMYFUNCTION("""COMPUTED_VALUE"""),42839.64583333333)</f>
        <v>42839.64583</v>
      </c>
      <c r="B1305" s="1">
        <f>IFERROR(__xludf.DUMMYFUNCTION("""COMPUTED_VALUE"""),76600.0)</f>
        <v>76600</v>
      </c>
      <c r="C1305" s="1">
        <f>IFERROR(__xludf.DUMMYFUNCTION("""COMPUTED_VALUE"""),76600.0)</f>
        <v>76600</v>
      </c>
      <c r="D1305" s="1">
        <f>IFERROR(__xludf.DUMMYFUNCTION("""COMPUTED_VALUE"""),75600.0)</f>
        <v>75600</v>
      </c>
      <c r="E1305" s="1">
        <f>IFERROR(__xludf.DUMMYFUNCTION("""COMPUTED_VALUE"""),76000.0)</f>
        <v>76000</v>
      </c>
      <c r="F1305" s="1">
        <f>IFERROR(__xludf.DUMMYFUNCTION("""COMPUTED_VALUE"""),9114.0)</f>
        <v>9114</v>
      </c>
    </row>
    <row r="1306">
      <c r="A1306" s="2">
        <f>IFERROR(__xludf.DUMMYFUNCTION("""COMPUTED_VALUE"""),42842.64583333333)</f>
        <v>42842.64583</v>
      </c>
      <c r="B1306" s="1">
        <f>IFERROR(__xludf.DUMMYFUNCTION("""COMPUTED_VALUE"""),75900.0)</f>
        <v>75900</v>
      </c>
      <c r="C1306" s="1">
        <f>IFERROR(__xludf.DUMMYFUNCTION("""COMPUTED_VALUE"""),76800.0)</f>
        <v>76800</v>
      </c>
      <c r="D1306" s="1">
        <f>IFERROR(__xludf.DUMMYFUNCTION("""COMPUTED_VALUE"""),75900.0)</f>
        <v>75900</v>
      </c>
      <c r="E1306" s="1">
        <f>IFERROR(__xludf.DUMMYFUNCTION("""COMPUTED_VALUE"""),76800.0)</f>
        <v>76800</v>
      </c>
      <c r="F1306" s="1">
        <f>IFERROR(__xludf.DUMMYFUNCTION("""COMPUTED_VALUE"""),18006.0)</f>
        <v>18006</v>
      </c>
    </row>
    <row r="1307">
      <c r="A1307" s="2">
        <f>IFERROR(__xludf.DUMMYFUNCTION("""COMPUTED_VALUE"""),42843.64583333333)</f>
        <v>42843.64583</v>
      </c>
      <c r="B1307" s="1">
        <f>IFERROR(__xludf.DUMMYFUNCTION("""COMPUTED_VALUE"""),77200.0)</f>
        <v>77200</v>
      </c>
      <c r="C1307" s="1">
        <f>IFERROR(__xludf.DUMMYFUNCTION("""COMPUTED_VALUE"""),77600.0)</f>
        <v>77600</v>
      </c>
      <c r="D1307" s="1">
        <f>IFERROR(__xludf.DUMMYFUNCTION("""COMPUTED_VALUE"""),76100.0)</f>
        <v>76100</v>
      </c>
      <c r="E1307" s="1">
        <f>IFERROR(__xludf.DUMMYFUNCTION("""COMPUTED_VALUE"""),76800.0)</f>
        <v>76800</v>
      </c>
      <c r="F1307" s="1">
        <f>IFERROR(__xludf.DUMMYFUNCTION("""COMPUTED_VALUE"""),11194.0)</f>
        <v>11194</v>
      </c>
    </row>
    <row r="1308">
      <c r="A1308" s="2">
        <f>IFERROR(__xludf.DUMMYFUNCTION("""COMPUTED_VALUE"""),42844.64583333333)</f>
        <v>42844.64583</v>
      </c>
      <c r="B1308" s="1">
        <f>IFERROR(__xludf.DUMMYFUNCTION("""COMPUTED_VALUE"""),76800.0)</f>
        <v>76800</v>
      </c>
      <c r="C1308" s="1">
        <f>IFERROR(__xludf.DUMMYFUNCTION("""COMPUTED_VALUE"""),80000.0)</f>
        <v>80000</v>
      </c>
      <c r="D1308" s="1">
        <f>IFERROR(__xludf.DUMMYFUNCTION("""COMPUTED_VALUE"""),76700.0)</f>
        <v>76700</v>
      </c>
      <c r="E1308" s="1">
        <f>IFERROR(__xludf.DUMMYFUNCTION("""COMPUTED_VALUE"""),79700.0)</f>
        <v>79700</v>
      </c>
      <c r="F1308" s="1">
        <f>IFERROR(__xludf.DUMMYFUNCTION("""COMPUTED_VALUE"""),35497.0)</f>
        <v>35497</v>
      </c>
    </row>
    <row r="1309">
      <c r="A1309" s="2">
        <f>IFERROR(__xludf.DUMMYFUNCTION("""COMPUTED_VALUE"""),42845.64583333333)</f>
        <v>42845.64583</v>
      </c>
      <c r="B1309" s="1">
        <f>IFERROR(__xludf.DUMMYFUNCTION("""COMPUTED_VALUE"""),79500.0)</f>
        <v>79500</v>
      </c>
      <c r="C1309" s="1">
        <f>IFERROR(__xludf.DUMMYFUNCTION("""COMPUTED_VALUE"""),80000.0)</f>
        <v>80000</v>
      </c>
      <c r="D1309" s="1">
        <f>IFERROR(__xludf.DUMMYFUNCTION("""COMPUTED_VALUE"""),78800.0)</f>
        <v>78800</v>
      </c>
      <c r="E1309" s="1">
        <f>IFERROR(__xludf.DUMMYFUNCTION("""COMPUTED_VALUE"""),79800.0)</f>
        <v>79800</v>
      </c>
      <c r="F1309" s="1">
        <f>IFERROR(__xludf.DUMMYFUNCTION("""COMPUTED_VALUE"""),22381.0)</f>
        <v>22381</v>
      </c>
    </row>
    <row r="1310">
      <c r="A1310" s="2">
        <f>IFERROR(__xludf.DUMMYFUNCTION("""COMPUTED_VALUE"""),42846.64583333333)</f>
        <v>42846.64583</v>
      </c>
      <c r="B1310" s="1">
        <f>IFERROR(__xludf.DUMMYFUNCTION("""COMPUTED_VALUE"""),80500.0)</f>
        <v>80500</v>
      </c>
      <c r="C1310" s="1">
        <f>IFERROR(__xludf.DUMMYFUNCTION("""COMPUTED_VALUE"""),80600.0)</f>
        <v>80600</v>
      </c>
      <c r="D1310" s="1">
        <f>IFERROR(__xludf.DUMMYFUNCTION("""COMPUTED_VALUE"""),79000.0)</f>
        <v>79000</v>
      </c>
      <c r="E1310" s="1">
        <f>IFERROR(__xludf.DUMMYFUNCTION("""COMPUTED_VALUE"""),79800.0)</f>
        <v>79800</v>
      </c>
      <c r="F1310" s="1">
        <f>IFERROR(__xludf.DUMMYFUNCTION("""COMPUTED_VALUE"""),19839.0)</f>
        <v>19839</v>
      </c>
    </row>
    <row r="1311">
      <c r="A1311" s="2">
        <f>IFERROR(__xludf.DUMMYFUNCTION("""COMPUTED_VALUE"""),42849.64583333333)</f>
        <v>42849.64583</v>
      </c>
      <c r="B1311" s="1">
        <f>IFERROR(__xludf.DUMMYFUNCTION("""COMPUTED_VALUE"""),79500.0)</f>
        <v>79500</v>
      </c>
      <c r="C1311" s="1">
        <f>IFERROR(__xludf.DUMMYFUNCTION("""COMPUTED_VALUE"""),79800.0)</f>
        <v>79800</v>
      </c>
      <c r="D1311" s="1">
        <f>IFERROR(__xludf.DUMMYFUNCTION("""COMPUTED_VALUE"""),79000.0)</f>
        <v>79000</v>
      </c>
      <c r="E1311" s="1">
        <f>IFERROR(__xludf.DUMMYFUNCTION("""COMPUTED_VALUE"""),79400.0)</f>
        <v>79400</v>
      </c>
      <c r="F1311" s="1">
        <f>IFERROR(__xludf.DUMMYFUNCTION("""COMPUTED_VALUE"""),14574.0)</f>
        <v>14574</v>
      </c>
    </row>
    <row r="1312">
      <c r="A1312" s="2">
        <f>IFERROR(__xludf.DUMMYFUNCTION("""COMPUTED_VALUE"""),42850.64583333333)</f>
        <v>42850.64583</v>
      </c>
      <c r="B1312" s="1">
        <f>IFERROR(__xludf.DUMMYFUNCTION("""COMPUTED_VALUE"""),79800.0)</f>
        <v>79800</v>
      </c>
      <c r="C1312" s="1">
        <f>IFERROR(__xludf.DUMMYFUNCTION("""COMPUTED_VALUE"""),80000.0)</f>
        <v>80000</v>
      </c>
      <c r="D1312" s="1">
        <f>IFERROR(__xludf.DUMMYFUNCTION("""COMPUTED_VALUE"""),79500.0)</f>
        <v>79500</v>
      </c>
      <c r="E1312" s="1">
        <f>IFERROR(__xludf.DUMMYFUNCTION("""COMPUTED_VALUE"""),80000.0)</f>
        <v>80000</v>
      </c>
      <c r="F1312" s="1">
        <f>IFERROR(__xludf.DUMMYFUNCTION("""COMPUTED_VALUE"""),19452.0)</f>
        <v>19452</v>
      </c>
    </row>
    <row r="1313">
      <c r="A1313" s="2">
        <f>IFERROR(__xludf.DUMMYFUNCTION("""COMPUTED_VALUE"""),42851.64583333333)</f>
        <v>42851.64583</v>
      </c>
      <c r="B1313" s="1">
        <f>IFERROR(__xludf.DUMMYFUNCTION("""COMPUTED_VALUE"""),80000.0)</f>
        <v>80000</v>
      </c>
      <c r="C1313" s="1">
        <f>IFERROR(__xludf.DUMMYFUNCTION("""COMPUTED_VALUE"""),80800.0)</f>
        <v>80800</v>
      </c>
      <c r="D1313" s="1">
        <f>IFERROR(__xludf.DUMMYFUNCTION("""COMPUTED_VALUE"""),80000.0)</f>
        <v>80000</v>
      </c>
      <c r="E1313" s="1">
        <f>IFERROR(__xludf.DUMMYFUNCTION("""COMPUTED_VALUE"""),80600.0)</f>
        <v>80600</v>
      </c>
      <c r="F1313" s="1">
        <f>IFERROR(__xludf.DUMMYFUNCTION("""COMPUTED_VALUE"""),11975.0)</f>
        <v>11975</v>
      </c>
    </row>
    <row r="1314">
      <c r="A1314" s="2">
        <f>IFERROR(__xludf.DUMMYFUNCTION("""COMPUTED_VALUE"""),42852.64583333333)</f>
        <v>42852.64583</v>
      </c>
      <c r="B1314" s="1">
        <f>IFERROR(__xludf.DUMMYFUNCTION("""COMPUTED_VALUE"""),81000.0)</f>
        <v>81000</v>
      </c>
      <c r="C1314" s="1">
        <f>IFERROR(__xludf.DUMMYFUNCTION("""COMPUTED_VALUE"""),81100.0)</f>
        <v>81100</v>
      </c>
      <c r="D1314" s="1">
        <f>IFERROR(__xludf.DUMMYFUNCTION("""COMPUTED_VALUE"""),80500.0)</f>
        <v>80500</v>
      </c>
      <c r="E1314" s="1">
        <f>IFERROR(__xludf.DUMMYFUNCTION("""COMPUTED_VALUE"""),80900.0)</f>
        <v>80900</v>
      </c>
      <c r="F1314" s="1">
        <f>IFERROR(__xludf.DUMMYFUNCTION("""COMPUTED_VALUE"""),11371.0)</f>
        <v>11371</v>
      </c>
    </row>
    <row r="1315">
      <c r="A1315" s="2">
        <f>IFERROR(__xludf.DUMMYFUNCTION("""COMPUTED_VALUE"""),42853.64583333333)</f>
        <v>42853.64583</v>
      </c>
      <c r="B1315" s="1">
        <f>IFERROR(__xludf.DUMMYFUNCTION("""COMPUTED_VALUE"""),80900.0)</f>
        <v>80900</v>
      </c>
      <c r="C1315" s="1">
        <f>IFERROR(__xludf.DUMMYFUNCTION("""COMPUTED_VALUE"""),81000.0)</f>
        <v>81000</v>
      </c>
      <c r="D1315" s="1">
        <f>IFERROR(__xludf.DUMMYFUNCTION("""COMPUTED_VALUE"""),79800.0)</f>
        <v>79800</v>
      </c>
      <c r="E1315" s="1">
        <f>IFERROR(__xludf.DUMMYFUNCTION("""COMPUTED_VALUE"""),81000.0)</f>
        <v>81000</v>
      </c>
      <c r="F1315" s="1">
        <f>IFERROR(__xludf.DUMMYFUNCTION("""COMPUTED_VALUE"""),15033.0)</f>
        <v>15033</v>
      </c>
    </row>
    <row r="1316">
      <c r="A1316" s="2">
        <f>IFERROR(__xludf.DUMMYFUNCTION("""COMPUTED_VALUE"""),42857.64583333333)</f>
        <v>42857.64583</v>
      </c>
      <c r="B1316" s="1">
        <f>IFERROR(__xludf.DUMMYFUNCTION("""COMPUTED_VALUE"""),81200.0)</f>
        <v>81200</v>
      </c>
      <c r="C1316" s="1">
        <f>IFERROR(__xludf.DUMMYFUNCTION("""COMPUTED_VALUE"""),82400.0)</f>
        <v>82400</v>
      </c>
      <c r="D1316" s="1">
        <f>IFERROR(__xludf.DUMMYFUNCTION("""COMPUTED_VALUE"""),80100.0)</f>
        <v>80100</v>
      </c>
      <c r="E1316" s="1">
        <f>IFERROR(__xludf.DUMMYFUNCTION("""COMPUTED_VALUE"""),82000.0)</f>
        <v>82000</v>
      </c>
      <c r="F1316" s="1">
        <f>IFERROR(__xludf.DUMMYFUNCTION("""COMPUTED_VALUE"""),14531.0)</f>
        <v>14531</v>
      </c>
    </row>
    <row r="1317">
      <c r="A1317" s="2">
        <f>IFERROR(__xludf.DUMMYFUNCTION("""COMPUTED_VALUE"""),42859.64583333333)</f>
        <v>42859.64583</v>
      </c>
      <c r="B1317" s="1">
        <f>IFERROR(__xludf.DUMMYFUNCTION("""COMPUTED_VALUE"""),82900.0)</f>
        <v>82900</v>
      </c>
      <c r="C1317" s="1">
        <f>IFERROR(__xludf.DUMMYFUNCTION("""COMPUTED_VALUE"""),83200.0)</f>
        <v>83200</v>
      </c>
      <c r="D1317" s="1">
        <f>IFERROR(__xludf.DUMMYFUNCTION("""COMPUTED_VALUE"""),81700.0)</f>
        <v>81700</v>
      </c>
      <c r="E1317" s="1">
        <f>IFERROR(__xludf.DUMMYFUNCTION("""COMPUTED_VALUE"""),82500.0)</f>
        <v>82500</v>
      </c>
      <c r="F1317" s="1">
        <f>IFERROR(__xludf.DUMMYFUNCTION("""COMPUTED_VALUE"""),8673.0)</f>
        <v>8673</v>
      </c>
    </row>
    <row r="1318">
      <c r="A1318" s="2">
        <f>IFERROR(__xludf.DUMMYFUNCTION("""COMPUTED_VALUE"""),42863.64583333333)</f>
        <v>42863.64583</v>
      </c>
      <c r="B1318" s="1">
        <f>IFERROR(__xludf.DUMMYFUNCTION("""COMPUTED_VALUE"""),82200.0)</f>
        <v>82200</v>
      </c>
      <c r="C1318" s="1">
        <f>IFERROR(__xludf.DUMMYFUNCTION("""COMPUTED_VALUE"""),82200.0)</f>
        <v>82200</v>
      </c>
      <c r="D1318" s="1">
        <f>IFERROR(__xludf.DUMMYFUNCTION("""COMPUTED_VALUE"""),80500.0)</f>
        <v>80500</v>
      </c>
      <c r="E1318" s="1">
        <f>IFERROR(__xludf.DUMMYFUNCTION("""COMPUTED_VALUE"""),81500.0)</f>
        <v>81500</v>
      </c>
      <c r="F1318" s="1">
        <f>IFERROR(__xludf.DUMMYFUNCTION("""COMPUTED_VALUE"""),16593.0)</f>
        <v>16593</v>
      </c>
    </row>
    <row r="1319">
      <c r="A1319" s="2">
        <f>IFERROR(__xludf.DUMMYFUNCTION("""COMPUTED_VALUE"""),42865.64583333333)</f>
        <v>42865.64583</v>
      </c>
      <c r="B1319" s="1">
        <f>IFERROR(__xludf.DUMMYFUNCTION("""COMPUTED_VALUE"""),81500.0)</f>
        <v>81500</v>
      </c>
      <c r="C1319" s="1">
        <f>IFERROR(__xludf.DUMMYFUNCTION("""COMPUTED_VALUE"""),81800.0)</f>
        <v>81800</v>
      </c>
      <c r="D1319" s="1">
        <f>IFERROR(__xludf.DUMMYFUNCTION("""COMPUTED_VALUE"""),80000.0)</f>
        <v>80000</v>
      </c>
      <c r="E1319" s="1">
        <f>IFERROR(__xludf.DUMMYFUNCTION("""COMPUTED_VALUE"""),80100.0)</f>
        <v>80100</v>
      </c>
      <c r="F1319" s="1">
        <f>IFERROR(__xludf.DUMMYFUNCTION("""COMPUTED_VALUE"""),16962.0)</f>
        <v>16962</v>
      </c>
    </row>
    <row r="1320">
      <c r="A1320" s="2">
        <f>IFERROR(__xludf.DUMMYFUNCTION("""COMPUTED_VALUE"""),42866.64583333333)</f>
        <v>42866.64583</v>
      </c>
      <c r="B1320" s="1">
        <f>IFERROR(__xludf.DUMMYFUNCTION("""COMPUTED_VALUE"""),80500.0)</f>
        <v>80500</v>
      </c>
      <c r="C1320" s="1">
        <f>IFERROR(__xludf.DUMMYFUNCTION("""COMPUTED_VALUE"""),82700.0)</f>
        <v>82700</v>
      </c>
      <c r="D1320" s="1">
        <f>IFERROR(__xludf.DUMMYFUNCTION("""COMPUTED_VALUE"""),80100.0)</f>
        <v>80100</v>
      </c>
      <c r="E1320" s="1">
        <f>IFERROR(__xludf.DUMMYFUNCTION("""COMPUTED_VALUE"""),81900.0)</f>
        <v>81900</v>
      </c>
      <c r="F1320" s="1">
        <f>IFERROR(__xludf.DUMMYFUNCTION("""COMPUTED_VALUE"""),13732.0)</f>
        <v>13732</v>
      </c>
    </row>
    <row r="1321">
      <c r="A1321" s="2">
        <f>IFERROR(__xludf.DUMMYFUNCTION("""COMPUTED_VALUE"""),42867.64583333333)</f>
        <v>42867.64583</v>
      </c>
      <c r="B1321" s="1">
        <f>IFERROR(__xludf.DUMMYFUNCTION("""COMPUTED_VALUE"""),81900.0)</f>
        <v>81900</v>
      </c>
      <c r="C1321" s="1">
        <f>IFERROR(__xludf.DUMMYFUNCTION("""COMPUTED_VALUE"""),83500.0)</f>
        <v>83500</v>
      </c>
      <c r="D1321" s="1">
        <f>IFERROR(__xludf.DUMMYFUNCTION("""COMPUTED_VALUE"""),81100.0)</f>
        <v>81100</v>
      </c>
      <c r="E1321" s="1">
        <f>IFERROR(__xludf.DUMMYFUNCTION("""COMPUTED_VALUE"""),81400.0)</f>
        <v>81400</v>
      </c>
      <c r="F1321" s="1">
        <f>IFERROR(__xludf.DUMMYFUNCTION("""COMPUTED_VALUE"""),7480.0)</f>
        <v>7480</v>
      </c>
    </row>
    <row r="1322">
      <c r="A1322" s="2">
        <f>IFERROR(__xludf.DUMMYFUNCTION("""COMPUTED_VALUE"""),42870.64583333333)</f>
        <v>42870.64583</v>
      </c>
      <c r="B1322" s="1">
        <f>IFERROR(__xludf.DUMMYFUNCTION("""COMPUTED_VALUE"""),81800.0)</f>
        <v>81800</v>
      </c>
      <c r="C1322" s="1">
        <f>IFERROR(__xludf.DUMMYFUNCTION("""COMPUTED_VALUE"""),81800.0)</f>
        <v>81800</v>
      </c>
      <c r="D1322" s="1">
        <f>IFERROR(__xludf.DUMMYFUNCTION("""COMPUTED_VALUE"""),80900.0)</f>
        <v>80900</v>
      </c>
      <c r="E1322" s="1">
        <f>IFERROR(__xludf.DUMMYFUNCTION("""COMPUTED_VALUE"""),81700.0)</f>
        <v>81700</v>
      </c>
      <c r="F1322" s="1">
        <f>IFERROR(__xludf.DUMMYFUNCTION("""COMPUTED_VALUE"""),19220.0)</f>
        <v>19220</v>
      </c>
    </row>
    <row r="1323">
      <c r="A1323" s="2">
        <f>IFERROR(__xludf.DUMMYFUNCTION("""COMPUTED_VALUE"""),42871.64583333333)</f>
        <v>42871.64583</v>
      </c>
      <c r="B1323" s="1">
        <f>IFERROR(__xludf.DUMMYFUNCTION("""COMPUTED_VALUE"""),82000.0)</f>
        <v>82000</v>
      </c>
      <c r="C1323" s="1">
        <f>IFERROR(__xludf.DUMMYFUNCTION("""COMPUTED_VALUE"""),82500.0)</f>
        <v>82500</v>
      </c>
      <c r="D1323" s="1">
        <f>IFERROR(__xludf.DUMMYFUNCTION("""COMPUTED_VALUE"""),81300.0)</f>
        <v>81300</v>
      </c>
      <c r="E1323" s="1">
        <f>IFERROR(__xludf.DUMMYFUNCTION("""COMPUTED_VALUE"""),82100.0)</f>
        <v>82100</v>
      </c>
      <c r="F1323" s="1">
        <f>IFERROR(__xludf.DUMMYFUNCTION("""COMPUTED_VALUE"""),13335.0)</f>
        <v>13335</v>
      </c>
    </row>
    <row r="1324">
      <c r="A1324" s="2">
        <f>IFERROR(__xludf.DUMMYFUNCTION("""COMPUTED_VALUE"""),42872.64583333333)</f>
        <v>42872.64583</v>
      </c>
      <c r="B1324" s="1">
        <f>IFERROR(__xludf.DUMMYFUNCTION("""COMPUTED_VALUE"""),81900.0)</f>
        <v>81900</v>
      </c>
      <c r="C1324" s="1">
        <f>IFERROR(__xludf.DUMMYFUNCTION("""COMPUTED_VALUE"""),82100.0)</f>
        <v>82100</v>
      </c>
      <c r="D1324" s="1">
        <f>IFERROR(__xludf.DUMMYFUNCTION("""COMPUTED_VALUE"""),80800.0)</f>
        <v>80800</v>
      </c>
      <c r="E1324" s="1">
        <f>IFERROR(__xludf.DUMMYFUNCTION("""COMPUTED_VALUE"""),81100.0)</f>
        <v>81100</v>
      </c>
      <c r="F1324" s="1">
        <f>IFERROR(__xludf.DUMMYFUNCTION("""COMPUTED_VALUE"""),11883.0)</f>
        <v>11883</v>
      </c>
    </row>
    <row r="1325">
      <c r="A1325" s="2">
        <f>IFERROR(__xludf.DUMMYFUNCTION("""COMPUTED_VALUE"""),42873.64583333333)</f>
        <v>42873.64583</v>
      </c>
      <c r="B1325" s="1">
        <f>IFERROR(__xludf.DUMMYFUNCTION("""COMPUTED_VALUE"""),80700.0)</f>
        <v>80700</v>
      </c>
      <c r="C1325" s="1">
        <f>IFERROR(__xludf.DUMMYFUNCTION("""COMPUTED_VALUE"""),80900.0)</f>
        <v>80900</v>
      </c>
      <c r="D1325" s="1">
        <f>IFERROR(__xludf.DUMMYFUNCTION("""COMPUTED_VALUE"""),79800.0)</f>
        <v>79800</v>
      </c>
      <c r="E1325" s="1">
        <f>IFERROR(__xludf.DUMMYFUNCTION("""COMPUTED_VALUE"""),80500.0)</f>
        <v>80500</v>
      </c>
      <c r="F1325" s="1">
        <f>IFERROR(__xludf.DUMMYFUNCTION("""COMPUTED_VALUE"""),18474.0)</f>
        <v>18474</v>
      </c>
    </row>
    <row r="1326">
      <c r="A1326" s="2">
        <f>IFERROR(__xludf.DUMMYFUNCTION("""COMPUTED_VALUE"""),42874.64583333333)</f>
        <v>42874.64583</v>
      </c>
      <c r="B1326" s="1">
        <f>IFERROR(__xludf.DUMMYFUNCTION("""COMPUTED_VALUE"""),80300.0)</f>
        <v>80300</v>
      </c>
      <c r="C1326" s="1">
        <f>IFERROR(__xludf.DUMMYFUNCTION("""COMPUTED_VALUE"""),80900.0)</f>
        <v>80900</v>
      </c>
      <c r="D1326" s="1">
        <f>IFERROR(__xludf.DUMMYFUNCTION("""COMPUTED_VALUE"""),79000.0)</f>
        <v>79000</v>
      </c>
      <c r="E1326" s="1">
        <f>IFERROR(__xludf.DUMMYFUNCTION("""COMPUTED_VALUE"""),80000.0)</f>
        <v>80000</v>
      </c>
      <c r="F1326" s="1">
        <f>IFERROR(__xludf.DUMMYFUNCTION("""COMPUTED_VALUE"""),17937.0)</f>
        <v>17937</v>
      </c>
    </row>
    <row r="1327">
      <c r="A1327" s="2">
        <f>IFERROR(__xludf.DUMMYFUNCTION("""COMPUTED_VALUE"""),42877.64583333333)</f>
        <v>42877.64583</v>
      </c>
      <c r="B1327" s="1">
        <f>IFERROR(__xludf.DUMMYFUNCTION("""COMPUTED_VALUE"""),80200.0)</f>
        <v>80200</v>
      </c>
      <c r="C1327" s="1">
        <f>IFERROR(__xludf.DUMMYFUNCTION("""COMPUTED_VALUE"""),80400.0)</f>
        <v>80400</v>
      </c>
      <c r="D1327" s="1">
        <f>IFERROR(__xludf.DUMMYFUNCTION("""COMPUTED_VALUE"""),79700.0)</f>
        <v>79700</v>
      </c>
      <c r="E1327" s="1">
        <f>IFERROR(__xludf.DUMMYFUNCTION("""COMPUTED_VALUE"""),80000.0)</f>
        <v>80000</v>
      </c>
      <c r="F1327" s="1">
        <f>IFERROR(__xludf.DUMMYFUNCTION("""COMPUTED_VALUE"""),14057.0)</f>
        <v>14057</v>
      </c>
    </row>
    <row r="1328">
      <c r="A1328" s="2">
        <f>IFERROR(__xludf.DUMMYFUNCTION("""COMPUTED_VALUE"""),42878.64583333333)</f>
        <v>42878.64583</v>
      </c>
      <c r="B1328" s="1">
        <f>IFERROR(__xludf.DUMMYFUNCTION("""COMPUTED_VALUE"""),80000.0)</f>
        <v>80000</v>
      </c>
      <c r="C1328" s="1">
        <f>IFERROR(__xludf.DUMMYFUNCTION("""COMPUTED_VALUE"""),81000.0)</f>
        <v>81000</v>
      </c>
      <c r="D1328" s="1">
        <f>IFERROR(__xludf.DUMMYFUNCTION("""COMPUTED_VALUE"""),79700.0)</f>
        <v>79700</v>
      </c>
      <c r="E1328" s="1">
        <f>IFERROR(__xludf.DUMMYFUNCTION("""COMPUTED_VALUE"""),80400.0)</f>
        <v>80400</v>
      </c>
      <c r="F1328" s="1">
        <f>IFERROR(__xludf.DUMMYFUNCTION("""COMPUTED_VALUE"""),17421.0)</f>
        <v>17421</v>
      </c>
    </row>
    <row r="1329">
      <c r="A1329" s="2">
        <f>IFERROR(__xludf.DUMMYFUNCTION("""COMPUTED_VALUE"""),42879.64583333333)</f>
        <v>42879.64583</v>
      </c>
      <c r="B1329" s="1">
        <f>IFERROR(__xludf.DUMMYFUNCTION("""COMPUTED_VALUE"""),80700.0)</f>
        <v>80700</v>
      </c>
      <c r="C1329" s="1">
        <f>IFERROR(__xludf.DUMMYFUNCTION("""COMPUTED_VALUE"""),80900.0)</f>
        <v>80900</v>
      </c>
      <c r="D1329" s="1">
        <f>IFERROR(__xludf.DUMMYFUNCTION("""COMPUTED_VALUE"""),80300.0)</f>
        <v>80300</v>
      </c>
      <c r="E1329" s="1">
        <f>IFERROR(__xludf.DUMMYFUNCTION("""COMPUTED_VALUE"""),80700.0)</f>
        <v>80700</v>
      </c>
      <c r="F1329" s="1">
        <f>IFERROR(__xludf.DUMMYFUNCTION("""COMPUTED_VALUE"""),5767.0)</f>
        <v>5767</v>
      </c>
    </row>
    <row r="1330">
      <c r="A1330" s="2">
        <f>IFERROR(__xludf.DUMMYFUNCTION("""COMPUTED_VALUE"""),42880.64583333333)</f>
        <v>42880.64583</v>
      </c>
      <c r="B1330" s="1">
        <f>IFERROR(__xludf.DUMMYFUNCTION("""COMPUTED_VALUE"""),80200.0)</f>
        <v>80200</v>
      </c>
      <c r="C1330" s="1">
        <f>IFERROR(__xludf.DUMMYFUNCTION("""COMPUTED_VALUE"""),80800.0)</f>
        <v>80800</v>
      </c>
      <c r="D1330" s="1">
        <f>IFERROR(__xludf.DUMMYFUNCTION("""COMPUTED_VALUE"""),80000.0)</f>
        <v>80000</v>
      </c>
      <c r="E1330" s="1">
        <f>IFERROR(__xludf.DUMMYFUNCTION("""COMPUTED_VALUE"""),80400.0)</f>
        <v>80400</v>
      </c>
      <c r="F1330" s="1">
        <f>IFERROR(__xludf.DUMMYFUNCTION("""COMPUTED_VALUE"""),9460.0)</f>
        <v>9460</v>
      </c>
    </row>
    <row r="1331">
      <c r="A1331" s="2">
        <f>IFERROR(__xludf.DUMMYFUNCTION("""COMPUTED_VALUE"""),42881.64583333333)</f>
        <v>42881.64583</v>
      </c>
      <c r="B1331" s="1">
        <f>IFERROR(__xludf.DUMMYFUNCTION("""COMPUTED_VALUE"""),80100.0)</f>
        <v>80100</v>
      </c>
      <c r="C1331" s="1">
        <f>IFERROR(__xludf.DUMMYFUNCTION("""COMPUTED_VALUE"""),80200.0)</f>
        <v>80200</v>
      </c>
      <c r="D1331" s="1">
        <f>IFERROR(__xludf.DUMMYFUNCTION("""COMPUTED_VALUE"""),79100.0)</f>
        <v>79100</v>
      </c>
      <c r="E1331" s="1">
        <f>IFERROR(__xludf.DUMMYFUNCTION("""COMPUTED_VALUE"""),79600.0)</f>
        <v>79600</v>
      </c>
      <c r="F1331" s="1">
        <f>IFERROR(__xludf.DUMMYFUNCTION("""COMPUTED_VALUE"""),20207.0)</f>
        <v>20207</v>
      </c>
    </row>
    <row r="1332">
      <c r="A1332" s="2">
        <f>IFERROR(__xludf.DUMMYFUNCTION("""COMPUTED_VALUE"""),42884.64583333333)</f>
        <v>42884.64583</v>
      </c>
      <c r="B1332" s="1">
        <f>IFERROR(__xludf.DUMMYFUNCTION("""COMPUTED_VALUE"""),79700.0)</f>
        <v>79700</v>
      </c>
      <c r="C1332" s="1">
        <f>IFERROR(__xludf.DUMMYFUNCTION("""COMPUTED_VALUE"""),80200.0)</f>
        <v>80200</v>
      </c>
      <c r="D1332" s="1">
        <f>IFERROR(__xludf.DUMMYFUNCTION("""COMPUTED_VALUE"""),79600.0)</f>
        <v>79600</v>
      </c>
      <c r="E1332" s="1">
        <f>IFERROR(__xludf.DUMMYFUNCTION("""COMPUTED_VALUE"""),80000.0)</f>
        <v>80000</v>
      </c>
      <c r="F1332" s="1">
        <f>IFERROR(__xludf.DUMMYFUNCTION("""COMPUTED_VALUE"""),13901.0)</f>
        <v>13901</v>
      </c>
    </row>
    <row r="1333">
      <c r="A1333" s="2">
        <f>IFERROR(__xludf.DUMMYFUNCTION("""COMPUTED_VALUE"""),42885.64583333333)</f>
        <v>42885.64583</v>
      </c>
      <c r="B1333" s="1">
        <f>IFERROR(__xludf.DUMMYFUNCTION("""COMPUTED_VALUE"""),80200.0)</f>
        <v>80200</v>
      </c>
      <c r="C1333" s="1">
        <f>IFERROR(__xludf.DUMMYFUNCTION("""COMPUTED_VALUE"""),81600.0)</f>
        <v>81600</v>
      </c>
      <c r="D1333" s="1">
        <f>IFERROR(__xludf.DUMMYFUNCTION("""COMPUTED_VALUE"""),80000.0)</f>
        <v>80000</v>
      </c>
      <c r="E1333" s="1">
        <f>IFERROR(__xludf.DUMMYFUNCTION("""COMPUTED_VALUE"""),81200.0)</f>
        <v>81200</v>
      </c>
      <c r="F1333" s="1">
        <f>IFERROR(__xludf.DUMMYFUNCTION("""COMPUTED_VALUE"""),20845.0)</f>
        <v>20845</v>
      </c>
    </row>
    <row r="1334">
      <c r="A1334" s="2">
        <f>IFERROR(__xludf.DUMMYFUNCTION("""COMPUTED_VALUE"""),42886.64583333333)</f>
        <v>42886.64583</v>
      </c>
      <c r="B1334" s="1">
        <f>IFERROR(__xludf.DUMMYFUNCTION("""COMPUTED_VALUE"""),81500.0)</f>
        <v>81500</v>
      </c>
      <c r="C1334" s="1">
        <f>IFERROR(__xludf.DUMMYFUNCTION("""COMPUTED_VALUE"""),82700.0)</f>
        <v>82700</v>
      </c>
      <c r="D1334" s="1">
        <f>IFERROR(__xludf.DUMMYFUNCTION("""COMPUTED_VALUE"""),81300.0)</f>
        <v>81300</v>
      </c>
      <c r="E1334" s="1">
        <f>IFERROR(__xludf.DUMMYFUNCTION("""COMPUTED_VALUE"""),81800.0)</f>
        <v>81800</v>
      </c>
      <c r="F1334" s="1">
        <f>IFERROR(__xludf.DUMMYFUNCTION("""COMPUTED_VALUE"""),31714.0)</f>
        <v>31714</v>
      </c>
    </row>
    <row r="1335">
      <c r="A1335" s="2">
        <f>IFERROR(__xludf.DUMMYFUNCTION("""COMPUTED_VALUE"""),42887.64583333333)</f>
        <v>42887.64583</v>
      </c>
      <c r="B1335" s="1">
        <f>IFERROR(__xludf.DUMMYFUNCTION("""COMPUTED_VALUE"""),82100.0)</f>
        <v>82100</v>
      </c>
      <c r="C1335" s="1">
        <f>IFERROR(__xludf.DUMMYFUNCTION("""COMPUTED_VALUE"""),82400.0)</f>
        <v>82400</v>
      </c>
      <c r="D1335" s="1">
        <f>IFERROR(__xludf.DUMMYFUNCTION("""COMPUTED_VALUE"""),80800.0)</f>
        <v>80800</v>
      </c>
      <c r="E1335" s="1">
        <f>IFERROR(__xludf.DUMMYFUNCTION("""COMPUTED_VALUE"""),81600.0)</f>
        <v>81600</v>
      </c>
      <c r="F1335" s="1">
        <f>IFERROR(__xludf.DUMMYFUNCTION("""COMPUTED_VALUE"""),15362.0)</f>
        <v>15362</v>
      </c>
    </row>
    <row r="1336">
      <c r="A1336" s="2">
        <f>IFERROR(__xludf.DUMMYFUNCTION("""COMPUTED_VALUE"""),42888.64583333333)</f>
        <v>42888.64583</v>
      </c>
      <c r="B1336" s="1">
        <f>IFERROR(__xludf.DUMMYFUNCTION("""COMPUTED_VALUE"""),81600.0)</f>
        <v>81600</v>
      </c>
      <c r="C1336" s="1">
        <f>IFERROR(__xludf.DUMMYFUNCTION("""COMPUTED_VALUE"""),81600.0)</f>
        <v>81600</v>
      </c>
      <c r="D1336" s="1">
        <f>IFERROR(__xludf.DUMMYFUNCTION("""COMPUTED_VALUE"""),80100.0)</f>
        <v>80100</v>
      </c>
      <c r="E1336" s="1">
        <f>IFERROR(__xludf.DUMMYFUNCTION("""COMPUTED_VALUE"""),81000.0)</f>
        <v>81000</v>
      </c>
      <c r="F1336" s="1">
        <f>IFERROR(__xludf.DUMMYFUNCTION("""COMPUTED_VALUE"""),21372.0)</f>
        <v>21372</v>
      </c>
    </row>
    <row r="1337">
      <c r="A1337" s="2">
        <f>IFERROR(__xludf.DUMMYFUNCTION("""COMPUTED_VALUE"""),42891.64583333333)</f>
        <v>42891.64583</v>
      </c>
      <c r="B1337" s="1">
        <f>IFERROR(__xludf.DUMMYFUNCTION("""COMPUTED_VALUE"""),80700.0)</f>
        <v>80700</v>
      </c>
      <c r="C1337" s="1">
        <f>IFERROR(__xludf.DUMMYFUNCTION("""COMPUTED_VALUE"""),81000.0)</f>
        <v>81000</v>
      </c>
      <c r="D1337" s="1">
        <f>IFERROR(__xludf.DUMMYFUNCTION("""COMPUTED_VALUE"""),79400.0)</f>
        <v>79400</v>
      </c>
      <c r="E1337" s="1">
        <f>IFERROR(__xludf.DUMMYFUNCTION("""COMPUTED_VALUE"""),79800.0)</f>
        <v>79800</v>
      </c>
      <c r="F1337" s="1">
        <f>IFERROR(__xludf.DUMMYFUNCTION("""COMPUTED_VALUE"""),20335.0)</f>
        <v>20335</v>
      </c>
    </row>
    <row r="1338">
      <c r="A1338" s="2">
        <f>IFERROR(__xludf.DUMMYFUNCTION("""COMPUTED_VALUE"""),42893.64583333333)</f>
        <v>42893.64583</v>
      </c>
      <c r="B1338" s="1">
        <f>IFERROR(__xludf.DUMMYFUNCTION("""COMPUTED_VALUE"""),79600.0)</f>
        <v>79600</v>
      </c>
      <c r="C1338" s="1">
        <f>IFERROR(__xludf.DUMMYFUNCTION("""COMPUTED_VALUE"""),79700.0)</f>
        <v>79700</v>
      </c>
      <c r="D1338" s="1">
        <f>IFERROR(__xludf.DUMMYFUNCTION("""COMPUTED_VALUE"""),78000.0)</f>
        <v>78000</v>
      </c>
      <c r="E1338" s="1">
        <f>IFERROR(__xludf.DUMMYFUNCTION("""COMPUTED_VALUE"""),78400.0)</f>
        <v>78400</v>
      </c>
      <c r="F1338" s="1">
        <f>IFERROR(__xludf.DUMMYFUNCTION("""COMPUTED_VALUE"""),46376.0)</f>
        <v>46376</v>
      </c>
    </row>
    <row r="1339">
      <c r="A1339" s="2">
        <f>IFERROR(__xludf.DUMMYFUNCTION("""COMPUTED_VALUE"""),42894.64583333333)</f>
        <v>42894.64583</v>
      </c>
      <c r="B1339" s="1">
        <f>IFERROR(__xludf.DUMMYFUNCTION("""COMPUTED_VALUE"""),78000.0)</f>
        <v>78000</v>
      </c>
      <c r="C1339" s="1">
        <f>IFERROR(__xludf.DUMMYFUNCTION("""COMPUTED_VALUE"""),78700.0)</f>
        <v>78700</v>
      </c>
      <c r="D1339" s="1">
        <f>IFERROR(__xludf.DUMMYFUNCTION("""COMPUTED_VALUE"""),77200.0)</f>
        <v>77200</v>
      </c>
      <c r="E1339" s="1">
        <f>IFERROR(__xludf.DUMMYFUNCTION("""COMPUTED_VALUE"""),77900.0)</f>
        <v>77900</v>
      </c>
      <c r="F1339" s="1">
        <f>IFERROR(__xludf.DUMMYFUNCTION("""COMPUTED_VALUE"""),29365.0)</f>
        <v>29365</v>
      </c>
    </row>
    <row r="1340">
      <c r="A1340" s="2">
        <f>IFERROR(__xludf.DUMMYFUNCTION("""COMPUTED_VALUE"""),42895.64583333333)</f>
        <v>42895.64583</v>
      </c>
      <c r="B1340" s="1">
        <f>IFERROR(__xludf.DUMMYFUNCTION("""COMPUTED_VALUE"""),77800.0)</f>
        <v>77800</v>
      </c>
      <c r="C1340" s="1">
        <f>IFERROR(__xludf.DUMMYFUNCTION("""COMPUTED_VALUE"""),79700.0)</f>
        <v>79700</v>
      </c>
      <c r="D1340" s="1">
        <f>IFERROR(__xludf.DUMMYFUNCTION("""COMPUTED_VALUE"""),77800.0)</f>
        <v>77800</v>
      </c>
      <c r="E1340" s="1">
        <f>IFERROR(__xludf.DUMMYFUNCTION("""COMPUTED_VALUE"""),78900.0)</f>
        <v>78900</v>
      </c>
      <c r="F1340" s="1">
        <f>IFERROR(__xludf.DUMMYFUNCTION("""COMPUTED_VALUE"""),19266.0)</f>
        <v>19266</v>
      </c>
    </row>
    <row r="1341">
      <c r="A1341" s="2">
        <f>IFERROR(__xludf.DUMMYFUNCTION("""COMPUTED_VALUE"""),42898.64583333333)</f>
        <v>42898.64583</v>
      </c>
      <c r="B1341" s="1">
        <f>IFERROR(__xludf.DUMMYFUNCTION("""COMPUTED_VALUE"""),79500.0)</f>
        <v>79500</v>
      </c>
      <c r="C1341" s="1">
        <f>IFERROR(__xludf.DUMMYFUNCTION("""COMPUTED_VALUE"""),80200.0)</f>
        <v>80200</v>
      </c>
      <c r="D1341" s="1">
        <f>IFERROR(__xludf.DUMMYFUNCTION("""COMPUTED_VALUE"""),78800.0)</f>
        <v>78800</v>
      </c>
      <c r="E1341" s="1">
        <f>IFERROR(__xludf.DUMMYFUNCTION("""COMPUTED_VALUE"""),79500.0)</f>
        <v>79500</v>
      </c>
      <c r="F1341" s="1">
        <f>IFERROR(__xludf.DUMMYFUNCTION("""COMPUTED_VALUE"""),25051.0)</f>
        <v>25051</v>
      </c>
    </row>
    <row r="1342">
      <c r="A1342" s="2">
        <f>IFERROR(__xludf.DUMMYFUNCTION("""COMPUTED_VALUE"""),42899.64583333333)</f>
        <v>42899.64583</v>
      </c>
      <c r="B1342" s="1">
        <f>IFERROR(__xludf.DUMMYFUNCTION("""COMPUTED_VALUE"""),79900.0)</f>
        <v>79900</v>
      </c>
      <c r="C1342" s="1">
        <f>IFERROR(__xludf.DUMMYFUNCTION("""COMPUTED_VALUE"""),80000.0)</f>
        <v>80000</v>
      </c>
      <c r="D1342" s="1">
        <f>IFERROR(__xludf.DUMMYFUNCTION("""COMPUTED_VALUE"""),78900.0)</f>
        <v>78900</v>
      </c>
      <c r="E1342" s="1">
        <f>IFERROR(__xludf.DUMMYFUNCTION("""COMPUTED_VALUE"""),79300.0)</f>
        <v>79300</v>
      </c>
      <c r="F1342" s="1">
        <f>IFERROR(__xludf.DUMMYFUNCTION("""COMPUTED_VALUE"""),14793.0)</f>
        <v>14793</v>
      </c>
    </row>
    <row r="1343">
      <c r="A1343" s="2">
        <f>IFERROR(__xludf.DUMMYFUNCTION("""COMPUTED_VALUE"""),42900.64583333333)</f>
        <v>42900.64583</v>
      </c>
      <c r="B1343" s="1">
        <f>IFERROR(__xludf.DUMMYFUNCTION("""COMPUTED_VALUE"""),79300.0)</f>
        <v>79300</v>
      </c>
      <c r="C1343" s="1">
        <f>IFERROR(__xludf.DUMMYFUNCTION("""COMPUTED_VALUE"""),79300.0)</f>
        <v>79300</v>
      </c>
      <c r="D1343" s="1">
        <f>IFERROR(__xludf.DUMMYFUNCTION("""COMPUTED_VALUE"""),77800.0)</f>
        <v>77800</v>
      </c>
      <c r="E1343" s="1">
        <f>IFERROR(__xludf.DUMMYFUNCTION("""COMPUTED_VALUE"""),78400.0)</f>
        <v>78400</v>
      </c>
      <c r="F1343" s="1">
        <f>IFERROR(__xludf.DUMMYFUNCTION("""COMPUTED_VALUE"""),32593.0)</f>
        <v>32593</v>
      </c>
    </row>
    <row r="1344">
      <c r="A1344" s="2">
        <f>IFERROR(__xludf.DUMMYFUNCTION("""COMPUTED_VALUE"""),42901.64583333333)</f>
        <v>42901.64583</v>
      </c>
      <c r="B1344" s="1">
        <f>IFERROR(__xludf.DUMMYFUNCTION("""COMPUTED_VALUE"""),78000.0)</f>
        <v>78000</v>
      </c>
      <c r="C1344" s="1">
        <f>IFERROR(__xludf.DUMMYFUNCTION("""COMPUTED_VALUE"""),78000.0)</f>
        <v>78000</v>
      </c>
      <c r="D1344" s="1">
        <f>IFERROR(__xludf.DUMMYFUNCTION("""COMPUTED_VALUE"""),76300.0)</f>
        <v>76300</v>
      </c>
      <c r="E1344" s="1">
        <f>IFERROR(__xludf.DUMMYFUNCTION("""COMPUTED_VALUE"""),77400.0)</f>
        <v>77400</v>
      </c>
      <c r="F1344" s="1">
        <f>IFERROR(__xludf.DUMMYFUNCTION("""COMPUTED_VALUE"""),28765.0)</f>
        <v>28765</v>
      </c>
    </row>
    <row r="1345">
      <c r="A1345" s="2">
        <f>IFERROR(__xludf.DUMMYFUNCTION("""COMPUTED_VALUE"""),42905.64583333333)</f>
        <v>42905.64583</v>
      </c>
      <c r="B1345" s="1">
        <f>IFERROR(__xludf.DUMMYFUNCTION("""COMPUTED_VALUE"""),78800.0)</f>
        <v>78800</v>
      </c>
      <c r="C1345" s="1">
        <f>IFERROR(__xludf.DUMMYFUNCTION("""COMPUTED_VALUE"""),78800.0)</f>
        <v>78800</v>
      </c>
      <c r="D1345" s="1">
        <f>IFERROR(__xludf.DUMMYFUNCTION("""COMPUTED_VALUE"""),77500.0)</f>
        <v>77500</v>
      </c>
      <c r="E1345" s="1">
        <f>IFERROR(__xludf.DUMMYFUNCTION("""COMPUTED_VALUE"""),78300.0)</f>
        <v>78300</v>
      </c>
      <c r="F1345" s="1">
        <f>IFERROR(__xludf.DUMMYFUNCTION("""COMPUTED_VALUE"""),24206.0)</f>
        <v>24206</v>
      </c>
    </row>
    <row r="1346">
      <c r="A1346" s="2">
        <f>IFERROR(__xludf.DUMMYFUNCTION("""COMPUTED_VALUE"""),42906.64583333333)</f>
        <v>42906.64583</v>
      </c>
      <c r="B1346" s="1">
        <f>IFERROR(__xludf.DUMMYFUNCTION("""COMPUTED_VALUE"""),78100.0)</f>
        <v>78100</v>
      </c>
      <c r="C1346" s="1">
        <f>IFERROR(__xludf.DUMMYFUNCTION("""COMPUTED_VALUE"""),78300.0)</f>
        <v>78300</v>
      </c>
      <c r="D1346" s="1">
        <f>IFERROR(__xludf.DUMMYFUNCTION("""COMPUTED_VALUE"""),77200.0)</f>
        <v>77200</v>
      </c>
      <c r="E1346" s="1">
        <f>IFERROR(__xludf.DUMMYFUNCTION("""COMPUTED_VALUE"""),78000.0)</f>
        <v>78000</v>
      </c>
      <c r="F1346" s="1">
        <f>IFERROR(__xludf.DUMMYFUNCTION("""COMPUTED_VALUE"""),35534.0)</f>
        <v>35534</v>
      </c>
    </row>
    <row r="1347">
      <c r="A1347" s="2">
        <f>IFERROR(__xludf.DUMMYFUNCTION("""COMPUTED_VALUE"""),42907.64583333333)</f>
        <v>42907.64583</v>
      </c>
      <c r="B1347" s="1">
        <f>IFERROR(__xludf.DUMMYFUNCTION("""COMPUTED_VALUE"""),77200.0)</f>
        <v>77200</v>
      </c>
      <c r="C1347" s="1">
        <f>IFERROR(__xludf.DUMMYFUNCTION("""COMPUTED_VALUE"""),77700.0)</f>
        <v>77700</v>
      </c>
      <c r="D1347" s="1">
        <f>IFERROR(__xludf.DUMMYFUNCTION("""COMPUTED_VALUE"""),76600.0)</f>
        <v>76600</v>
      </c>
      <c r="E1347" s="1">
        <f>IFERROR(__xludf.DUMMYFUNCTION("""COMPUTED_VALUE"""),77300.0)</f>
        <v>77300</v>
      </c>
      <c r="F1347" s="1">
        <f>IFERROR(__xludf.DUMMYFUNCTION("""COMPUTED_VALUE"""),27778.0)</f>
        <v>27778</v>
      </c>
    </row>
    <row r="1348">
      <c r="A1348" s="2">
        <f>IFERROR(__xludf.DUMMYFUNCTION("""COMPUTED_VALUE"""),42908.64583333333)</f>
        <v>42908.64583</v>
      </c>
      <c r="B1348" s="1">
        <f>IFERROR(__xludf.DUMMYFUNCTION("""COMPUTED_VALUE"""),76700.0)</f>
        <v>76700</v>
      </c>
      <c r="C1348" s="1">
        <f>IFERROR(__xludf.DUMMYFUNCTION("""COMPUTED_VALUE"""),77500.0)</f>
        <v>77500</v>
      </c>
      <c r="D1348" s="1">
        <f>IFERROR(__xludf.DUMMYFUNCTION("""COMPUTED_VALUE"""),76400.0)</f>
        <v>76400</v>
      </c>
      <c r="E1348" s="1">
        <f>IFERROR(__xludf.DUMMYFUNCTION("""COMPUTED_VALUE"""),77500.0)</f>
        <v>77500</v>
      </c>
      <c r="F1348" s="1">
        <f>IFERROR(__xludf.DUMMYFUNCTION("""COMPUTED_VALUE"""),14946.0)</f>
        <v>14946</v>
      </c>
    </row>
    <row r="1349">
      <c r="A1349" s="2">
        <f>IFERROR(__xludf.DUMMYFUNCTION("""COMPUTED_VALUE"""),42909.64583333333)</f>
        <v>42909.64583</v>
      </c>
      <c r="B1349" s="1">
        <f>IFERROR(__xludf.DUMMYFUNCTION("""COMPUTED_VALUE"""),77800.0)</f>
        <v>77800</v>
      </c>
      <c r="C1349" s="1">
        <f>IFERROR(__xludf.DUMMYFUNCTION("""COMPUTED_VALUE"""),78000.0)</f>
        <v>78000</v>
      </c>
      <c r="D1349" s="1">
        <f>IFERROR(__xludf.DUMMYFUNCTION("""COMPUTED_VALUE"""),76600.0)</f>
        <v>76600</v>
      </c>
      <c r="E1349" s="1">
        <f>IFERROR(__xludf.DUMMYFUNCTION("""COMPUTED_VALUE"""),77100.0)</f>
        <v>77100</v>
      </c>
      <c r="F1349" s="1">
        <f>IFERROR(__xludf.DUMMYFUNCTION("""COMPUTED_VALUE"""),18234.0)</f>
        <v>18234</v>
      </c>
    </row>
    <row r="1350">
      <c r="A1350" s="2">
        <f>IFERROR(__xludf.DUMMYFUNCTION("""COMPUTED_VALUE"""),42912.64583333333)</f>
        <v>42912.64583</v>
      </c>
      <c r="B1350" s="1">
        <f>IFERROR(__xludf.DUMMYFUNCTION("""COMPUTED_VALUE"""),77100.0)</f>
        <v>77100</v>
      </c>
      <c r="C1350" s="1">
        <f>IFERROR(__xludf.DUMMYFUNCTION("""COMPUTED_VALUE"""),77700.0)</f>
        <v>77700</v>
      </c>
      <c r="D1350" s="1">
        <f>IFERROR(__xludf.DUMMYFUNCTION("""COMPUTED_VALUE"""),76800.0)</f>
        <v>76800</v>
      </c>
      <c r="E1350" s="1">
        <f>IFERROR(__xludf.DUMMYFUNCTION("""COMPUTED_VALUE"""),77500.0)</f>
        <v>77500</v>
      </c>
      <c r="F1350" s="1">
        <f>IFERROR(__xludf.DUMMYFUNCTION("""COMPUTED_VALUE"""),17063.0)</f>
        <v>17063</v>
      </c>
    </row>
    <row r="1351">
      <c r="A1351" s="2">
        <f>IFERROR(__xludf.DUMMYFUNCTION("""COMPUTED_VALUE"""),42913.64583333333)</f>
        <v>42913.64583</v>
      </c>
      <c r="B1351" s="1">
        <f>IFERROR(__xludf.DUMMYFUNCTION("""COMPUTED_VALUE"""),77500.0)</f>
        <v>77500</v>
      </c>
      <c r="C1351" s="1">
        <f>IFERROR(__xludf.DUMMYFUNCTION("""COMPUTED_VALUE"""),77900.0)</f>
        <v>77900</v>
      </c>
      <c r="D1351" s="1">
        <f>IFERROR(__xludf.DUMMYFUNCTION("""COMPUTED_VALUE"""),77000.0)</f>
        <v>77000</v>
      </c>
      <c r="E1351" s="1">
        <f>IFERROR(__xludf.DUMMYFUNCTION("""COMPUTED_VALUE"""),77500.0)</f>
        <v>77500</v>
      </c>
      <c r="F1351" s="1">
        <f>IFERROR(__xludf.DUMMYFUNCTION("""COMPUTED_VALUE"""),18447.0)</f>
        <v>18447</v>
      </c>
    </row>
    <row r="1352">
      <c r="A1352" s="2">
        <f>IFERROR(__xludf.DUMMYFUNCTION("""COMPUTED_VALUE"""),42914.64583333333)</f>
        <v>42914.64583</v>
      </c>
      <c r="B1352" s="1">
        <f>IFERROR(__xludf.DUMMYFUNCTION("""COMPUTED_VALUE"""),77200.0)</f>
        <v>77200</v>
      </c>
      <c r="C1352" s="1">
        <f>IFERROR(__xludf.DUMMYFUNCTION("""COMPUTED_VALUE"""),78200.0)</f>
        <v>78200</v>
      </c>
      <c r="D1352" s="1">
        <f>IFERROR(__xludf.DUMMYFUNCTION("""COMPUTED_VALUE"""),77200.0)</f>
        <v>77200</v>
      </c>
      <c r="E1352" s="1">
        <f>IFERROR(__xludf.DUMMYFUNCTION("""COMPUTED_VALUE"""),77900.0)</f>
        <v>77900</v>
      </c>
      <c r="F1352" s="1">
        <f>IFERROR(__xludf.DUMMYFUNCTION("""COMPUTED_VALUE"""),18485.0)</f>
        <v>18485</v>
      </c>
    </row>
    <row r="1353">
      <c r="A1353" s="2">
        <f>IFERROR(__xludf.DUMMYFUNCTION("""COMPUTED_VALUE"""),42915.64583333333)</f>
        <v>42915.64583</v>
      </c>
      <c r="B1353" s="1">
        <f>IFERROR(__xludf.DUMMYFUNCTION("""COMPUTED_VALUE"""),76900.0)</f>
        <v>76900</v>
      </c>
      <c r="C1353" s="1">
        <f>IFERROR(__xludf.DUMMYFUNCTION("""COMPUTED_VALUE"""),77000.0)</f>
        <v>77000</v>
      </c>
      <c r="D1353" s="1">
        <f>IFERROR(__xludf.DUMMYFUNCTION("""COMPUTED_VALUE"""),75600.0)</f>
        <v>75600</v>
      </c>
      <c r="E1353" s="1">
        <f>IFERROR(__xludf.DUMMYFUNCTION("""COMPUTED_VALUE"""),75800.0)</f>
        <v>75800</v>
      </c>
      <c r="F1353" s="1">
        <f>IFERROR(__xludf.DUMMYFUNCTION("""COMPUTED_VALUE"""),33303.0)</f>
        <v>33303</v>
      </c>
    </row>
    <row r="1354">
      <c r="A1354" s="2">
        <f>IFERROR(__xludf.DUMMYFUNCTION("""COMPUTED_VALUE"""),42916.64583333333)</f>
        <v>42916.64583</v>
      </c>
      <c r="B1354" s="1">
        <f>IFERROR(__xludf.DUMMYFUNCTION("""COMPUTED_VALUE"""),75800.0)</f>
        <v>75800</v>
      </c>
      <c r="C1354" s="1">
        <f>IFERROR(__xludf.DUMMYFUNCTION("""COMPUTED_VALUE"""),78000.0)</f>
        <v>78000</v>
      </c>
      <c r="D1354" s="1">
        <f>IFERROR(__xludf.DUMMYFUNCTION("""COMPUTED_VALUE"""),75700.0)</f>
        <v>75700</v>
      </c>
      <c r="E1354" s="1">
        <f>IFERROR(__xludf.DUMMYFUNCTION("""COMPUTED_VALUE"""),77000.0)</f>
        <v>77000</v>
      </c>
      <c r="F1354" s="1">
        <f>IFERROR(__xludf.DUMMYFUNCTION("""COMPUTED_VALUE"""),17061.0)</f>
        <v>17061</v>
      </c>
    </row>
    <row r="1355">
      <c r="A1355" s="2">
        <f>IFERROR(__xludf.DUMMYFUNCTION("""COMPUTED_VALUE"""),42919.64583333333)</f>
        <v>42919.64583</v>
      </c>
      <c r="B1355" s="1">
        <f>IFERROR(__xludf.DUMMYFUNCTION("""COMPUTED_VALUE"""),77500.0)</f>
        <v>77500</v>
      </c>
      <c r="C1355" s="1">
        <f>IFERROR(__xludf.DUMMYFUNCTION("""COMPUTED_VALUE"""),78500.0)</f>
        <v>78500</v>
      </c>
      <c r="D1355" s="1">
        <f>IFERROR(__xludf.DUMMYFUNCTION("""COMPUTED_VALUE"""),77100.0)</f>
        <v>77100</v>
      </c>
      <c r="E1355" s="1">
        <f>IFERROR(__xludf.DUMMYFUNCTION("""COMPUTED_VALUE"""),78300.0)</f>
        <v>78300</v>
      </c>
      <c r="F1355" s="1">
        <f>IFERROR(__xludf.DUMMYFUNCTION("""COMPUTED_VALUE"""),20779.0)</f>
        <v>20779</v>
      </c>
    </row>
    <row r="1356">
      <c r="A1356" s="2">
        <f>IFERROR(__xludf.DUMMYFUNCTION("""COMPUTED_VALUE"""),42920.64583333333)</f>
        <v>42920.64583</v>
      </c>
      <c r="B1356" s="1">
        <f>IFERROR(__xludf.DUMMYFUNCTION("""COMPUTED_VALUE"""),78800.0)</f>
        <v>78800</v>
      </c>
      <c r="C1356" s="1">
        <f>IFERROR(__xludf.DUMMYFUNCTION("""COMPUTED_VALUE"""),79000.0)</f>
        <v>79000</v>
      </c>
      <c r="D1356" s="1">
        <f>IFERROR(__xludf.DUMMYFUNCTION("""COMPUTED_VALUE"""),73700.0)</f>
        <v>73700</v>
      </c>
      <c r="E1356" s="1">
        <f>IFERROR(__xludf.DUMMYFUNCTION("""COMPUTED_VALUE"""),77600.0)</f>
        <v>77600</v>
      </c>
      <c r="F1356" s="1">
        <f>IFERROR(__xludf.DUMMYFUNCTION("""COMPUTED_VALUE"""),19146.0)</f>
        <v>19146</v>
      </c>
    </row>
    <row r="1357">
      <c r="A1357" s="2">
        <f>IFERROR(__xludf.DUMMYFUNCTION("""COMPUTED_VALUE"""),42921.64583333333)</f>
        <v>42921.64583</v>
      </c>
      <c r="B1357" s="1">
        <f>IFERROR(__xludf.DUMMYFUNCTION("""COMPUTED_VALUE"""),78000.0)</f>
        <v>78000</v>
      </c>
      <c r="C1357" s="1">
        <f>IFERROR(__xludf.DUMMYFUNCTION("""COMPUTED_VALUE"""),78200.0)</f>
        <v>78200</v>
      </c>
      <c r="D1357" s="1">
        <f>IFERROR(__xludf.DUMMYFUNCTION("""COMPUTED_VALUE"""),77000.0)</f>
        <v>77000</v>
      </c>
      <c r="E1357" s="1">
        <f>IFERROR(__xludf.DUMMYFUNCTION("""COMPUTED_VALUE"""),77400.0)</f>
        <v>77400</v>
      </c>
      <c r="F1357" s="1">
        <f>IFERROR(__xludf.DUMMYFUNCTION("""COMPUTED_VALUE"""),5728.0)</f>
        <v>5728</v>
      </c>
    </row>
    <row r="1358">
      <c r="A1358" s="2">
        <f>IFERROR(__xludf.DUMMYFUNCTION("""COMPUTED_VALUE"""),42922.64583333333)</f>
        <v>42922.64583</v>
      </c>
      <c r="B1358" s="1">
        <f>IFERROR(__xludf.DUMMYFUNCTION("""COMPUTED_VALUE"""),77400.0)</f>
        <v>77400</v>
      </c>
      <c r="C1358" s="1">
        <f>IFERROR(__xludf.DUMMYFUNCTION("""COMPUTED_VALUE"""),78000.0)</f>
        <v>78000</v>
      </c>
      <c r="D1358" s="1">
        <f>IFERROR(__xludf.DUMMYFUNCTION("""COMPUTED_VALUE"""),76800.0)</f>
        <v>76800</v>
      </c>
      <c r="E1358" s="1">
        <f>IFERROR(__xludf.DUMMYFUNCTION("""COMPUTED_VALUE"""),77700.0)</f>
        <v>77700</v>
      </c>
      <c r="F1358" s="1">
        <f>IFERROR(__xludf.DUMMYFUNCTION("""COMPUTED_VALUE"""),11283.0)</f>
        <v>11283</v>
      </c>
    </row>
    <row r="1359">
      <c r="A1359" s="2">
        <f>IFERROR(__xludf.DUMMYFUNCTION("""COMPUTED_VALUE"""),42923.64583333333)</f>
        <v>42923.64583</v>
      </c>
      <c r="B1359" s="1">
        <f>IFERROR(__xludf.DUMMYFUNCTION("""COMPUTED_VALUE"""),78000.0)</f>
        <v>78000</v>
      </c>
      <c r="C1359" s="1">
        <f>IFERROR(__xludf.DUMMYFUNCTION("""COMPUTED_VALUE"""),78000.0)</f>
        <v>78000</v>
      </c>
      <c r="D1359" s="1">
        <f>IFERROR(__xludf.DUMMYFUNCTION("""COMPUTED_VALUE"""),77200.0)</f>
        <v>77200</v>
      </c>
      <c r="E1359" s="1">
        <f>IFERROR(__xludf.DUMMYFUNCTION("""COMPUTED_VALUE"""),77800.0)</f>
        <v>77800</v>
      </c>
      <c r="F1359" s="1">
        <f>IFERROR(__xludf.DUMMYFUNCTION("""COMPUTED_VALUE"""),5027.0)</f>
        <v>5027</v>
      </c>
    </row>
    <row r="1360">
      <c r="A1360" s="2">
        <f>IFERROR(__xludf.DUMMYFUNCTION("""COMPUTED_VALUE"""),42926.64583333333)</f>
        <v>42926.64583</v>
      </c>
      <c r="B1360" s="1">
        <f>IFERROR(__xludf.DUMMYFUNCTION("""COMPUTED_VALUE"""),77900.0)</f>
        <v>77900</v>
      </c>
      <c r="C1360" s="1">
        <f>IFERROR(__xludf.DUMMYFUNCTION("""COMPUTED_VALUE"""),79100.0)</f>
        <v>79100</v>
      </c>
      <c r="D1360" s="1">
        <f>IFERROR(__xludf.DUMMYFUNCTION("""COMPUTED_VALUE"""),77000.0)</f>
        <v>77000</v>
      </c>
      <c r="E1360" s="1">
        <f>IFERROR(__xludf.DUMMYFUNCTION("""COMPUTED_VALUE"""),78800.0)</f>
        <v>78800</v>
      </c>
      <c r="F1360" s="1">
        <f>IFERROR(__xludf.DUMMYFUNCTION("""COMPUTED_VALUE"""),18310.0)</f>
        <v>18310</v>
      </c>
    </row>
    <row r="1361">
      <c r="A1361" s="2">
        <f>IFERROR(__xludf.DUMMYFUNCTION("""COMPUTED_VALUE"""),42927.64583333333)</f>
        <v>42927.64583</v>
      </c>
      <c r="B1361" s="1">
        <f>IFERROR(__xludf.DUMMYFUNCTION("""COMPUTED_VALUE"""),79400.0)</f>
        <v>79400</v>
      </c>
      <c r="C1361" s="1">
        <f>IFERROR(__xludf.DUMMYFUNCTION("""COMPUTED_VALUE"""),81800.0)</f>
        <v>81800</v>
      </c>
      <c r="D1361" s="1">
        <f>IFERROR(__xludf.DUMMYFUNCTION("""COMPUTED_VALUE"""),78900.0)</f>
        <v>78900</v>
      </c>
      <c r="E1361" s="1">
        <f>IFERROR(__xludf.DUMMYFUNCTION("""COMPUTED_VALUE"""),81700.0)</f>
        <v>81700</v>
      </c>
      <c r="F1361" s="1">
        <f>IFERROR(__xludf.DUMMYFUNCTION("""COMPUTED_VALUE"""),40472.0)</f>
        <v>40472</v>
      </c>
    </row>
    <row r="1362">
      <c r="A1362" s="2">
        <f>IFERROR(__xludf.DUMMYFUNCTION("""COMPUTED_VALUE"""),42928.64583333333)</f>
        <v>42928.64583</v>
      </c>
      <c r="B1362" s="1">
        <f>IFERROR(__xludf.DUMMYFUNCTION("""COMPUTED_VALUE"""),81600.0)</f>
        <v>81600</v>
      </c>
      <c r="C1362" s="1">
        <f>IFERROR(__xludf.DUMMYFUNCTION("""COMPUTED_VALUE"""),82000.0)</f>
        <v>82000</v>
      </c>
      <c r="D1362" s="1">
        <f>IFERROR(__xludf.DUMMYFUNCTION("""COMPUTED_VALUE"""),80600.0)</f>
        <v>80600</v>
      </c>
      <c r="E1362" s="1">
        <f>IFERROR(__xludf.DUMMYFUNCTION("""COMPUTED_VALUE"""),81300.0)</f>
        <v>81300</v>
      </c>
      <c r="F1362" s="1">
        <f>IFERROR(__xludf.DUMMYFUNCTION("""COMPUTED_VALUE"""),9862.0)</f>
        <v>9862</v>
      </c>
    </row>
    <row r="1363">
      <c r="A1363" s="2">
        <f>IFERROR(__xludf.DUMMYFUNCTION("""COMPUTED_VALUE"""),42929.64583333333)</f>
        <v>42929.64583</v>
      </c>
      <c r="B1363" s="1">
        <f>IFERROR(__xludf.DUMMYFUNCTION("""COMPUTED_VALUE"""),80900.0)</f>
        <v>80900</v>
      </c>
      <c r="C1363" s="1">
        <f>IFERROR(__xludf.DUMMYFUNCTION("""COMPUTED_VALUE"""),81300.0)</f>
        <v>81300</v>
      </c>
      <c r="D1363" s="1">
        <f>IFERROR(__xludf.DUMMYFUNCTION("""COMPUTED_VALUE"""),80200.0)</f>
        <v>80200</v>
      </c>
      <c r="E1363" s="1">
        <f>IFERROR(__xludf.DUMMYFUNCTION("""COMPUTED_VALUE"""),81300.0)</f>
        <v>81300</v>
      </c>
      <c r="F1363" s="1">
        <f>IFERROR(__xludf.DUMMYFUNCTION("""COMPUTED_VALUE"""),12031.0)</f>
        <v>12031</v>
      </c>
    </row>
    <row r="1364">
      <c r="A1364" s="2">
        <f>IFERROR(__xludf.DUMMYFUNCTION("""COMPUTED_VALUE"""),42930.64583333333)</f>
        <v>42930.64583</v>
      </c>
      <c r="B1364" s="1">
        <f>IFERROR(__xludf.DUMMYFUNCTION("""COMPUTED_VALUE"""),81200.0)</f>
        <v>81200</v>
      </c>
      <c r="C1364" s="1">
        <f>IFERROR(__xludf.DUMMYFUNCTION("""COMPUTED_VALUE"""),81600.0)</f>
        <v>81600</v>
      </c>
      <c r="D1364" s="1">
        <f>IFERROR(__xludf.DUMMYFUNCTION("""COMPUTED_VALUE"""),80200.0)</f>
        <v>80200</v>
      </c>
      <c r="E1364" s="1">
        <f>IFERROR(__xludf.DUMMYFUNCTION("""COMPUTED_VALUE"""),81500.0)</f>
        <v>81500</v>
      </c>
      <c r="F1364" s="1">
        <f>IFERROR(__xludf.DUMMYFUNCTION("""COMPUTED_VALUE"""),15346.0)</f>
        <v>15346</v>
      </c>
    </row>
    <row r="1365">
      <c r="A1365" s="2">
        <f>IFERROR(__xludf.DUMMYFUNCTION("""COMPUTED_VALUE"""),42933.64583333333)</f>
        <v>42933.64583</v>
      </c>
      <c r="B1365" s="1">
        <f>IFERROR(__xludf.DUMMYFUNCTION("""COMPUTED_VALUE"""),81500.0)</f>
        <v>81500</v>
      </c>
      <c r="C1365" s="1">
        <f>IFERROR(__xludf.DUMMYFUNCTION("""COMPUTED_VALUE"""),82200.0)</f>
        <v>82200</v>
      </c>
      <c r="D1365" s="1">
        <f>IFERROR(__xludf.DUMMYFUNCTION("""COMPUTED_VALUE"""),81400.0)</f>
        <v>81400</v>
      </c>
      <c r="E1365" s="1">
        <f>IFERROR(__xludf.DUMMYFUNCTION("""COMPUTED_VALUE"""),82100.0)</f>
        <v>82100</v>
      </c>
      <c r="F1365" s="1">
        <f>IFERROR(__xludf.DUMMYFUNCTION("""COMPUTED_VALUE"""),12392.0)</f>
        <v>12392</v>
      </c>
    </row>
    <row r="1366">
      <c r="A1366" s="2">
        <f>IFERROR(__xludf.DUMMYFUNCTION("""COMPUTED_VALUE"""),42934.64583333333)</f>
        <v>42934.64583</v>
      </c>
      <c r="B1366" s="1">
        <f>IFERROR(__xludf.DUMMYFUNCTION("""COMPUTED_VALUE"""),82300.0)</f>
        <v>82300</v>
      </c>
      <c r="C1366" s="1">
        <f>IFERROR(__xludf.DUMMYFUNCTION("""COMPUTED_VALUE"""),82800.0)</f>
        <v>82800</v>
      </c>
      <c r="D1366" s="1">
        <f>IFERROR(__xludf.DUMMYFUNCTION("""COMPUTED_VALUE"""),81900.0)</f>
        <v>81900</v>
      </c>
      <c r="E1366" s="1">
        <f>IFERROR(__xludf.DUMMYFUNCTION("""COMPUTED_VALUE"""),82800.0)</f>
        <v>82800</v>
      </c>
      <c r="F1366" s="1">
        <f>IFERROR(__xludf.DUMMYFUNCTION("""COMPUTED_VALUE"""),8544.0)</f>
        <v>8544</v>
      </c>
    </row>
    <row r="1367">
      <c r="A1367" s="2">
        <f>IFERROR(__xludf.DUMMYFUNCTION("""COMPUTED_VALUE"""),42935.64583333333)</f>
        <v>42935.64583</v>
      </c>
      <c r="B1367" s="1">
        <f>IFERROR(__xludf.DUMMYFUNCTION("""COMPUTED_VALUE"""),82300.0)</f>
        <v>82300</v>
      </c>
      <c r="C1367" s="1">
        <f>IFERROR(__xludf.DUMMYFUNCTION("""COMPUTED_VALUE"""),83300.0)</f>
        <v>83300</v>
      </c>
      <c r="D1367" s="1">
        <f>IFERROR(__xludf.DUMMYFUNCTION("""COMPUTED_VALUE"""),82300.0)</f>
        <v>82300</v>
      </c>
      <c r="E1367" s="1">
        <f>IFERROR(__xludf.DUMMYFUNCTION("""COMPUTED_VALUE"""),83300.0)</f>
        <v>83300</v>
      </c>
      <c r="F1367" s="1">
        <f>IFERROR(__xludf.DUMMYFUNCTION("""COMPUTED_VALUE"""),6127.0)</f>
        <v>6127</v>
      </c>
    </row>
    <row r="1368">
      <c r="A1368" s="2">
        <f>IFERROR(__xludf.DUMMYFUNCTION("""COMPUTED_VALUE"""),42936.64583333333)</f>
        <v>42936.64583</v>
      </c>
      <c r="B1368" s="1">
        <f>IFERROR(__xludf.DUMMYFUNCTION("""COMPUTED_VALUE"""),83300.0)</f>
        <v>83300</v>
      </c>
      <c r="C1368" s="1">
        <f>IFERROR(__xludf.DUMMYFUNCTION("""COMPUTED_VALUE"""),86800.0)</f>
        <v>86800</v>
      </c>
      <c r="D1368" s="1">
        <f>IFERROR(__xludf.DUMMYFUNCTION("""COMPUTED_VALUE"""),83300.0)</f>
        <v>83300</v>
      </c>
      <c r="E1368" s="1">
        <f>IFERROR(__xludf.DUMMYFUNCTION("""COMPUTED_VALUE"""),86800.0)</f>
        <v>86800</v>
      </c>
      <c r="F1368" s="1">
        <f>IFERROR(__xludf.DUMMYFUNCTION("""COMPUTED_VALUE"""),23688.0)</f>
        <v>23688</v>
      </c>
    </row>
    <row r="1369">
      <c r="A1369" s="2">
        <f>IFERROR(__xludf.DUMMYFUNCTION("""COMPUTED_VALUE"""),42937.64583333333)</f>
        <v>42937.64583</v>
      </c>
      <c r="B1369" s="1">
        <f>IFERROR(__xludf.DUMMYFUNCTION("""COMPUTED_VALUE"""),87200.0)</f>
        <v>87200</v>
      </c>
      <c r="C1369" s="1">
        <f>IFERROR(__xludf.DUMMYFUNCTION("""COMPUTED_VALUE"""),87200.0)</f>
        <v>87200</v>
      </c>
      <c r="D1369" s="1">
        <f>IFERROR(__xludf.DUMMYFUNCTION("""COMPUTED_VALUE"""),86000.0)</f>
        <v>86000</v>
      </c>
      <c r="E1369" s="1">
        <f>IFERROR(__xludf.DUMMYFUNCTION("""COMPUTED_VALUE"""),87100.0)</f>
        <v>87100</v>
      </c>
      <c r="F1369" s="1">
        <f>IFERROR(__xludf.DUMMYFUNCTION("""COMPUTED_VALUE"""),11831.0)</f>
        <v>11831</v>
      </c>
    </row>
    <row r="1370">
      <c r="A1370" s="2">
        <f>IFERROR(__xludf.DUMMYFUNCTION("""COMPUTED_VALUE"""),42940.64583333333)</f>
        <v>42940.64583</v>
      </c>
      <c r="B1370" s="1">
        <f>IFERROR(__xludf.DUMMYFUNCTION("""COMPUTED_VALUE"""),87100.0)</f>
        <v>87100</v>
      </c>
      <c r="C1370" s="1">
        <f>IFERROR(__xludf.DUMMYFUNCTION("""COMPUTED_VALUE"""),87100.0)</f>
        <v>87100</v>
      </c>
      <c r="D1370" s="1">
        <f>IFERROR(__xludf.DUMMYFUNCTION("""COMPUTED_VALUE"""),86100.0)</f>
        <v>86100</v>
      </c>
      <c r="E1370" s="1">
        <f>IFERROR(__xludf.DUMMYFUNCTION("""COMPUTED_VALUE"""),86800.0)</f>
        <v>86800</v>
      </c>
      <c r="F1370" s="1">
        <f>IFERROR(__xludf.DUMMYFUNCTION("""COMPUTED_VALUE"""),11981.0)</f>
        <v>11981</v>
      </c>
    </row>
    <row r="1371">
      <c r="A1371" s="2">
        <f>IFERROR(__xludf.DUMMYFUNCTION("""COMPUTED_VALUE"""),42941.64583333333)</f>
        <v>42941.64583</v>
      </c>
      <c r="B1371" s="1">
        <f>IFERROR(__xludf.DUMMYFUNCTION("""COMPUTED_VALUE"""),87200.0)</f>
        <v>87200</v>
      </c>
      <c r="C1371" s="1">
        <f>IFERROR(__xludf.DUMMYFUNCTION("""COMPUTED_VALUE"""),89600.0)</f>
        <v>89600</v>
      </c>
      <c r="D1371" s="1">
        <f>IFERROR(__xludf.DUMMYFUNCTION("""COMPUTED_VALUE"""),86900.0)</f>
        <v>86900</v>
      </c>
      <c r="E1371" s="1">
        <f>IFERROR(__xludf.DUMMYFUNCTION("""COMPUTED_VALUE"""),87100.0)</f>
        <v>87100</v>
      </c>
      <c r="F1371" s="1">
        <f>IFERROR(__xludf.DUMMYFUNCTION("""COMPUTED_VALUE"""),23588.0)</f>
        <v>23588</v>
      </c>
    </row>
    <row r="1372">
      <c r="A1372" s="2">
        <f>IFERROR(__xludf.DUMMYFUNCTION("""COMPUTED_VALUE"""),42942.64583333333)</f>
        <v>42942.64583</v>
      </c>
      <c r="B1372" s="1">
        <f>IFERROR(__xludf.DUMMYFUNCTION("""COMPUTED_VALUE"""),88600.0)</f>
        <v>88600</v>
      </c>
      <c r="C1372" s="1">
        <f>IFERROR(__xludf.DUMMYFUNCTION("""COMPUTED_VALUE"""),88900.0)</f>
        <v>88900</v>
      </c>
      <c r="D1372" s="1">
        <f>IFERROR(__xludf.DUMMYFUNCTION("""COMPUTED_VALUE"""),85900.0)</f>
        <v>85900</v>
      </c>
      <c r="E1372" s="1">
        <f>IFERROR(__xludf.DUMMYFUNCTION("""COMPUTED_VALUE"""),88800.0)</f>
        <v>88800</v>
      </c>
      <c r="F1372" s="1">
        <f>IFERROR(__xludf.DUMMYFUNCTION("""COMPUTED_VALUE"""),25590.0)</f>
        <v>25590</v>
      </c>
    </row>
    <row r="1373">
      <c r="A1373" s="2">
        <f>IFERROR(__xludf.DUMMYFUNCTION("""COMPUTED_VALUE"""),42943.64583333333)</f>
        <v>42943.64583</v>
      </c>
      <c r="B1373" s="1">
        <f>IFERROR(__xludf.DUMMYFUNCTION("""COMPUTED_VALUE"""),89000.0)</f>
        <v>89000</v>
      </c>
      <c r="C1373" s="1">
        <f>IFERROR(__xludf.DUMMYFUNCTION("""COMPUTED_VALUE"""),91200.0)</f>
        <v>91200</v>
      </c>
      <c r="D1373" s="1">
        <f>IFERROR(__xludf.DUMMYFUNCTION("""COMPUTED_VALUE"""),89000.0)</f>
        <v>89000</v>
      </c>
      <c r="E1373" s="1">
        <f>IFERROR(__xludf.DUMMYFUNCTION("""COMPUTED_VALUE"""),90000.0)</f>
        <v>90000</v>
      </c>
      <c r="F1373" s="1">
        <f>IFERROR(__xludf.DUMMYFUNCTION("""COMPUTED_VALUE"""),20444.0)</f>
        <v>20444</v>
      </c>
    </row>
    <row r="1374">
      <c r="A1374" s="2">
        <f>IFERROR(__xludf.DUMMYFUNCTION("""COMPUTED_VALUE"""),42944.64583333333)</f>
        <v>42944.64583</v>
      </c>
      <c r="B1374" s="1">
        <f>IFERROR(__xludf.DUMMYFUNCTION("""COMPUTED_VALUE"""),90400.0)</f>
        <v>90400</v>
      </c>
      <c r="C1374" s="1">
        <f>IFERROR(__xludf.DUMMYFUNCTION("""COMPUTED_VALUE"""),90800.0)</f>
        <v>90800</v>
      </c>
      <c r="D1374" s="1">
        <f>IFERROR(__xludf.DUMMYFUNCTION("""COMPUTED_VALUE"""),89400.0)</f>
        <v>89400</v>
      </c>
      <c r="E1374" s="1">
        <f>IFERROR(__xludf.DUMMYFUNCTION("""COMPUTED_VALUE"""),90800.0)</f>
        <v>90800</v>
      </c>
      <c r="F1374" s="1">
        <f>IFERROR(__xludf.DUMMYFUNCTION("""COMPUTED_VALUE"""),18302.0)</f>
        <v>18302</v>
      </c>
    </row>
    <row r="1375">
      <c r="A1375" s="2">
        <f>IFERROR(__xludf.DUMMYFUNCTION("""COMPUTED_VALUE"""),42947.64583333333)</f>
        <v>42947.64583</v>
      </c>
      <c r="B1375" s="1">
        <f>IFERROR(__xludf.DUMMYFUNCTION("""COMPUTED_VALUE"""),91000.0)</f>
        <v>91000</v>
      </c>
      <c r="C1375" s="1">
        <f>IFERROR(__xludf.DUMMYFUNCTION("""COMPUTED_VALUE"""),92000.0)</f>
        <v>92000</v>
      </c>
      <c r="D1375" s="1">
        <f>IFERROR(__xludf.DUMMYFUNCTION("""COMPUTED_VALUE"""),89800.0)</f>
        <v>89800</v>
      </c>
      <c r="E1375" s="1">
        <f>IFERROR(__xludf.DUMMYFUNCTION("""COMPUTED_VALUE"""),92000.0)</f>
        <v>92000</v>
      </c>
      <c r="F1375" s="1">
        <f>IFERROR(__xludf.DUMMYFUNCTION("""COMPUTED_VALUE"""),12669.0)</f>
        <v>12669</v>
      </c>
    </row>
    <row r="1376">
      <c r="A1376" s="2">
        <f>IFERROR(__xludf.DUMMYFUNCTION("""COMPUTED_VALUE"""),42948.64583333333)</f>
        <v>42948.64583</v>
      </c>
      <c r="B1376" s="1">
        <f>IFERROR(__xludf.DUMMYFUNCTION("""COMPUTED_VALUE"""),91400.0)</f>
        <v>91400</v>
      </c>
      <c r="C1376" s="1">
        <f>IFERROR(__xludf.DUMMYFUNCTION("""COMPUTED_VALUE"""),96000.0)</f>
        <v>96000</v>
      </c>
      <c r="D1376" s="1">
        <f>IFERROR(__xludf.DUMMYFUNCTION("""COMPUTED_VALUE"""),91400.0)</f>
        <v>91400</v>
      </c>
      <c r="E1376" s="1">
        <f>IFERROR(__xludf.DUMMYFUNCTION("""COMPUTED_VALUE"""),93400.0)</f>
        <v>93400</v>
      </c>
      <c r="F1376" s="1">
        <f>IFERROR(__xludf.DUMMYFUNCTION("""COMPUTED_VALUE"""),17961.0)</f>
        <v>17961</v>
      </c>
    </row>
    <row r="1377">
      <c r="A1377" s="2">
        <f>IFERROR(__xludf.DUMMYFUNCTION("""COMPUTED_VALUE"""),42949.64583333333)</f>
        <v>42949.64583</v>
      </c>
      <c r="B1377" s="1">
        <f>IFERROR(__xludf.DUMMYFUNCTION("""COMPUTED_VALUE"""),93700.0)</f>
        <v>93700</v>
      </c>
      <c r="C1377" s="1">
        <f>IFERROR(__xludf.DUMMYFUNCTION("""COMPUTED_VALUE"""),95000.0)</f>
        <v>95000</v>
      </c>
      <c r="D1377" s="1">
        <f>IFERROR(__xludf.DUMMYFUNCTION("""COMPUTED_VALUE"""),93000.0)</f>
        <v>93000</v>
      </c>
      <c r="E1377" s="1">
        <f>IFERROR(__xludf.DUMMYFUNCTION("""COMPUTED_VALUE"""),93700.0)</f>
        <v>93700</v>
      </c>
      <c r="F1377" s="1">
        <f>IFERROR(__xludf.DUMMYFUNCTION("""COMPUTED_VALUE"""),15815.0)</f>
        <v>15815</v>
      </c>
    </row>
    <row r="1378">
      <c r="A1378" s="2">
        <f>IFERROR(__xludf.DUMMYFUNCTION("""COMPUTED_VALUE"""),42950.64583333333)</f>
        <v>42950.64583</v>
      </c>
      <c r="B1378" s="1">
        <f>IFERROR(__xludf.DUMMYFUNCTION("""COMPUTED_VALUE"""),93900.0)</f>
        <v>93900</v>
      </c>
      <c r="C1378" s="1">
        <f>IFERROR(__xludf.DUMMYFUNCTION("""COMPUTED_VALUE"""),93900.0)</f>
        <v>93900</v>
      </c>
      <c r="D1378" s="1">
        <f>IFERROR(__xludf.DUMMYFUNCTION("""COMPUTED_VALUE"""),90700.0)</f>
        <v>90700</v>
      </c>
      <c r="E1378" s="1">
        <f>IFERROR(__xludf.DUMMYFUNCTION("""COMPUTED_VALUE"""),91100.0)</f>
        <v>91100</v>
      </c>
      <c r="F1378" s="1">
        <f>IFERROR(__xludf.DUMMYFUNCTION("""COMPUTED_VALUE"""),27728.0)</f>
        <v>27728</v>
      </c>
    </row>
    <row r="1379">
      <c r="A1379" s="2">
        <f>IFERROR(__xludf.DUMMYFUNCTION("""COMPUTED_VALUE"""),42951.64583333333)</f>
        <v>42951.64583</v>
      </c>
      <c r="B1379" s="1">
        <f>IFERROR(__xludf.DUMMYFUNCTION("""COMPUTED_VALUE"""),91400.0)</f>
        <v>91400</v>
      </c>
      <c r="C1379" s="1">
        <f>IFERROR(__xludf.DUMMYFUNCTION("""COMPUTED_VALUE"""),95400.0)</f>
        <v>95400</v>
      </c>
      <c r="D1379" s="1">
        <f>IFERROR(__xludf.DUMMYFUNCTION("""COMPUTED_VALUE"""),90100.0)</f>
        <v>90100</v>
      </c>
      <c r="E1379" s="1">
        <f>IFERROR(__xludf.DUMMYFUNCTION("""COMPUTED_VALUE"""),95300.0)</f>
        <v>95300</v>
      </c>
      <c r="F1379" s="1">
        <f>IFERROR(__xludf.DUMMYFUNCTION("""COMPUTED_VALUE"""),15460.0)</f>
        <v>15460</v>
      </c>
    </row>
    <row r="1380">
      <c r="A1380" s="2">
        <f>IFERROR(__xludf.DUMMYFUNCTION("""COMPUTED_VALUE"""),42954.64583333333)</f>
        <v>42954.64583</v>
      </c>
      <c r="B1380" s="1">
        <f>IFERROR(__xludf.DUMMYFUNCTION("""COMPUTED_VALUE"""),95400.0)</f>
        <v>95400</v>
      </c>
      <c r="C1380" s="1">
        <f>IFERROR(__xludf.DUMMYFUNCTION("""COMPUTED_VALUE"""),96500.0)</f>
        <v>96500</v>
      </c>
      <c r="D1380" s="1">
        <f>IFERROR(__xludf.DUMMYFUNCTION("""COMPUTED_VALUE"""),94200.0)</f>
        <v>94200</v>
      </c>
      <c r="E1380" s="1">
        <f>IFERROR(__xludf.DUMMYFUNCTION("""COMPUTED_VALUE"""),94700.0)</f>
        <v>94700</v>
      </c>
      <c r="F1380" s="1">
        <f>IFERROR(__xludf.DUMMYFUNCTION("""COMPUTED_VALUE"""),15888.0)</f>
        <v>15888</v>
      </c>
    </row>
    <row r="1381">
      <c r="A1381" s="2">
        <f>IFERROR(__xludf.DUMMYFUNCTION("""COMPUTED_VALUE"""),42955.64583333333)</f>
        <v>42955.64583</v>
      </c>
      <c r="B1381" s="1">
        <f>IFERROR(__xludf.DUMMYFUNCTION("""COMPUTED_VALUE"""),94000.0)</f>
        <v>94000</v>
      </c>
      <c r="C1381" s="1">
        <f>IFERROR(__xludf.DUMMYFUNCTION("""COMPUTED_VALUE"""),95200.0)</f>
        <v>95200</v>
      </c>
      <c r="D1381" s="1">
        <f>IFERROR(__xludf.DUMMYFUNCTION("""COMPUTED_VALUE"""),93300.0)</f>
        <v>93300</v>
      </c>
      <c r="E1381" s="1">
        <f>IFERROR(__xludf.DUMMYFUNCTION("""COMPUTED_VALUE"""),94600.0)</f>
        <v>94600</v>
      </c>
      <c r="F1381" s="1">
        <f>IFERROR(__xludf.DUMMYFUNCTION("""COMPUTED_VALUE"""),11503.0)</f>
        <v>11503</v>
      </c>
    </row>
    <row r="1382">
      <c r="A1382" s="2">
        <f>IFERROR(__xludf.DUMMYFUNCTION("""COMPUTED_VALUE"""),42956.64583333333)</f>
        <v>42956.64583</v>
      </c>
      <c r="B1382" s="1">
        <f>IFERROR(__xludf.DUMMYFUNCTION("""COMPUTED_VALUE"""),93500.0)</f>
        <v>93500</v>
      </c>
      <c r="C1382" s="1">
        <f>IFERROR(__xludf.DUMMYFUNCTION("""COMPUTED_VALUE"""),94700.0)</f>
        <v>94700</v>
      </c>
      <c r="D1382" s="1">
        <f>IFERROR(__xludf.DUMMYFUNCTION("""COMPUTED_VALUE"""),93300.0)</f>
        <v>93300</v>
      </c>
      <c r="E1382" s="1">
        <f>IFERROR(__xludf.DUMMYFUNCTION("""COMPUTED_VALUE"""),94300.0)</f>
        <v>94300</v>
      </c>
      <c r="F1382" s="1">
        <f>IFERROR(__xludf.DUMMYFUNCTION("""COMPUTED_VALUE"""),11596.0)</f>
        <v>11596</v>
      </c>
    </row>
    <row r="1383">
      <c r="A1383" s="2">
        <f>IFERROR(__xludf.DUMMYFUNCTION("""COMPUTED_VALUE"""),42957.64583333333)</f>
        <v>42957.64583</v>
      </c>
      <c r="B1383" s="1">
        <f>IFERROR(__xludf.DUMMYFUNCTION("""COMPUTED_VALUE"""),94100.0)</f>
        <v>94100</v>
      </c>
      <c r="C1383" s="1">
        <f>IFERROR(__xludf.DUMMYFUNCTION("""COMPUTED_VALUE"""),95200.0)</f>
        <v>95200</v>
      </c>
      <c r="D1383" s="1">
        <f>IFERROR(__xludf.DUMMYFUNCTION("""COMPUTED_VALUE"""),91400.0)</f>
        <v>91400</v>
      </c>
      <c r="E1383" s="1">
        <f>IFERROR(__xludf.DUMMYFUNCTION("""COMPUTED_VALUE"""),94100.0)</f>
        <v>94100</v>
      </c>
      <c r="F1383" s="1">
        <f>IFERROR(__xludf.DUMMYFUNCTION("""COMPUTED_VALUE"""),22687.0)</f>
        <v>22687</v>
      </c>
    </row>
    <row r="1384">
      <c r="A1384" s="2">
        <f>IFERROR(__xludf.DUMMYFUNCTION("""COMPUTED_VALUE"""),42958.64583333333)</f>
        <v>42958.64583</v>
      </c>
      <c r="B1384" s="1">
        <f>IFERROR(__xludf.DUMMYFUNCTION("""COMPUTED_VALUE"""),91700.0)</f>
        <v>91700</v>
      </c>
      <c r="C1384" s="1">
        <f>IFERROR(__xludf.DUMMYFUNCTION("""COMPUTED_VALUE"""),93200.0)</f>
        <v>93200</v>
      </c>
      <c r="D1384" s="1">
        <f>IFERROR(__xludf.DUMMYFUNCTION("""COMPUTED_VALUE"""),91100.0)</f>
        <v>91100</v>
      </c>
      <c r="E1384" s="1">
        <f>IFERROR(__xludf.DUMMYFUNCTION("""COMPUTED_VALUE"""),91200.0)</f>
        <v>91200</v>
      </c>
      <c r="F1384" s="1">
        <f>IFERROR(__xludf.DUMMYFUNCTION("""COMPUTED_VALUE"""),22326.0)</f>
        <v>22326</v>
      </c>
    </row>
    <row r="1385">
      <c r="A1385" s="2">
        <f>IFERROR(__xludf.DUMMYFUNCTION("""COMPUTED_VALUE"""),42961.64583333333)</f>
        <v>42961.64583</v>
      </c>
      <c r="B1385" s="1">
        <f>IFERROR(__xludf.DUMMYFUNCTION("""COMPUTED_VALUE"""),91400.0)</f>
        <v>91400</v>
      </c>
      <c r="C1385" s="1">
        <f>IFERROR(__xludf.DUMMYFUNCTION("""COMPUTED_VALUE"""),92500.0)</f>
        <v>92500</v>
      </c>
      <c r="D1385" s="1">
        <f>IFERROR(__xludf.DUMMYFUNCTION("""COMPUTED_VALUE"""),91400.0)</f>
        <v>91400</v>
      </c>
      <c r="E1385" s="1">
        <f>IFERROR(__xludf.DUMMYFUNCTION("""COMPUTED_VALUE"""),91700.0)</f>
        <v>91700</v>
      </c>
      <c r="F1385" s="1">
        <f>IFERROR(__xludf.DUMMYFUNCTION("""COMPUTED_VALUE"""),6071.0)</f>
        <v>6071</v>
      </c>
    </row>
    <row r="1386">
      <c r="A1386" s="2">
        <f>IFERROR(__xludf.DUMMYFUNCTION("""COMPUTED_VALUE"""),42963.64583333333)</f>
        <v>42963.64583</v>
      </c>
      <c r="B1386" s="1">
        <f>IFERROR(__xludf.DUMMYFUNCTION("""COMPUTED_VALUE"""),91900.0)</f>
        <v>91900</v>
      </c>
      <c r="C1386" s="1">
        <f>IFERROR(__xludf.DUMMYFUNCTION("""COMPUTED_VALUE"""),91900.0)</f>
        <v>91900</v>
      </c>
      <c r="D1386" s="1">
        <f>IFERROR(__xludf.DUMMYFUNCTION("""COMPUTED_VALUE"""),89500.0)</f>
        <v>89500</v>
      </c>
      <c r="E1386" s="1">
        <f>IFERROR(__xludf.DUMMYFUNCTION("""COMPUTED_VALUE"""),90900.0)</f>
        <v>90900</v>
      </c>
      <c r="F1386" s="1">
        <f>IFERROR(__xludf.DUMMYFUNCTION("""COMPUTED_VALUE"""),22948.0)</f>
        <v>22948</v>
      </c>
    </row>
    <row r="1387">
      <c r="A1387" s="2">
        <f>IFERROR(__xludf.DUMMYFUNCTION("""COMPUTED_VALUE"""),42964.64583333333)</f>
        <v>42964.64583</v>
      </c>
      <c r="B1387" s="1">
        <f>IFERROR(__xludf.DUMMYFUNCTION("""COMPUTED_VALUE"""),90000.0)</f>
        <v>90000</v>
      </c>
      <c r="C1387" s="1">
        <f>IFERROR(__xludf.DUMMYFUNCTION("""COMPUTED_VALUE"""),91300.0)</f>
        <v>91300</v>
      </c>
      <c r="D1387" s="1">
        <f>IFERROR(__xludf.DUMMYFUNCTION("""COMPUTED_VALUE"""),89700.0)</f>
        <v>89700</v>
      </c>
      <c r="E1387" s="1">
        <f>IFERROR(__xludf.DUMMYFUNCTION("""COMPUTED_VALUE"""),91300.0)</f>
        <v>91300</v>
      </c>
      <c r="F1387" s="1">
        <f>IFERROR(__xludf.DUMMYFUNCTION("""COMPUTED_VALUE"""),10845.0)</f>
        <v>10845</v>
      </c>
    </row>
    <row r="1388">
      <c r="A1388" s="2">
        <f>IFERROR(__xludf.DUMMYFUNCTION("""COMPUTED_VALUE"""),42965.64583333333)</f>
        <v>42965.64583</v>
      </c>
      <c r="B1388" s="1">
        <f>IFERROR(__xludf.DUMMYFUNCTION("""COMPUTED_VALUE"""),91300.0)</f>
        <v>91300</v>
      </c>
      <c r="C1388" s="1">
        <f>IFERROR(__xludf.DUMMYFUNCTION("""COMPUTED_VALUE"""),91600.0)</f>
        <v>91600</v>
      </c>
      <c r="D1388" s="1">
        <f>IFERROR(__xludf.DUMMYFUNCTION("""COMPUTED_VALUE"""),90400.0)</f>
        <v>90400</v>
      </c>
      <c r="E1388" s="1">
        <f>IFERROR(__xludf.DUMMYFUNCTION("""COMPUTED_VALUE"""),91600.0)</f>
        <v>91600</v>
      </c>
      <c r="F1388" s="1">
        <f>IFERROR(__xludf.DUMMYFUNCTION("""COMPUTED_VALUE"""),7294.0)</f>
        <v>7294</v>
      </c>
    </row>
    <row r="1389">
      <c r="A1389" s="2">
        <f>IFERROR(__xludf.DUMMYFUNCTION("""COMPUTED_VALUE"""),42968.64583333333)</f>
        <v>42968.64583</v>
      </c>
      <c r="B1389" s="1">
        <f>IFERROR(__xludf.DUMMYFUNCTION("""COMPUTED_VALUE"""),92400.0)</f>
        <v>92400</v>
      </c>
      <c r="C1389" s="1">
        <f>IFERROR(__xludf.DUMMYFUNCTION("""COMPUTED_VALUE"""),94200.0)</f>
        <v>94200</v>
      </c>
      <c r="D1389" s="1">
        <f>IFERROR(__xludf.DUMMYFUNCTION("""COMPUTED_VALUE"""),92400.0)</f>
        <v>92400</v>
      </c>
      <c r="E1389" s="1">
        <f>IFERROR(__xludf.DUMMYFUNCTION("""COMPUTED_VALUE"""),93800.0)</f>
        <v>93800</v>
      </c>
      <c r="F1389" s="1">
        <f>IFERROR(__xludf.DUMMYFUNCTION("""COMPUTED_VALUE"""),15707.0)</f>
        <v>15707</v>
      </c>
    </row>
    <row r="1390">
      <c r="A1390" s="2">
        <f>IFERROR(__xludf.DUMMYFUNCTION("""COMPUTED_VALUE"""),42969.64583333333)</f>
        <v>42969.64583</v>
      </c>
      <c r="B1390" s="1">
        <f>IFERROR(__xludf.DUMMYFUNCTION("""COMPUTED_VALUE"""),93700.0)</f>
        <v>93700</v>
      </c>
      <c r="C1390" s="1">
        <f>IFERROR(__xludf.DUMMYFUNCTION("""COMPUTED_VALUE"""),93900.0)</f>
        <v>93900</v>
      </c>
      <c r="D1390" s="1">
        <f>IFERROR(__xludf.DUMMYFUNCTION("""COMPUTED_VALUE"""),92900.0)</f>
        <v>92900</v>
      </c>
      <c r="E1390" s="1">
        <f>IFERROR(__xludf.DUMMYFUNCTION("""COMPUTED_VALUE"""),93900.0)</f>
        <v>93900</v>
      </c>
      <c r="F1390" s="1">
        <f>IFERROR(__xludf.DUMMYFUNCTION("""COMPUTED_VALUE"""),7229.0)</f>
        <v>7229</v>
      </c>
    </row>
    <row r="1391">
      <c r="A1391" s="2">
        <f>IFERROR(__xludf.DUMMYFUNCTION("""COMPUTED_VALUE"""),42970.64583333333)</f>
        <v>42970.64583</v>
      </c>
      <c r="B1391" s="1">
        <f>IFERROR(__xludf.DUMMYFUNCTION("""COMPUTED_VALUE"""),94000.0)</f>
        <v>94000</v>
      </c>
      <c r="C1391" s="1">
        <f>IFERROR(__xludf.DUMMYFUNCTION("""COMPUTED_VALUE"""),94000.0)</f>
        <v>94000</v>
      </c>
      <c r="D1391" s="1">
        <f>IFERROR(__xludf.DUMMYFUNCTION("""COMPUTED_VALUE"""),93200.0)</f>
        <v>93200</v>
      </c>
      <c r="E1391" s="1">
        <f>IFERROR(__xludf.DUMMYFUNCTION("""COMPUTED_VALUE"""),93900.0)</f>
        <v>93900</v>
      </c>
      <c r="F1391" s="1">
        <f>IFERROR(__xludf.DUMMYFUNCTION("""COMPUTED_VALUE"""),6683.0)</f>
        <v>6683</v>
      </c>
    </row>
    <row r="1392">
      <c r="A1392" s="2">
        <f>IFERROR(__xludf.DUMMYFUNCTION("""COMPUTED_VALUE"""),42971.64583333333)</f>
        <v>42971.64583</v>
      </c>
      <c r="B1392" s="1">
        <f>IFERROR(__xludf.DUMMYFUNCTION("""COMPUTED_VALUE"""),93800.0)</f>
        <v>93800</v>
      </c>
      <c r="C1392" s="1">
        <f>IFERROR(__xludf.DUMMYFUNCTION("""COMPUTED_VALUE"""),94400.0)</f>
        <v>94400</v>
      </c>
      <c r="D1392" s="1">
        <f>IFERROR(__xludf.DUMMYFUNCTION("""COMPUTED_VALUE"""),93600.0)</f>
        <v>93600</v>
      </c>
      <c r="E1392" s="1">
        <f>IFERROR(__xludf.DUMMYFUNCTION("""COMPUTED_VALUE"""),94300.0)</f>
        <v>94300</v>
      </c>
      <c r="F1392" s="1">
        <f>IFERROR(__xludf.DUMMYFUNCTION("""COMPUTED_VALUE"""),13760.0)</f>
        <v>13760</v>
      </c>
    </row>
    <row r="1393">
      <c r="A1393" s="2">
        <f>IFERROR(__xludf.DUMMYFUNCTION("""COMPUTED_VALUE"""),42972.64583333333)</f>
        <v>42972.64583</v>
      </c>
      <c r="B1393" s="1">
        <f>IFERROR(__xludf.DUMMYFUNCTION("""COMPUTED_VALUE"""),94700.0)</f>
        <v>94700</v>
      </c>
      <c r="C1393" s="1">
        <f>IFERROR(__xludf.DUMMYFUNCTION("""COMPUTED_VALUE"""),94700.0)</f>
        <v>94700</v>
      </c>
      <c r="D1393" s="1">
        <f>IFERROR(__xludf.DUMMYFUNCTION("""COMPUTED_VALUE"""),93500.0)</f>
        <v>93500</v>
      </c>
      <c r="E1393" s="1">
        <f>IFERROR(__xludf.DUMMYFUNCTION("""COMPUTED_VALUE"""),94200.0)</f>
        <v>94200</v>
      </c>
      <c r="F1393" s="1">
        <f>IFERROR(__xludf.DUMMYFUNCTION("""COMPUTED_VALUE"""),4438.0)</f>
        <v>4438</v>
      </c>
    </row>
    <row r="1394">
      <c r="A1394" s="2">
        <f>IFERROR(__xludf.DUMMYFUNCTION("""COMPUTED_VALUE"""),42975.64583333333)</f>
        <v>42975.64583</v>
      </c>
      <c r="B1394" s="1">
        <f>IFERROR(__xludf.DUMMYFUNCTION("""COMPUTED_VALUE"""),94500.0)</f>
        <v>94500</v>
      </c>
      <c r="C1394" s="1">
        <f>IFERROR(__xludf.DUMMYFUNCTION("""COMPUTED_VALUE"""),95800.0)</f>
        <v>95800</v>
      </c>
      <c r="D1394" s="1">
        <f>IFERROR(__xludf.DUMMYFUNCTION("""COMPUTED_VALUE"""),94100.0)</f>
        <v>94100</v>
      </c>
      <c r="E1394" s="1">
        <f>IFERROR(__xludf.DUMMYFUNCTION("""COMPUTED_VALUE"""),94800.0)</f>
        <v>94800</v>
      </c>
      <c r="F1394" s="1">
        <f>IFERROR(__xludf.DUMMYFUNCTION("""COMPUTED_VALUE"""),6765.0)</f>
        <v>6765</v>
      </c>
    </row>
    <row r="1395">
      <c r="A1395" s="2">
        <f>IFERROR(__xludf.DUMMYFUNCTION("""COMPUTED_VALUE"""),42976.64583333333)</f>
        <v>42976.64583</v>
      </c>
      <c r="B1395" s="1">
        <f>IFERROR(__xludf.DUMMYFUNCTION("""COMPUTED_VALUE"""),94200.0)</f>
        <v>94200</v>
      </c>
      <c r="C1395" s="1">
        <f>IFERROR(__xludf.DUMMYFUNCTION("""COMPUTED_VALUE"""),96100.0)</f>
        <v>96100</v>
      </c>
      <c r="D1395" s="1">
        <f>IFERROR(__xludf.DUMMYFUNCTION("""COMPUTED_VALUE"""),94100.0)</f>
        <v>94100</v>
      </c>
      <c r="E1395" s="1">
        <f>IFERROR(__xludf.DUMMYFUNCTION("""COMPUTED_VALUE"""),96000.0)</f>
        <v>96000</v>
      </c>
      <c r="F1395" s="1">
        <f>IFERROR(__xludf.DUMMYFUNCTION("""COMPUTED_VALUE"""),17362.0)</f>
        <v>17362</v>
      </c>
    </row>
    <row r="1396">
      <c r="A1396" s="2">
        <f>IFERROR(__xludf.DUMMYFUNCTION("""COMPUTED_VALUE"""),42977.64583333333)</f>
        <v>42977.64583</v>
      </c>
      <c r="B1396" s="1">
        <f>IFERROR(__xludf.DUMMYFUNCTION("""COMPUTED_VALUE"""),95500.0)</f>
        <v>95500</v>
      </c>
      <c r="C1396" s="1">
        <f>IFERROR(__xludf.DUMMYFUNCTION("""COMPUTED_VALUE"""),98800.0)</f>
        <v>98800</v>
      </c>
      <c r="D1396" s="1">
        <f>IFERROR(__xludf.DUMMYFUNCTION("""COMPUTED_VALUE"""),95500.0)</f>
        <v>95500</v>
      </c>
      <c r="E1396" s="1">
        <f>IFERROR(__xludf.DUMMYFUNCTION("""COMPUTED_VALUE"""),98800.0)</f>
        <v>98800</v>
      </c>
      <c r="F1396" s="1">
        <f>IFERROR(__xludf.DUMMYFUNCTION("""COMPUTED_VALUE"""),19066.0)</f>
        <v>19066</v>
      </c>
    </row>
    <row r="1397">
      <c r="A1397" s="2">
        <f>IFERROR(__xludf.DUMMYFUNCTION("""COMPUTED_VALUE"""),42978.64583333333)</f>
        <v>42978.64583</v>
      </c>
      <c r="B1397" s="1">
        <f>IFERROR(__xludf.DUMMYFUNCTION("""COMPUTED_VALUE"""),99100.0)</f>
        <v>99100</v>
      </c>
      <c r="C1397" s="1">
        <f>IFERROR(__xludf.DUMMYFUNCTION("""COMPUTED_VALUE"""),101500.0)</f>
        <v>101500</v>
      </c>
      <c r="D1397" s="1">
        <f>IFERROR(__xludf.DUMMYFUNCTION("""COMPUTED_VALUE"""),98000.0)</f>
        <v>98000</v>
      </c>
      <c r="E1397" s="1">
        <f>IFERROR(__xludf.DUMMYFUNCTION("""COMPUTED_VALUE"""),99700.0)</f>
        <v>99700</v>
      </c>
      <c r="F1397" s="1">
        <f>IFERROR(__xludf.DUMMYFUNCTION("""COMPUTED_VALUE"""),22817.0)</f>
        <v>22817</v>
      </c>
    </row>
    <row r="1398">
      <c r="A1398" s="2">
        <f>IFERROR(__xludf.DUMMYFUNCTION("""COMPUTED_VALUE"""),42979.64583333333)</f>
        <v>42979.64583</v>
      </c>
      <c r="B1398" s="1">
        <f>IFERROR(__xludf.DUMMYFUNCTION("""COMPUTED_VALUE"""),100000.0)</f>
        <v>100000</v>
      </c>
      <c r="C1398" s="1">
        <f>IFERROR(__xludf.DUMMYFUNCTION("""COMPUTED_VALUE"""),101000.0)</f>
        <v>101000</v>
      </c>
      <c r="D1398" s="1">
        <f>IFERROR(__xludf.DUMMYFUNCTION("""COMPUTED_VALUE"""),99400.0)</f>
        <v>99400</v>
      </c>
      <c r="E1398" s="1">
        <f>IFERROR(__xludf.DUMMYFUNCTION("""COMPUTED_VALUE"""),99700.0)</f>
        <v>99700</v>
      </c>
      <c r="F1398" s="1">
        <f>IFERROR(__xludf.DUMMYFUNCTION("""COMPUTED_VALUE"""),14849.0)</f>
        <v>14849</v>
      </c>
    </row>
    <row r="1399">
      <c r="A1399" s="2">
        <f>IFERROR(__xludf.DUMMYFUNCTION("""COMPUTED_VALUE"""),42982.64583333333)</f>
        <v>42982.64583</v>
      </c>
      <c r="B1399" s="1">
        <f>IFERROR(__xludf.DUMMYFUNCTION("""COMPUTED_VALUE"""),98400.0)</f>
        <v>98400</v>
      </c>
      <c r="C1399" s="1">
        <f>IFERROR(__xludf.DUMMYFUNCTION("""COMPUTED_VALUE"""),100000.0)</f>
        <v>100000</v>
      </c>
      <c r="D1399" s="1">
        <f>IFERROR(__xludf.DUMMYFUNCTION("""COMPUTED_VALUE"""),97600.0)</f>
        <v>97600</v>
      </c>
      <c r="E1399" s="1">
        <f>IFERROR(__xludf.DUMMYFUNCTION("""COMPUTED_VALUE"""),100000.0)</f>
        <v>100000</v>
      </c>
      <c r="F1399" s="1">
        <f>IFERROR(__xludf.DUMMYFUNCTION("""COMPUTED_VALUE"""),15310.0)</f>
        <v>15310</v>
      </c>
    </row>
    <row r="1400">
      <c r="A1400" s="2">
        <f>IFERROR(__xludf.DUMMYFUNCTION("""COMPUTED_VALUE"""),42983.64583333333)</f>
        <v>42983.64583</v>
      </c>
      <c r="B1400" s="1">
        <f>IFERROR(__xludf.DUMMYFUNCTION("""COMPUTED_VALUE"""),100500.0)</f>
        <v>100500</v>
      </c>
      <c r="C1400" s="1">
        <f>IFERROR(__xludf.DUMMYFUNCTION("""COMPUTED_VALUE"""),100500.0)</f>
        <v>100500</v>
      </c>
      <c r="D1400" s="1">
        <f>IFERROR(__xludf.DUMMYFUNCTION("""COMPUTED_VALUE"""),98300.0)</f>
        <v>98300</v>
      </c>
      <c r="E1400" s="1">
        <f>IFERROR(__xludf.DUMMYFUNCTION("""COMPUTED_VALUE"""),99100.0)</f>
        <v>99100</v>
      </c>
      <c r="F1400" s="1">
        <f>IFERROR(__xludf.DUMMYFUNCTION("""COMPUTED_VALUE"""),11863.0)</f>
        <v>11863</v>
      </c>
    </row>
    <row r="1401">
      <c r="A1401" s="2">
        <f>IFERROR(__xludf.DUMMYFUNCTION("""COMPUTED_VALUE"""),42984.64583333333)</f>
        <v>42984.64583</v>
      </c>
      <c r="B1401" s="1">
        <f>IFERROR(__xludf.DUMMYFUNCTION("""COMPUTED_VALUE"""),99200.0)</f>
        <v>99200</v>
      </c>
      <c r="C1401" s="1">
        <f>IFERROR(__xludf.DUMMYFUNCTION("""COMPUTED_VALUE"""),99800.0)</f>
        <v>99800</v>
      </c>
      <c r="D1401" s="1">
        <f>IFERROR(__xludf.DUMMYFUNCTION("""COMPUTED_VALUE"""),97200.0)</f>
        <v>97200</v>
      </c>
      <c r="E1401" s="1">
        <f>IFERROR(__xludf.DUMMYFUNCTION("""COMPUTED_VALUE"""),98800.0)</f>
        <v>98800</v>
      </c>
      <c r="F1401" s="1">
        <f>IFERROR(__xludf.DUMMYFUNCTION("""COMPUTED_VALUE"""),14908.0)</f>
        <v>14908</v>
      </c>
    </row>
    <row r="1402">
      <c r="A1402" s="2">
        <f>IFERROR(__xludf.DUMMYFUNCTION("""COMPUTED_VALUE"""),42985.64583333333)</f>
        <v>42985.64583</v>
      </c>
      <c r="B1402" s="1">
        <f>IFERROR(__xludf.DUMMYFUNCTION("""COMPUTED_VALUE"""),99000.0)</f>
        <v>99000</v>
      </c>
      <c r="C1402" s="1">
        <f>IFERROR(__xludf.DUMMYFUNCTION("""COMPUTED_VALUE"""),99400.0)</f>
        <v>99400</v>
      </c>
      <c r="D1402" s="1">
        <f>IFERROR(__xludf.DUMMYFUNCTION("""COMPUTED_VALUE"""),98100.0)</f>
        <v>98100</v>
      </c>
      <c r="E1402" s="1">
        <f>IFERROR(__xludf.DUMMYFUNCTION("""COMPUTED_VALUE"""),98700.0)</f>
        <v>98700</v>
      </c>
      <c r="F1402" s="1">
        <f>IFERROR(__xludf.DUMMYFUNCTION("""COMPUTED_VALUE"""),8540.0)</f>
        <v>8540</v>
      </c>
    </row>
    <row r="1403">
      <c r="A1403" s="2">
        <f>IFERROR(__xludf.DUMMYFUNCTION("""COMPUTED_VALUE"""),42986.64583333333)</f>
        <v>42986.64583</v>
      </c>
      <c r="B1403" s="1">
        <f>IFERROR(__xludf.DUMMYFUNCTION("""COMPUTED_VALUE"""),98900.0)</f>
        <v>98900</v>
      </c>
      <c r="C1403" s="1">
        <f>IFERROR(__xludf.DUMMYFUNCTION("""COMPUTED_VALUE"""),98900.0)</f>
        <v>98900</v>
      </c>
      <c r="D1403" s="1">
        <f>IFERROR(__xludf.DUMMYFUNCTION("""COMPUTED_VALUE"""),97900.0)</f>
        <v>97900</v>
      </c>
      <c r="E1403" s="1">
        <f>IFERROR(__xludf.DUMMYFUNCTION("""COMPUTED_VALUE"""),98400.0)</f>
        <v>98400</v>
      </c>
      <c r="F1403" s="1">
        <f>IFERROR(__xludf.DUMMYFUNCTION("""COMPUTED_VALUE"""),5922.0)</f>
        <v>5922</v>
      </c>
    </row>
    <row r="1404">
      <c r="A1404" s="2">
        <f>IFERROR(__xludf.DUMMYFUNCTION("""COMPUTED_VALUE"""),42989.64583333333)</f>
        <v>42989.64583</v>
      </c>
      <c r="B1404" s="1">
        <f>IFERROR(__xludf.DUMMYFUNCTION("""COMPUTED_VALUE"""),98000.0)</f>
        <v>98000</v>
      </c>
      <c r="C1404" s="1">
        <f>IFERROR(__xludf.DUMMYFUNCTION("""COMPUTED_VALUE"""),99300.0)</f>
        <v>99300</v>
      </c>
      <c r="D1404" s="1">
        <f>IFERROR(__xludf.DUMMYFUNCTION("""COMPUTED_VALUE"""),98000.0)</f>
        <v>98000</v>
      </c>
      <c r="E1404" s="1">
        <f>IFERROR(__xludf.DUMMYFUNCTION("""COMPUTED_VALUE"""),99200.0)</f>
        <v>99200</v>
      </c>
      <c r="F1404" s="1">
        <f>IFERROR(__xludf.DUMMYFUNCTION("""COMPUTED_VALUE"""),9030.0)</f>
        <v>9030</v>
      </c>
    </row>
    <row r="1405">
      <c r="A1405" s="2">
        <f>IFERROR(__xludf.DUMMYFUNCTION("""COMPUTED_VALUE"""),42990.64583333333)</f>
        <v>42990.64583</v>
      </c>
      <c r="B1405" s="1">
        <f>IFERROR(__xludf.DUMMYFUNCTION("""COMPUTED_VALUE"""),99800.0)</f>
        <v>99800</v>
      </c>
      <c r="C1405" s="1">
        <f>IFERROR(__xludf.DUMMYFUNCTION("""COMPUTED_VALUE"""),99800.0)</f>
        <v>99800</v>
      </c>
      <c r="D1405" s="1">
        <f>IFERROR(__xludf.DUMMYFUNCTION("""COMPUTED_VALUE"""),98700.0)</f>
        <v>98700</v>
      </c>
      <c r="E1405" s="1">
        <f>IFERROR(__xludf.DUMMYFUNCTION("""COMPUTED_VALUE"""),99200.0)</f>
        <v>99200</v>
      </c>
      <c r="F1405" s="1">
        <f>IFERROR(__xludf.DUMMYFUNCTION("""COMPUTED_VALUE"""),6664.0)</f>
        <v>6664</v>
      </c>
    </row>
    <row r="1406">
      <c r="A1406" s="2">
        <f>IFERROR(__xludf.DUMMYFUNCTION("""COMPUTED_VALUE"""),42992.64583333333)</f>
        <v>42992.64583</v>
      </c>
      <c r="B1406" s="1">
        <f>IFERROR(__xludf.DUMMYFUNCTION("""COMPUTED_VALUE"""),99700.0)</f>
        <v>99700</v>
      </c>
      <c r="C1406" s="1">
        <f>IFERROR(__xludf.DUMMYFUNCTION("""COMPUTED_VALUE"""),99700.0)</f>
        <v>99700</v>
      </c>
      <c r="D1406" s="1">
        <f>IFERROR(__xludf.DUMMYFUNCTION("""COMPUTED_VALUE"""),98600.0)</f>
        <v>98600</v>
      </c>
      <c r="E1406" s="1">
        <f>IFERROR(__xludf.DUMMYFUNCTION("""COMPUTED_VALUE"""),99300.0)</f>
        <v>99300</v>
      </c>
      <c r="F1406" s="1">
        <f>IFERROR(__xludf.DUMMYFUNCTION("""COMPUTED_VALUE"""),7757.0)</f>
        <v>7757</v>
      </c>
    </row>
    <row r="1407">
      <c r="A1407" s="2">
        <f>IFERROR(__xludf.DUMMYFUNCTION("""COMPUTED_VALUE"""),42993.64583333333)</f>
        <v>42993.64583</v>
      </c>
      <c r="B1407" s="1">
        <f>IFERROR(__xludf.DUMMYFUNCTION("""COMPUTED_VALUE"""),99100.0)</f>
        <v>99100</v>
      </c>
      <c r="C1407" s="1">
        <f>IFERROR(__xludf.DUMMYFUNCTION("""COMPUTED_VALUE"""),99300.0)</f>
        <v>99300</v>
      </c>
      <c r="D1407" s="1">
        <f>IFERROR(__xludf.DUMMYFUNCTION("""COMPUTED_VALUE"""),96900.0)</f>
        <v>96900</v>
      </c>
      <c r="E1407" s="1">
        <f>IFERROR(__xludf.DUMMYFUNCTION("""COMPUTED_VALUE"""),98000.0)</f>
        <v>98000</v>
      </c>
      <c r="F1407" s="1">
        <f>IFERROR(__xludf.DUMMYFUNCTION("""COMPUTED_VALUE"""),19746.0)</f>
        <v>19746</v>
      </c>
    </row>
    <row r="1408">
      <c r="A1408" s="2">
        <f>IFERROR(__xludf.DUMMYFUNCTION("""COMPUTED_VALUE"""),42996.64583333333)</f>
        <v>42996.64583</v>
      </c>
      <c r="B1408" s="1">
        <f>IFERROR(__xludf.DUMMYFUNCTION("""COMPUTED_VALUE"""),97600.0)</f>
        <v>97600</v>
      </c>
      <c r="C1408" s="1">
        <f>IFERROR(__xludf.DUMMYFUNCTION("""COMPUTED_VALUE"""),98400.0)</f>
        <v>98400</v>
      </c>
      <c r="D1408" s="1">
        <f>IFERROR(__xludf.DUMMYFUNCTION("""COMPUTED_VALUE"""),97100.0)</f>
        <v>97100</v>
      </c>
      <c r="E1408" s="1">
        <f>IFERROR(__xludf.DUMMYFUNCTION("""COMPUTED_VALUE"""),97600.0)</f>
        <v>97600</v>
      </c>
      <c r="F1408" s="1">
        <f>IFERROR(__xludf.DUMMYFUNCTION("""COMPUTED_VALUE"""),10516.0)</f>
        <v>10516</v>
      </c>
    </row>
    <row r="1409">
      <c r="A1409" s="2">
        <f>IFERROR(__xludf.DUMMYFUNCTION("""COMPUTED_VALUE"""),42997.64583333333)</f>
        <v>42997.64583</v>
      </c>
      <c r="B1409" s="1">
        <f>IFERROR(__xludf.DUMMYFUNCTION("""COMPUTED_VALUE"""),97400.0)</f>
        <v>97400</v>
      </c>
      <c r="C1409" s="1">
        <f>IFERROR(__xludf.DUMMYFUNCTION("""COMPUTED_VALUE"""),98100.0)</f>
        <v>98100</v>
      </c>
      <c r="D1409" s="1">
        <f>IFERROR(__xludf.DUMMYFUNCTION("""COMPUTED_VALUE"""),96500.0)</f>
        <v>96500</v>
      </c>
      <c r="E1409" s="1">
        <f>IFERROR(__xludf.DUMMYFUNCTION("""COMPUTED_VALUE"""),98100.0)</f>
        <v>98100</v>
      </c>
      <c r="F1409" s="1">
        <f>IFERROR(__xludf.DUMMYFUNCTION("""COMPUTED_VALUE"""),13438.0)</f>
        <v>13438</v>
      </c>
    </row>
    <row r="1410">
      <c r="A1410" s="2">
        <f>IFERROR(__xludf.DUMMYFUNCTION("""COMPUTED_VALUE"""),42998.64583333333)</f>
        <v>42998.64583</v>
      </c>
      <c r="B1410" s="1">
        <f>IFERROR(__xludf.DUMMYFUNCTION("""COMPUTED_VALUE"""),97700.0)</f>
        <v>97700</v>
      </c>
      <c r="C1410" s="1">
        <f>IFERROR(__xludf.DUMMYFUNCTION("""COMPUTED_VALUE"""),98200.0)</f>
        <v>98200</v>
      </c>
      <c r="D1410" s="1">
        <f>IFERROR(__xludf.DUMMYFUNCTION("""COMPUTED_VALUE"""),97200.0)</f>
        <v>97200</v>
      </c>
      <c r="E1410" s="1">
        <f>IFERROR(__xludf.DUMMYFUNCTION("""COMPUTED_VALUE"""),97700.0)</f>
        <v>97700</v>
      </c>
      <c r="F1410" s="1">
        <f>IFERROR(__xludf.DUMMYFUNCTION("""COMPUTED_VALUE"""),4061.0)</f>
        <v>4061</v>
      </c>
    </row>
    <row r="1411">
      <c r="A1411" s="2">
        <f>IFERROR(__xludf.DUMMYFUNCTION("""COMPUTED_VALUE"""),42999.64583333333)</f>
        <v>42999.64583</v>
      </c>
      <c r="B1411" s="1">
        <f>IFERROR(__xludf.DUMMYFUNCTION("""COMPUTED_VALUE"""),97500.0)</f>
        <v>97500</v>
      </c>
      <c r="C1411" s="1">
        <f>IFERROR(__xludf.DUMMYFUNCTION("""COMPUTED_VALUE"""),99000.0)</f>
        <v>99000</v>
      </c>
      <c r="D1411" s="1">
        <f>IFERROR(__xludf.DUMMYFUNCTION("""COMPUTED_VALUE"""),97500.0)</f>
        <v>97500</v>
      </c>
      <c r="E1411" s="1">
        <f>IFERROR(__xludf.DUMMYFUNCTION("""COMPUTED_VALUE"""),98500.0)</f>
        <v>98500</v>
      </c>
      <c r="F1411" s="1">
        <f>IFERROR(__xludf.DUMMYFUNCTION("""COMPUTED_VALUE"""),11503.0)</f>
        <v>11503</v>
      </c>
    </row>
    <row r="1412">
      <c r="A1412" s="2">
        <f>IFERROR(__xludf.DUMMYFUNCTION("""COMPUTED_VALUE"""),43000.64583333333)</f>
        <v>43000.64583</v>
      </c>
      <c r="B1412" s="1">
        <f>IFERROR(__xludf.DUMMYFUNCTION("""COMPUTED_VALUE"""),98700.0)</f>
        <v>98700</v>
      </c>
      <c r="C1412" s="1">
        <f>IFERROR(__xludf.DUMMYFUNCTION("""COMPUTED_VALUE"""),98900.0)</f>
        <v>98900</v>
      </c>
      <c r="D1412" s="1">
        <f>IFERROR(__xludf.DUMMYFUNCTION("""COMPUTED_VALUE"""),96000.0)</f>
        <v>96000</v>
      </c>
      <c r="E1412" s="1">
        <f>IFERROR(__xludf.DUMMYFUNCTION("""COMPUTED_VALUE"""),97400.0)</f>
        <v>97400</v>
      </c>
      <c r="F1412" s="1">
        <f>IFERROR(__xludf.DUMMYFUNCTION("""COMPUTED_VALUE"""),18067.0)</f>
        <v>18067</v>
      </c>
    </row>
    <row r="1413">
      <c r="A1413" s="2">
        <f>IFERROR(__xludf.DUMMYFUNCTION("""COMPUTED_VALUE"""),43003.64583333333)</f>
        <v>43003.64583</v>
      </c>
      <c r="B1413" s="1">
        <f>IFERROR(__xludf.DUMMYFUNCTION("""COMPUTED_VALUE"""),97200.0)</f>
        <v>97200</v>
      </c>
      <c r="C1413" s="1">
        <f>IFERROR(__xludf.DUMMYFUNCTION("""COMPUTED_VALUE"""),97800.0)</f>
        <v>97800</v>
      </c>
      <c r="D1413" s="1">
        <f>IFERROR(__xludf.DUMMYFUNCTION("""COMPUTED_VALUE"""),95200.0)</f>
        <v>95200</v>
      </c>
      <c r="E1413" s="1">
        <f>IFERROR(__xludf.DUMMYFUNCTION("""COMPUTED_VALUE"""),97700.0)</f>
        <v>97700</v>
      </c>
      <c r="F1413" s="1">
        <f>IFERROR(__xludf.DUMMYFUNCTION("""COMPUTED_VALUE"""),9596.0)</f>
        <v>9596</v>
      </c>
    </row>
    <row r="1414">
      <c r="A1414" s="2">
        <f>IFERROR(__xludf.DUMMYFUNCTION("""COMPUTED_VALUE"""),43004.64583333333)</f>
        <v>43004.64583</v>
      </c>
      <c r="B1414" s="1">
        <f>IFERROR(__xludf.DUMMYFUNCTION("""COMPUTED_VALUE"""),96600.0)</f>
        <v>96600</v>
      </c>
      <c r="C1414" s="1">
        <f>IFERROR(__xludf.DUMMYFUNCTION("""COMPUTED_VALUE"""),101000.0)</f>
        <v>101000</v>
      </c>
      <c r="D1414" s="1">
        <f>IFERROR(__xludf.DUMMYFUNCTION("""COMPUTED_VALUE"""),96600.0)</f>
        <v>96600</v>
      </c>
      <c r="E1414" s="1">
        <f>IFERROR(__xludf.DUMMYFUNCTION("""COMPUTED_VALUE"""),100500.0)</f>
        <v>100500</v>
      </c>
      <c r="F1414" s="1">
        <f>IFERROR(__xludf.DUMMYFUNCTION("""COMPUTED_VALUE"""),29984.0)</f>
        <v>29984</v>
      </c>
    </row>
    <row r="1415">
      <c r="A1415" s="2">
        <f>IFERROR(__xludf.DUMMYFUNCTION("""COMPUTED_VALUE"""),43005.64583333333)</f>
        <v>43005.64583</v>
      </c>
      <c r="B1415" s="1">
        <f>IFERROR(__xludf.DUMMYFUNCTION("""COMPUTED_VALUE"""),100500.0)</f>
        <v>100500</v>
      </c>
      <c r="C1415" s="1">
        <f>IFERROR(__xludf.DUMMYFUNCTION("""COMPUTED_VALUE"""),102500.0)</f>
        <v>102500</v>
      </c>
      <c r="D1415" s="1">
        <f>IFERROR(__xludf.DUMMYFUNCTION("""COMPUTED_VALUE"""),99200.0)</f>
        <v>99200</v>
      </c>
      <c r="E1415" s="1">
        <f>IFERROR(__xludf.DUMMYFUNCTION("""COMPUTED_VALUE"""),101500.0)</f>
        <v>101500</v>
      </c>
      <c r="F1415" s="1">
        <f>IFERROR(__xludf.DUMMYFUNCTION("""COMPUTED_VALUE"""),17349.0)</f>
        <v>17349</v>
      </c>
    </row>
    <row r="1416">
      <c r="A1416" s="2">
        <f>IFERROR(__xludf.DUMMYFUNCTION("""COMPUTED_VALUE"""),43006.64583333333)</f>
        <v>43006.64583</v>
      </c>
      <c r="B1416" s="1">
        <f>IFERROR(__xludf.DUMMYFUNCTION("""COMPUTED_VALUE"""),102000.0)</f>
        <v>102000</v>
      </c>
      <c r="C1416" s="1">
        <f>IFERROR(__xludf.DUMMYFUNCTION("""COMPUTED_VALUE"""),103000.0)</f>
        <v>103000</v>
      </c>
      <c r="D1416" s="1">
        <f>IFERROR(__xludf.DUMMYFUNCTION("""COMPUTED_VALUE"""),100000.0)</f>
        <v>100000</v>
      </c>
      <c r="E1416" s="1">
        <f>IFERROR(__xludf.DUMMYFUNCTION("""COMPUTED_VALUE"""),101000.0)</f>
        <v>101000</v>
      </c>
      <c r="F1416" s="1">
        <f>IFERROR(__xludf.DUMMYFUNCTION("""COMPUTED_VALUE"""),13980.0)</f>
        <v>13980</v>
      </c>
    </row>
    <row r="1417">
      <c r="A1417" s="2">
        <f>IFERROR(__xludf.DUMMYFUNCTION("""COMPUTED_VALUE"""),43007.64583333333)</f>
        <v>43007.64583</v>
      </c>
      <c r="B1417" s="1">
        <f>IFERROR(__xludf.DUMMYFUNCTION("""COMPUTED_VALUE"""),101000.0)</f>
        <v>101000</v>
      </c>
      <c r="C1417" s="1">
        <f>IFERROR(__xludf.DUMMYFUNCTION("""COMPUTED_VALUE"""),103000.0)</f>
        <v>103000</v>
      </c>
      <c r="D1417" s="1">
        <f>IFERROR(__xludf.DUMMYFUNCTION("""COMPUTED_VALUE"""),100500.0)</f>
        <v>100500</v>
      </c>
      <c r="E1417" s="1">
        <f>IFERROR(__xludf.DUMMYFUNCTION("""COMPUTED_VALUE"""),103000.0)</f>
        <v>103000</v>
      </c>
      <c r="F1417" s="1">
        <f>IFERROR(__xludf.DUMMYFUNCTION("""COMPUTED_VALUE"""),14437.0)</f>
        <v>14437</v>
      </c>
    </row>
    <row r="1418">
      <c r="A1418" s="2">
        <f>IFERROR(__xludf.DUMMYFUNCTION("""COMPUTED_VALUE"""),43018.64583333333)</f>
        <v>43018.64583</v>
      </c>
      <c r="B1418" s="1">
        <f>IFERROR(__xludf.DUMMYFUNCTION("""COMPUTED_VALUE"""),104000.0)</f>
        <v>104000</v>
      </c>
      <c r="C1418" s="1">
        <f>IFERROR(__xludf.DUMMYFUNCTION("""COMPUTED_VALUE"""),105500.0)</f>
        <v>105500</v>
      </c>
      <c r="D1418" s="1">
        <f>IFERROR(__xludf.DUMMYFUNCTION("""COMPUTED_VALUE"""),103000.0)</f>
        <v>103000</v>
      </c>
      <c r="E1418" s="1">
        <f>IFERROR(__xludf.DUMMYFUNCTION("""COMPUTED_VALUE"""),105000.0)</f>
        <v>105000</v>
      </c>
      <c r="F1418" s="1">
        <f>IFERROR(__xludf.DUMMYFUNCTION("""COMPUTED_VALUE"""),25358.0)</f>
        <v>25358</v>
      </c>
    </row>
    <row r="1419">
      <c r="A1419" s="2">
        <f>IFERROR(__xludf.DUMMYFUNCTION("""COMPUTED_VALUE"""),43019.64583333333)</f>
        <v>43019.64583</v>
      </c>
      <c r="B1419" s="1">
        <f>IFERROR(__xludf.DUMMYFUNCTION("""COMPUTED_VALUE"""),106000.0)</f>
        <v>106000</v>
      </c>
      <c r="C1419" s="1">
        <f>IFERROR(__xludf.DUMMYFUNCTION("""COMPUTED_VALUE"""),107500.0)</f>
        <v>107500</v>
      </c>
      <c r="D1419" s="1">
        <f>IFERROR(__xludf.DUMMYFUNCTION("""COMPUTED_VALUE"""),105000.0)</f>
        <v>105000</v>
      </c>
      <c r="E1419" s="1">
        <f>IFERROR(__xludf.DUMMYFUNCTION("""COMPUTED_VALUE"""),107000.0)</f>
        <v>107000</v>
      </c>
      <c r="F1419" s="1">
        <f>IFERROR(__xludf.DUMMYFUNCTION("""COMPUTED_VALUE"""),21026.0)</f>
        <v>21026</v>
      </c>
    </row>
    <row r="1420">
      <c r="A1420" s="2">
        <f>IFERROR(__xludf.DUMMYFUNCTION("""COMPUTED_VALUE"""),43020.64583333333)</f>
        <v>43020.64583</v>
      </c>
      <c r="B1420" s="1">
        <f>IFERROR(__xludf.DUMMYFUNCTION("""COMPUTED_VALUE"""),108000.0)</f>
        <v>108000</v>
      </c>
      <c r="C1420" s="1">
        <f>IFERROR(__xludf.DUMMYFUNCTION("""COMPUTED_VALUE"""),108000.0)</f>
        <v>108000</v>
      </c>
      <c r="D1420" s="1">
        <f>IFERROR(__xludf.DUMMYFUNCTION("""COMPUTED_VALUE"""),106000.0)</f>
        <v>106000</v>
      </c>
      <c r="E1420" s="1">
        <f>IFERROR(__xludf.DUMMYFUNCTION("""COMPUTED_VALUE"""),107500.0)</f>
        <v>107500</v>
      </c>
      <c r="F1420" s="1">
        <f>IFERROR(__xludf.DUMMYFUNCTION("""COMPUTED_VALUE"""),25422.0)</f>
        <v>25422</v>
      </c>
    </row>
    <row r="1421">
      <c r="A1421" s="2">
        <f>IFERROR(__xludf.DUMMYFUNCTION("""COMPUTED_VALUE"""),43021.64583333333)</f>
        <v>43021.64583</v>
      </c>
      <c r="B1421" s="1">
        <f>IFERROR(__xludf.DUMMYFUNCTION("""COMPUTED_VALUE"""),106500.0)</f>
        <v>106500</v>
      </c>
      <c r="C1421" s="1">
        <f>IFERROR(__xludf.DUMMYFUNCTION("""COMPUTED_VALUE"""),107500.0)</f>
        <v>107500</v>
      </c>
      <c r="D1421" s="1">
        <f>IFERROR(__xludf.DUMMYFUNCTION("""COMPUTED_VALUE"""),105000.0)</f>
        <v>105000</v>
      </c>
      <c r="E1421" s="1">
        <f>IFERROR(__xludf.DUMMYFUNCTION("""COMPUTED_VALUE"""),106000.0)</f>
        <v>106000</v>
      </c>
      <c r="F1421" s="1">
        <f>IFERROR(__xludf.DUMMYFUNCTION("""COMPUTED_VALUE"""),23848.0)</f>
        <v>23848</v>
      </c>
    </row>
    <row r="1422">
      <c r="A1422" s="2">
        <f>IFERROR(__xludf.DUMMYFUNCTION("""COMPUTED_VALUE"""),43024.64583333333)</f>
        <v>43024.64583</v>
      </c>
      <c r="B1422" s="1">
        <f>IFERROR(__xludf.DUMMYFUNCTION("""COMPUTED_VALUE"""),106000.0)</f>
        <v>106000</v>
      </c>
      <c r="C1422" s="1">
        <f>IFERROR(__xludf.DUMMYFUNCTION("""COMPUTED_VALUE"""),107000.0)</f>
        <v>107000</v>
      </c>
      <c r="D1422" s="1">
        <f>IFERROR(__xludf.DUMMYFUNCTION("""COMPUTED_VALUE"""),104500.0)</f>
        <v>104500</v>
      </c>
      <c r="E1422" s="1">
        <f>IFERROR(__xludf.DUMMYFUNCTION("""COMPUTED_VALUE"""),106000.0)</f>
        <v>106000</v>
      </c>
      <c r="F1422" s="1">
        <f>IFERROR(__xludf.DUMMYFUNCTION("""COMPUTED_VALUE"""),13746.0)</f>
        <v>13746</v>
      </c>
    </row>
    <row r="1423">
      <c r="A1423" s="2">
        <f>IFERROR(__xludf.DUMMYFUNCTION("""COMPUTED_VALUE"""),43025.64583333333)</f>
        <v>43025.64583</v>
      </c>
      <c r="B1423" s="1">
        <f>IFERROR(__xludf.DUMMYFUNCTION("""COMPUTED_VALUE"""),106000.0)</f>
        <v>106000</v>
      </c>
      <c r="C1423" s="1">
        <f>IFERROR(__xludf.DUMMYFUNCTION("""COMPUTED_VALUE"""),106500.0)</f>
        <v>106500</v>
      </c>
      <c r="D1423" s="1">
        <f>IFERROR(__xludf.DUMMYFUNCTION("""COMPUTED_VALUE"""),104000.0)</f>
        <v>104000</v>
      </c>
      <c r="E1423" s="1">
        <f>IFERROR(__xludf.DUMMYFUNCTION("""COMPUTED_VALUE"""),104500.0)</f>
        <v>104500</v>
      </c>
      <c r="F1423" s="1">
        <f>IFERROR(__xludf.DUMMYFUNCTION("""COMPUTED_VALUE"""),12079.0)</f>
        <v>12079</v>
      </c>
    </row>
    <row r="1424">
      <c r="A1424" s="2">
        <f>IFERROR(__xludf.DUMMYFUNCTION("""COMPUTED_VALUE"""),43026.64583333333)</f>
        <v>43026.64583</v>
      </c>
      <c r="B1424" s="1">
        <f>IFERROR(__xludf.DUMMYFUNCTION("""COMPUTED_VALUE"""),104500.0)</f>
        <v>104500</v>
      </c>
      <c r="C1424" s="1">
        <f>IFERROR(__xludf.DUMMYFUNCTION("""COMPUTED_VALUE"""),105500.0)</f>
        <v>105500</v>
      </c>
      <c r="D1424" s="1">
        <f>IFERROR(__xludf.DUMMYFUNCTION("""COMPUTED_VALUE"""),104000.0)</f>
        <v>104000</v>
      </c>
      <c r="E1424" s="1">
        <f>IFERROR(__xludf.DUMMYFUNCTION("""COMPUTED_VALUE"""),105000.0)</f>
        <v>105000</v>
      </c>
      <c r="F1424" s="1">
        <f>IFERROR(__xludf.DUMMYFUNCTION("""COMPUTED_VALUE"""),11999.0)</f>
        <v>11999</v>
      </c>
    </row>
    <row r="1425">
      <c r="A1425" s="2">
        <f>IFERROR(__xludf.DUMMYFUNCTION("""COMPUTED_VALUE"""),43027.64583333333)</f>
        <v>43027.64583</v>
      </c>
      <c r="B1425" s="1">
        <f>IFERROR(__xludf.DUMMYFUNCTION("""COMPUTED_VALUE"""),105000.0)</f>
        <v>105000</v>
      </c>
      <c r="C1425" s="1">
        <f>IFERROR(__xludf.DUMMYFUNCTION("""COMPUTED_VALUE"""),106500.0)</f>
        <v>106500</v>
      </c>
      <c r="D1425" s="1">
        <f>IFERROR(__xludf.DUMMYFUNCTION("""COMPUTED_VALUE"""),105000.0)</f>
        <v>105000</v>
      </c>
      <c r="E1425" s="1">
        <f>IFERROR(__xludf.DUMMYFUNCTION("""COMPUTED_VALUE"""),106000.0)</f>
        <v>106000</v>
      </c>
      <c r="F1425" s="1">
        <f>IFERROR(__xludf.DUMMYFUNCTION("""COMPUTED_VALUE"""),15223.0)</f>
        <v>15223</v>
      </c>
    </row>
    <row r="1426">
      <c r="A1426" s="2">
        <f>IFERROR(__xludf.DUMMYFUNCTION("""COMPUTED_VALUE"""),43028.64583333333)</f>
        <v>43028.64583</v>
      </c>
      <c r="B1426" s="1">
        <f>IFERROR(__xludf.DUMMYFUNCTION("""COMPUTED_VALUE"""),106000.0)</f>
        <v>106000</v>
      </c>
      <c r="C1426" s="1">
        <f>IFERROR(__xludf.DUMMYFUNCTION("""COMPUTED_VALUE"""),106500.0)</f>
        <v>106500</v>
      </c>
      <c r="D1426" s="1">
        <f>IFERROR(__xludf.DUMMYFUNCTION("""COMPUTED_VALUE"""),104500.0)</f>
        <v>104500</v>
      </c>
      <c r="E1426" s="1">
        <f>IFERROR(__xludf.DUMMYFUNCTION("""COMPUTED_VALUE"""),105500.0)</f>
        <v>105500</v>
      </c>
      <c r="F1426" s="1">
        <f>IFERROR(__xludf.DUMMYFUNCTION("""COMPUTED_VALUE"""),6530.0)</f>
        <v>6530</v>
      </c>
    </row>
    <row r="1427">
      <c r="A1427" s="2">
        <f>IFERROR(__xludf.DUMMYFUNCTION("""COMPUTED_VALUE"""),43031.64583333333)</f>
        <v>43031.64583</v>
      </c>
      <c r="B1427" s="1">
        <f>IFERROR(__xludf.DUMMYFUNCTION("""COMPUTED_VALUE"""),105000.0)</f>
        <v>105000</v>
      </c>
      <c r="C1427" s="1">
        <f>IFERROR(__xludf.DUMMYFUNCTION("""COMPUTED_VALUE"""),105500.0)</f>
        <v>105500</v>
      </c>
      <c r="D1427" s="1">
        <f>IFERROR(__xludf.DUMMYFUNCTION("""COMPUTED_VALUE"""),104500.0)</f>
        <v>104500</v>
      </c>
      <c r="E1427" s="1">
        <f>IFERROR(__xludf.DUMMYFUNCTION("""COMPUTED_VALUE"""),105000.0)</f>
        <v>105000</v>
      </c>
      <c r="F1427" s="1">
        <f>IFERROR(__xludf.DUMMYFUNCTION("""COMPUTED_VALUE"""),6690.0)</f>
        <v>6690</v>
      </c>
    </row>
    <row r="1428">
      <c r="A1428" s="2">
        <f>IFERROR(__xludf.DUMMYFUNCTION("""COMPUTED_VALUE"""),43032.64583333333)</f>
        <v>43032.64583</v>
      </c>
      <c r="B1428" s="1">
        <f>IFERROR(__xludf.DUMMYFUNCTION("""COMPUTED_VALUE"""),104500.0)</f>
        <v>104500</v>
      </c>
      <c r="C1428" s="1">
        <f>IFERROR(__xludf.DUMMYFUNCTION("""COMPUTED_VALUE"""),105500.0)</f>
        <v>105500</v>
      </c>
      <c r="D1428" s="1">
        <f>IFERROR(__xludf.DUMMYFUNCTION("""COMPUTED_VALUE"""),104000.0)</f>
        <v>104000</v>
      </c>
      <c r="E1428" s="1">
        <f>IFERROR(__xludf.DUMMYFUNCTION("""COMPUTED_VALUE"""),105000.0)</f>
        <v>105000</v>
      </c>
      <c r="F1428" s="1">
        <f>IFERROR(__xludf.DUMMYFUNCTION("""COMPUTED_VALUE"""),9055.0)</f>
        <v>9055</v>
      </c>
    </row>
    <row r="1429">
      <c r="A1429" s="2">
        <f>IFERROR(__xludf.DUMMYFUNCTION("""COMPUTED_VALUE"""),43033.64583333333)</f>
        <v>43033.64583</v>
      </c>
      <c r="B1429" s="1">
        <f>IFERROR(__xludf.DUMMYFUNCTION("""COMPUTED_VALUE"""),105000.0)</f>
        <v>105000</v>
      </c>
      <c r="C1429" s="1">
        <f>IFERROR(__xludf.DUMMYFUNCTION("""COMPUTED_VALUE"""),105000.0)</f>
        <v>105000</v>
      </c>
      <c r="D1429" s="1">
        <f>IFERROR(__xludf.DUMMYFUNCTION("""COMPUTED_VALUE"""),103000.0)</f>
        <v>103000</v>
      </c>
      <c r="E1429" s="1">
        <f>IFERROR(__xludf.DUMMYFUNCTION("""COMPUTED_VALUE"""),105000.0)</f>
        <v>105000</v>
      </c>
      <c r="F1429" s="1">
        <f>IFERROR(__xludf.DUMMYFUNCTION("""COMPUTED_VALUE"""),15314.0)</f>
        <v>15314</v>
      </c>
    </row>
    <row r="1430">
      <c r="A1430" s="2">
        <f>IFERROR(__xludf.DUMMYFUNCTION("""COMPUTED_VALUE"""),43034.64583333333)</f>
        <v>43034.64583</v>
      </c>
      <c r="B1430" s="1">
        <f>IFERROR(__xludf.DUMMYFUNCTION("""COMPUTED_VALUE"""),105000.0)</f>
        <v>105000</v>
      </c>
      <c r="C1430" s="1">
        <f>IFERROR(__xludf.DUMMYFUNCTION("""COMPUTED_VALUE"""),105000.0)</f>
        <v>105000</v>
      </c>
      <c r="D1430" s="1">
        <f>IFERROR(__xludf.DUMMYFUNCTION("""COMPUTED_VALUE"""),101500.0)</f>
        <v>101500</v>
      </c>
      <c r="E1430" s="1">
        <f>IFERROR(__xludf.DUMMYFUNCTION("""COMPUTED_VALUE"""),102000.0)</f>
        <v>102000</v>
      </c>
      <c r="F1430" s="1">
        <f>IFERROR(__xludf.DUMMYFUNCTION("""COMPUTED_VALUE"""),19581.0)</f>
        <v>19581</v>
      </c>
    </row>
    <row r="1431">
      <c r="A1431" s="2">
        <f>IFERROR(__xludf.DUMMYFUNCTION("""COMPUTED_VALUE"""),43035.64583333333)</f>
        <v>43035.64583</v>
      </c>
      <c r="B1431" s="1">
        <f>IFERROR(__xludf.DUMMYFUNCTION("""COMPUTED_VALUE"""),102000.0)</f>
        <v>102000</v>
      </c>
      <c r="C1431" s="1">
        <f>IFERROR(__xludf.DUMMYFUNCTION("""COMPUTED_VALUE"""),105500.0)</f>
        <v>105500</v>
      </c>
      <c r="D1431" s="1">
        <f>IFERROR(__xludf.DUMMYFUNCTION("""COMPUTED_VALUE"""),102000.0)</f>
        <v>102000</v>
      </c>
      <c r="E1431" s="1">
        <f>IFERROR(__xludf.DUMMYFUNCTION("""COMPUTED_VALUE"""),105500.0)</f>
        <v>105500</v>
      </c>
      <c r="F1431" s="1">
        <f>IFERROR(__xludf.DUMMYFUNCTION("""COMPUTED_VALUE"""),18960.0)</f>
        <v>18960</v>
      </c>
    </row>
    <row r="1432">
      <c r="A1432" s="2">
        <f>IFERROR(__xludf.DUMMYFUNCTION("""COMPUTED_VALUE"""),43038.64583333333)</f>
        <v>43038.64583</v>
      </c>
      <c r="B1432" s="1">
        <f>IFERROR(__xludf.DUMMYFUNCTION("""COMPUTED_VALUE"""),106000.0)</f>
        <v>106000</v>
      </c>
      <c r="C1432" s="1">
        <f>IFERROR(__xludf.DUMMYFUNCTION("""COMPUTED_VALUE"""),107000.0)</f>
        <v>107000</v>
      </c>
      <c r="D1432" s="1">
        <f>IFERROR(__xludf.DUMMYFUNCTION("""COMPUTED_VALUE"""),105000.0)</f>
        <v>105000</v>
      </c>
      <c r="E1432" s="1">
        <f>IFERROR(__xludf.DUMMYFUNCTION("""COMPUTED_VALUE"""),106500.0)</f>
        <v>106500</v>
      </c>
      <c r="F1432" s="1">
        <f>IFERROR(__xludf.DUMMYFUNCTION("""COMPUTED_VALUE"""),25524.0)</f>
        <v>25524</v>
      </c>
    </row>
    <row r="1433">
      <c r="A1433" s="2">
        <f>IFERROR(__xludf.DUMMYFUNCTION("""COMPUTED_VALUE"""),43039.64583333333)</f>
        <v>43039.64583</v>
      </c>
      <c r="B1433" s="1">
        <f>IFERROR(__xludf.DUMMYFUNCTION("""COMPUTED_VALUE"""),107500.0)</f>
        <v>107500</v>
      </c>
      <c r="C1433" s="1">
        <f>IFERROR(__xludf.DUMMYFUNCTION("""COMPUTED_VALUE"""),109000.0)</f>
        <v>109000</v>
      </c>
      <c r="D1433" s="1">
        <f>IFERROR(__xludf.DUMMYFUNCTION("""COMPUTED_VALUE"""),105500.0)</f>
        <v>105500</v>
      </c>
      <c r="E1433" s="1">
        <f>IFERROR(__xludf.DUMMYFUNCTION("""COMPUTED_VALUE"""),108000.0)</f>
        <v>108000</v>
      </c>
      <c r="F1433" s="1">
        <f>IFERROR(__xludf.DUMMYFUNCTION("""COMPUTED_VALUE"""),20409.0)</f>
        <v>20409</v>
      </c>
    </row>
    <row r="1434">
      <c r="A1434" s="2">
        <f>IFERROR(__xludf.DUMMYFUNCTION("""COMPUTED_VALUE"""),43040.64583333333)</f>
        <v>43040.64583</v>
      </c>
      <c r="B1434" s="1">
        <f>IFERROR(__xludf.DUMMYFUNCTION("""COMPUTED_VALUE"""),108000.0)</f>
        <v>108000</v>
      </c>
      <c r="C1434" s="1">
        <f>IFERROR(__xludf.DUMMYFUNCTION("""COMPUTED_VALUE"""),109500.0)</f>
        <v>109500</v>
      </c>
      <c r="D1434" s="1">
        <f>IFERROR(__xludf.DUMMYFUNCTION("""COMPUTED_VALUE"""),107500.0)</f>
        <v>107500</v>
      </c>
      <c r="E1434" s="1">
        <f>IFERROR(__xludf.DUMMYFUNCTION("""COMPUTED_VALUE"""),108500.0)</f>
        <v>108500</v>
      </c>
      <c r="F1434" s="1">
        <f>IFERROR(__xludf.DUMMYFUNCTION("""COMPUTED_VALUE"""),8287.0)</f>
        <v>8287</v>
      </c>
    </row>
    <row r="1435">
      <c r="A1435" s="2">
        <f>IFERROR(__xludf.DUMMYFUNCTION("""COMPUTED_VALUE"""),43041.64583333333)</f>
        <v>43041.64583</v>
      </c>
      <c r="B1435" s="1">
        <f>IFERROR(__xludf.DUMMYFUNCTION("""COMPUTED_VALUE"""),108000.0)</f>
        <v>108000</v>
      </c>
      <c r="C1435" s="1">
        <f>IFERROR(__xludf.DUMMYFUNCTION("""COMPUTED_VALUE"""),109000.0)</f>
        <v>109000</v>
      </c>
      <c r="D1435" s="1">
        <f>IFERROR(__xludf.DUMMYFUNCTION("""COMPUTED_VALUE"""),106500.0)</f>
        <v>106500</v>
      </c>
      <c r="E1435" s="1">
        <f>IFERROR(__xludf.DUMMYFUNCTION("""COMPUTED_VALUE"""),108500.0)</f>
        <v>108500</v>
      </c>
      <c r="F1435" s="1">
        <f>IFERROR(__xludf.DUMMYFUNCTION("""COMPUTED_VALUE"""),13776.0)</f>
        <v>13776</v>
      </c>
    </row>
    <row r="1436">
      <c r="A1436" s="2">
        <f>IFERROR(__xludf.DUMMYFUNCTION("""COMPUTED_VALUE"""),43042.64583333333)</f>
        <v>43042.64583</v>
      </c>
      <c r="B1436" s="1">
        <f>IFERROR(__xludf.DUMMYFUNCTION("""COMPUTED_VALUE"""),108500.0)</f>
        <v>108500</v>
      </c>
      <c r="C1436" s="1">
        <f>IFERROR(__xludf.DUMMYFUNCTION("""COMPUTED_VALUE"""),108500.0)</f>
        <v>108500</v>
      </c>
      <c r="D1436" s="1">
        <f>IFERROR(__xludf.DUMMYFUNCTION("""COMPUTED_VALUE"""),106500.0)</f>
        <v>106500</v>
      </c>
      <c r="E1436" s="1">
        <f>IFERROR(__xludf.DUMMYFUNCTION("""COMPUTED_VALUE"""),108000.0)</f>
        <v>108000</v>
      </c>
      <c r="F1436" s="1">
        <f>IFERROR(__xludf.DUMMYFUNCTION("""COMPUTED_VALUE"""),9616.0)</f>
        <v>9616</v>
      </c>
    </row>
    <row r="1437">
      <c r="A1437" s="2">
        <f>IFERROR(__xludf.DUMMYFUNCTION("""COMPUTED_VALUE"""),43045.64583333333)</f>
        <v>43045.64583</v>
      </c>
      <c r="B1437" s="1">
        <f>IFERROR(__xludf.DUMMYFUNCTION("""COMPUTED_VALUE"""),107000.0)</f>
        <v>107000</v>
      </c>
      <c r="C1437" s="1">
        <f>IFERROR(__xludf.DUMMYFUNCTION("""COMPUTED_VALUE"""),109000.0)</f>
        <v>109000</v>
      </c>
      <c r="D1437" s="1">
        <f>IFERROR(__xludf.DUMMYFUNCTION("""COMPUTED_VALUE"""),107000.0)</f>
        <v>107000</v>
      </c>
      <c r="E1437" s="1">
        <f>IFERROR(__xludf.DUMMYFUNCTION("""COMPUTED_VALUE"""),107500.0)</f>
        <v>107500</v>
      </c>
      <c r="F1437" s="1">
        <f>IFERROR(__xludf.DUMMYFUNCTION("""COMPUTED_VALUE"""),8218.0)</f>
        <v>8218</v>
      </c>
    </row>
    <row r="1438">
      <c r="A1438" s="2">
        <f>IFERROR(__xludf.DUMMYFUNCTION("""COMPUTED_VALUE"""),43046.64583333333)</f>
        <v>43046.64583</v>
      </c>
      <c r="B1438" s="1">
        <f>IFERROR(__xludf.DUMMYFUNCTION("""COMPUTED_VALUE"""),108500.0)</f>
        <v>108500</v>
      </c>
      <c r="C1438" s="1">
        <f>IFERROR(__xludf.DUMMYFUNCTION("""COMPUTED_VALUE"""),109000.0)</f>
        <v>109000</v>
      </c>
      <c r="D1438" s="1">
        <f>IFERROR(__xludf.DUMMYFUNCTION("""COMPUTED_VALUE"""),106000.0)</f>
        <v>106000</v>
      </c>
      <c r="E1438" s="1">
        <f>IFERROR(__xludf.DUMMYFUNCTION("""COMPUTED_VALUE"""),107500.0)</f>
        <v>107500</v>
      </c>
      <c r="F1438" s="1">
        <f>IFERROR(__xludf.DUMMYFUNCTION("""COMPUTED_VALUE"""),13883.0)</f>
        <v>13883</v>
      </c>
    </row>
    <row r="1439">
      <c r="A1439" s="2">
        <f>IFERROR(__xludf.DUMMYFUNCTION("""COMPUTED_VALUE"""),43047.64583333333)</f>
        <v>43047.64583</v>
      </c>
      <c r="B1439" s="1">
        <f>IFERROR(__xludf.DUMMYFUNCTION("""COMPUTED_VALUE"""),107000.0)</f>
        <v>107000</v>
      </c>
      <c r="C1439" s="1">
        <f>IFERROR(__xludf.DUMMYFUNCTION("""COMPUTED_VALUE"""),107000.0)</f>
        <v>107000</v>
      </c>
      <c r="D1439" s="1">
        <f>IFERROR(__xludf.DUMMYFUNCTION("""COMPUTED_VALUE"""),105500.0)</f>
        <v>105500</v>
      </c>
      <c r="E1439" s="1">
        <f>IFERROR(__xludf.DUMMYFUNCTION("""COMPUTED_VALUE"""),106500.0)</f>
        <v>106500</v>
      </c>
      <c r="F1439" s="1">
        <f>IFERROR(__xludf.DUMMYFUNCTION("""COMPUTED_VALUE"""),11084.0)</f>
        <v>11084</v>
      </c>
    </row>
    <row r="1440">
      <c r="A1440" s="2">
        <f>IFERROR(__xludf.DUMMYFUNCTION("""COMPUTED_VALUE"""),43048.64583333333)</f>
        <v>43048.64583</v>
      </c>
      <c r="B1440" s="1">
        <f>IFERROR(__xludf.DUMMYFUNCTION("""COMPUTED_VALUE"""),106000.0)</f>
        <v>106000</v>
      </c>
      <c r="C1440" s="1">
        <f>IFERROR(__xludf.DUMMYFUNCTION("""COMPUTED_VALUE"""),107500.0)</f>
        <v>107500</v>
      </c>
      <c r="D1440" s="1">
        <f>IFERROR(__xludf.DUMMYFUNCTION("""COMPUTED_VALUE"""),105500.0)</f>
        <v>105500</v>
      </c>
      <c r="E1440" s="1">
        <f>IFERROR(__xludf.DUMMYFUNCTION("""COMPUTED_VALUE"""),107000.0)</f>
        <v>107000</v>
      </c>
      <c r="F1440" s="1">
        <f>IFERROR(__xludf.DUMMYFUNCTION("""COMPUTED_VALUE"""),14906.0)</f>
        <v>14906</v>
      </c>
    </row>
    <row r="1441">
      <c r="A1441" s="2">
        <f>IFERROR(__xludf.DUMMYFUNCTION("""COMPUTED_VALUE"""),43049.64583333333)</f>
        <v>43049.64583</v>
      </c>
      <c r="B1441" s="1">
        <f>IFERROR(__xludf.DUMMYFUNCTION("""COMPUTED_VALUE"""),107000.0)</f>
        <v>107000</v>
      </c>
      <c r="C1441" s="1">
        <f>IFERROR(__xludf.DUMMYFUNCTION("""COMPUTED_VALUE"""),107000.0)</f>
        <v>107000</v>
      </c>
      <c r="D1441" s="1">
        <f>IFERROR(__xludf.DUMMYFUNCTION("""COMPUTED_VALUE"""),105000.0)</f>
        <v>105000</v>
      </c>
      <c r="E1441" s="1">
        <f>IFERROR(__xludf.DUMMYFUNCTION("""COMPUTED_VALUE"""),106500.0)</f>
        <v>106500</v>
      </c>
      <c r="F1441" s="1">
        <f>IFERROR(__xludf.DUMMYFUNCTION("""COMPUTED_VALUE"""),11160.0)</f>
        <v>11160</v>
      </c>
    </row>
    <row r="1442">
      <c r="A1442" s="2">
        <f>IFERROR(__xludf.DUMMYFUNCTION("""COMPUTED_VALUE"""),43052.64583333333)</f>
        <v>43052.64583</v>
      </c>
      <c r="B1442" s="1">
        <f>IFERROR(__xludf.DUMMYFUNCTION("""COMPUTED_VALUE"""),105500.0)</f>
        <v>105500</v>
      </c>
      <c r="C1442" s="1">
        <f>IFERROR(__xludf.DUMMYFUNCTION("""COMPUTED_VALUE"""),105500.0)</f>
        <v>105500</v>
      </c>
      <c r="D1442" s="1">
        <f>IFERROR(__xludf.DUMMYFUNCTION("""COMPUTED_VALUE"""),101000.0)</f>
        <v>101000</v>
      </c>
      <c r="E1442" s="1">
        <f>IFERROR(__xludf.DUMMYFUNCTION("""COMPUTED_VALUE"""),102000.0)</f>
        <v>102000</v>
      </c>
      <c r="F1442" s="1">
        <f>IFERROR(__xludf.DUMMYFUNCTION("""COMPUTED_VALUE"""),36387.0)</f>
        <v>36387</v>
      </c>
    </row>
    <row r="1443">
      <c r="A1443" s="2">
        <f>IFERROR(__xludf.DUMMYFUNCTION("""COMPUTED_VALUE"""),43053.64583333333)</f>
        <v>43053.64583</v>
      </c>
      <c r="B1443" s="1">
        <f>IFERROR(__xludf.DUMMYFUNCTION("""COMPUTED_VALUE"""),102000.0)</f>
        <v>102000</v>
      </c>
      <c r="C1443" s="1">
        <f>IFERROR(__xludf.DUMMYFUNCTION("""COMPUTED_VALUE"""),102000.0)</f>
        <v>102000</v>
      </c>
      <c r="D1443" s="1">
        <f>IFERROR(__xludf.DUMMYFUNCTION("""COMPUTED_VALUE"""),99900.0)</f>
        <v>99900</v>
      </c>
      <c r="E1443" s="1">
        <f>IFERROR(__xludf.DUMMYFUNCTION("""COMPUTED_VALUE"""),101000.0)</f>
        <v>101000</v>
      </c>
      <c r="F1443" s="1">
        <f>IFERROR(__xludf.DUMMYFUNCTION("""COMPUTED_VALUE"""),21276.0)</f>
        <v>21276</v>
      </c>
    </row>
    <row r="1444">
      <c r="A1444" s="2">
        <f>IFERROR(__xludf.DUMMYFUNCTION("""COMPUTED_VALUE"""),43054.64583333333)</f>
        <v>43054.64583</v>
      </c>
      <c r="B1444" s="1">
        <f>IFERROR(__xludf.DUMMYFUNCTION("""COMPUTED_VALUE"""),99900.0)</f>
        <v>99900</v>
      </c>
      <c r="C1444" s="1">
        <f>IFERROR(__xludf.DUMMYFUNCTION("""COMPUTED_VALUE"""),100500.0)</f>
        <v>100500</v>
      </c>
      <c r="D1444" s="1">
        <f>IFERROR(__xludf.DUMMYFUNCTION("""COMPUTED_VALUE"""),98800.0)</f>
        <v>98800</v>
      </c>
      <c r="E1444" s="1">
        <f>IFERROR(__xludf.DUMMYFUNCTION("""COMPUTED_VALUE"""),99100.0)</f>
        <v>99100</v>
      </c>
      <c r="F1444" s="1">
        <f>IFERROR(__xludf.DUMMYFUNCTION("""COMPUTED_VALUE"""),34229.0)</f>
        <v>34229</v>
      </c>
    </row>
    <row r="1445">
      <c r="A1445" s="2">
        <f>IFERROR(__xludf.DUMMYFUNCTION("""COMPUTED_VALUE"""),43055.64583333333)</f>
        <v>43055.64583</v>
      </c>
      <c r="B1445" s="1">
        <f>IFERROR(__xludf.DUMMYFUNCTION("""COMPUTED_VALUE"""),99000.0)</f>
        <v>99000</v>
      </c>
      <c r="C1445" s="1">
        <f>IFERROR(__xludf.DUMMYFUNCTION("""COMPUTED_VALUE"""),101500.0)</f>
        <v>101500</v>
      </c>
      <c r="D1445" s="1">
        <f>IFERROR(__xludf.DUMMYFUNCTION("""COMPUTED_VALUE"""),98900.0)</f>
        <v>98900</v>
      </c>
      <c r="E1445" s="1">
        <f>IFERROR(__xludf.DUMMYFUNCTION("""COMPUTED_VALUE"""),100500.0)</f>
        <v>100500</v>
      </c>
      <c r="F1445" s="1">
        <f>IFERROR(__xludf.DUMMYFUNCTION("""COMPUTED_VALUE"""),20545.0)</f>
        <v>20545</v>
      </c>
    </row>
    <row r="1446">
      <c r="A1446" s="2">
        <f>IFERROR(__xludf.DUMMYFUNCTION("""COMPUTED_VALUE"""),43056.64583333333)</f>
        <v>43056.64583</v>
      </c>
      <c r="B1446" s="1">
        <f>IFERROR(__xludf.DUMMYFUNCTION("""COMPUTED_VALUE"""),102000.0)</f>
        <v>102000</v>
      </c>
      <c r="C1446" s="1">
        <f>IFERROR(__xludf.DUMMYFUNCTION("""COMPUTED_VALUE"""),102000.0)</f>
        <v>102000</v>
      </c>
      <c r="D1446" s="1">
        <f>IFERROR(__xludf.DUMMYFUNCTION("""COMPUTED_VALUE"""),100000.0)</f>
        <v>100000</v>
      </c>
      <c r="E1446" s="1">
        <f>IFERROR(__xludf.DUMMYFUNCTION("""COMPUTED_VALUE"""),102000.0)</f>
        <v>102000</v>
      </c>
      <c r="F1446" s="1">
        <f>IFERROR(__xludf.DUMMYFUNCTION("""COMPUTED_VALUE"""),11128.0)</f>
        <v>11128</v>
      </c>
    </row>
    <row r="1447">
      <c r="A1447" s="2">
        <f>IFERROR(__xludf.DUMMYFUNCTION("""COMPUTED_VALUE"""),43059.64583333333)</f>
        <v>43059.64583</v>
      </c>
      <c r="B1447" s="1">
        <f>IFERROR(__xludf.DUMMYFUNCTION("""COMPUTED_VALUE"""),102000.0)</f>
        <v>102000</v>
      </c>
      <c r="C1447" s="1">
        <f>IFERROR(__xludf.DUMMYFUNCTION("""COMPUTED_VALUE"""),102500.0)</f>
        <v>102500</v>
      </c>
      <c r="D1447" s="1">
        <f>IFERROR(__xludf.DUMMYFUNCTION("""COMPUTED_VALUE"""),99500.0)</f>
        <v>99500</v>
      </c>
      <c r="E1447" s="1">
        <f>IFERROR(__xludf.DUMMYFUNCTION("""COMPUTED_VALUE"""),101000.0)</f>
        <v>101000</v>
      </c>
      <c r="F1447" s="1">
        <f>IFERROR(__xludf.DUMMYFUNCTION("""COMPUTED_VALUE"""),14970.0)</f>
        <v>14970</v>
      </c>
    </row>
    <row r="1448">
      <c r="A1448" s="2">
        <f>IFERROR(__xludf.DUMMYFUNCTION("""COMPUTED_VALUE"""),43060.64583333333)</f>
        <v>43060.64583</v>
      </c>
      <c r="B1448" s="1">
        <f>IFERROR(__xludf.DUMMYFUNCTION("""COMPUTED_VALUE"""),101000.0)</f>
        <v>101000</v>
      </c>
      <c r="C1448" s="1">
        <f>IFERROR(__xludf.DUMMYFUNCTION("""COMPUTED_VALUE"""),101000.0)</f>
        <v>101000</v>
      </c>
      <c r="D1448" s="1">
        <f>IFERROR(__xludf.DUMMYFUNCTION("""COMPUTED_VALUE"""),99800.0)</f>
        <v>99800</v>
      </c>
      <c r="E1448" s="1">
        <f>IFERROR(__xludf.DUMMYFUNCTION("""COMPUTED_VALUE"""),100000.0)</f>
        <v>100000</v>
      </c>
      <c r="F1448" s="1">
        <f>IFERROR(__xludf.DUMMYFUNCTION("""COMPUTED_VALUE"""),16092.0)</f>
        <v>16092</v>
      </c>
    </row>
    <row r="1449">
      <c r="A1449" s="2">
        <f>IFERROR(__xludf.DUMMYFUNCTION("""COMPUTED_VALUE"""),43061.64583333333)</f>
        <v>43061.64583</v>
      </c>
      <c r="B1449" s="1">
        <f>IFERROR(__xludf.DUMMYFUNCTION("""COMPUTED_VALUE"""),100000.0)</f>
        <v>100000</v>
      </c>
      <c r="C1449" s="1">
        <f>IFERROR(__xludf.DUMMYFUNCTION("""COMPUTED_VALUE"""),101000.0)</f>
        <v>101000</v>
      </c>
      <c r="D1449" s="1">
        <f>IFERROR(__xludf.DUMMYFUNCTION("""COMPUTED_VALUE"""),99900.0)</f>
        <v>99900</v>
      </c>
      <c r="E1449" s="1">
        <f>IFERROR(__xludf.DUMMYFUNCTION("""COMPUTED_VALUE"""),100500.0)</f>
        <v>100500</v>
      </c>
      <c r="F1449" s="1">
        <f>IFERROR(__xludf.DUMMYFUNCTION("""COMPUTED_VALUE"""),10735.0)</f>
        <v>10735</v>
      </c>
    </row>
    <row r="1450">
      <c r="A1450" s="2">
        <f>IFERROR(__xludf.DUMMYFUNCTION("""COMPUTED_VALUE"""),43062.69791666667)</f>
        <v>43062.69792</v>
      </c>
      <c r="B1450" s="1">
        <f>IFERROR(__xludf.DUMMYFUNCTION("""COMPUTED_VALUE"""),100500.0)</f>
        <v>100500</v>
      </c>
      <c r="C1450" s="1">
        <f>IFERROR(__xludf.DUMMYFUNCTION("""COMPUTED_VALUE"""),101000.0)</f>
        <v>101000</v>
      </c>
      <c r="D1450" s="1">
        <f>IFERROR(__xludf.DUMMYFUNCTION("""COMPUTED_VALUE"""),100000.0)</f>
        <v>100000</v>
      </c>
      <c r="E1450" s="1">
        <f>IFERROR(__xludf.DUMMYFUNCTION("""COMPUTED_VALUE"""),100500.0)</f>
        <v>100500</v>
      </c>
      <c r="F1450" s="1">
        <f>IFERROR(__xludf.DUMMYFUNCTION("""COMPUTED_VALUE"""),6766.0)</f>
        <v>6766</v>
      </c>
    </row>
    <row r="1451">
      <c r="A1451" s="2">
        <f>IFERROR(__xludf.DUMMYFUNCTION("""COMPUTED_VALUE"""),43063.64583333333)</f>
        <v>43063.64583</v>
      </c>
      <c r="B1451" s="1">
        <f>IFERROR(__xludf.DUMMYFUNCTION("""COMPUTED_VALUE"""),100500.0)</f>
        <v>100500</v>
      </c>
      <c r="C1451" s="1">
        <f>IFERROR(__xludf.DUMMYFUNCTION("""COMPUTED_VALUE"""),100500.0)</f>
        <v>100500</v>
      </c>
      <c r="D1451" s="1">
        <f>IFERROR(__xludf.DUMMYFUNCTION("""COMPUTED_VALUE"""),100000.0)</f>
        <v>100000</v>
      </c>
      <c r="E1451" s="1">
        <f>IFERROR(__xludf.DUMMYFUNCTION("""COMPUTED_VALUE"""),100500.0)</f>
        <v>100500</v>
      </c>
      <c r="F1451" s="1">
        <f>IFERROR(__xludf.DUMMYFUNCTION("""COMPUTED_VALUE"""),7653.0)</f>
        <v>7653</v>
      </c>
    </row>
    <row r="1452">
      <c r="A1452" s="2">
        <f>IFERROR(__xludf.DUMMYFUNCTION("""COMPUTED_VALUE"""),43067.64583333333)</f>
        <v>43067.64583</v>
      </c>
      <c r="B1452" s="1">
        <f>IFERROR(__xludf.DUMMYFUNCTION("""COMPUTED_VALUE"""),100000.0)</f>
        <v>100000</v>
      </c>
      <c r="C1452" s="1">
        <f>IFERROR(__xludf.DUMMYFUNCTION("""COMPUTED_VALUE"""),100500.0)</f>
        <v>100500</v>
      </c>
      <c r="D1452" s="1">
        <f>IFERROR(__xludf.DUMMYFUNCTION("""COMPUTED_VALUE"""),99800.0)</f>
        <v>99800</v>
      </c>
      <c r="E1452" s="1">
        <f>IFERROR(__xludf.DUMMYFUNCTION("""COMPUTED_VALUE"""),100500.0)</f>
        <v>100500</v>
      </c>
      <c r="F1452" s="1">
        <f>IFERROR(__xludf.DUMMYFUNCTION("""COMPUTED_VALUE"""),14581.0)</f>
        <v>14581</v>
      </c>
    </row>
    <row r="1453">
      <c r="A1453" s="2">
        <f>IFERROR(__xludf.DUMMYFUNCTION("""COMPUTED_VALUE"""),43068.64583333333)</f>
        <v>43068.64583</v>
      </c>
      <c r="B1453" s="1">
        <f>IFERROR(__xludf.DUMMYFUNCTION("""COMPUTED_VALUE"""),100500.0)</f>
        <v>100500</v>
      </c>
      <c r="C1453" s="1">
        <f>IFERROR(__xludf.DUMMYFUNCTION("""COMPUTED_VALUE"""),101500.0)</f>
        <v>101500</v>
      </c>
      <c r="D1453" s="1">
        <f>IFERROR(__xludf.DUMMYFUNCTION("""COMPUTED_VALUE"""),100000.0)</f>
        <v>100000</v>
      </c>
      <c r="E1453" s="1">
        <f>IFERROR(__xludf.DUMMYFUNCTION("""COMPUTED_VALUE"""),101500.0)</f>
        <v>101500</v>
      </c>
      <c r="F1453" s="1">
        <f>IFERROR(__xludf.DUMMYFUNCTION("""COMPUTED_VALUE"""),17718.0)</f>
        <v>17718</v>
      </c>
    </row>
    <row r="1454">
      <c r="A1454" s="2">
        <f>IFERROR(__xludf.DUMMYFUNCTION("""COMPUTED_VALUE"""),43069.64583333333)</f>
        <v>43069.64583</v>
      </c>
      <c r="B1454" s="1">
        <f>IFERROR(__xludf.DUMMYFUNCTION("""COMPUTED_VALUE"""),100500.0)</f>
        <v>100500</v>
      </c>
      <c r="C1454" s="1">
        <f>IFERROR(__xludf.DUMMYFUNCTION("""COMPUTED_VALUE"""),101500.0)</f>
        <v>101500</v>
      </c>
      <c r="D1454" s="1">
        <f>IFERROR(__xludf.DUMMYFUNCTION("""COMPUTED_VALUE"""),100500.0)</f>
        <v>100500</v>
      </c>
      <c r="E1454" s="1">
        <f>IFERROR(__xludf.DUMMYFUNCTION("""COMPUTED_VALUE"""),101500.0)</f>
        <v>101500</v>
      </c>
      <c r="F1454" s="1">
        <f>IFERROR(__xludf.DUMMYFUNCTION("""COMPUTED_VALUE"""),9717.0)</f>
        <v>9717</v>
      </c>
    </row>
    <row r="1455">
      <c r="A1455" s="2">
        <f>IFERROR(__xludf.DUMMYFUNCTION("""COMPUTED_VALUE"""),43070.64583333333)</f>
        <v>43070.64583</v>
      </c>
      <c r="B1455" s="1">
        <f>IFERROR(__xludf.DUMMYFUNCTION("""COMPUTED_VALUE"""),101500.0)</f>
        <v>101500</v>
      </c>
      <c r="C1455" s="1">
        <f>IFERROR(__xludf.DUMMYFUNCTION("""COMPUTED_VALUE"""),101500.0)</f>
        <v>101500</v>
      </c>
      <c r="D1455" s="1">
        <f>IFERROR(__xludf.DUMMYFUNCTION("""COMPUTED_VALUE"""),100000.0)</f>
        <v>100000</v>
      </c>
      <c r="E1455" s="1">
        <f>IFERROR(__xludf.DUMMYFUNCTION("""COMPUTED_VALUE"""),101000.0)</f>
        <v>101000</v>
      </c>
      <c r="F1455" s="1">
        <f>IFERROR(__xludf.DUMMYFUNCTION("""COMPUTED_VALUE"""),13945.0)</f>
        <v>13945</v>
      </c>
    </row>
    <row r="1456">
      <c r="A1456" s="2">
        <f>IFERROR(__xludf.DUMMYFUNCTION("""COMPUTED_VALUE"""),43073.64583333333)</f>
        <v>43073.64583</v>
      </c>
      <c r="B1456" s="1">
        <f>IFERROR(__xludf.DUMMYFUNCTION("""COMPUTED_VALUE"""),101500.0)</f>
        <v>101500</v>
      </c>
      <c r="C1456" s="1">
        <f>IFERROR(__xludf.DUMMYFUNCTION("""COMPUTED_VALUE"""),102000.0)</f>
        <v>102000</v>
      </c>
      <c r="D1456" s="1">
        <f>IFERROR(__xludf.DUMMYFUNCTION("""COMPUTED_VALUE"""),100500.0)</f>
        <v>100500</v>
      </c>
      <c r="E1456" s="1">
        <f>IFERROR(__xludf.DUMMYFUNCTION("""COMPUTED_VALUE"""),102000.0)</f>
        <v>102000</v>
      </c>
      <c r="F1456" s="1">
        <f>IFERROR(__xludf.DUMMYFUNCTION("""COMPUTED_VALUE"""),12602.0)</f>
        <v>12602</v>
      </c>
    </row>
    <row r="1457">
      <c r="A1457" s="2">
        <f>IFERROR(__xludf.DUMMYFUNCTION("""COMPUTED_VALUE"""),43074.64583333333)</f>
        <v>43074.64583</v>
      </c>
      <c r="B1457" s="1">
        <f>IFERROR(__xludf.DUMMYFUNCTION("""COMPUTED_VALUE"""),102000.0)</f>
        <v>102000</v>
      </c>
      <c r="C1457" s="1">
        <f>IFERROR(__xludf.DUMMYFUNCTION("""COMPUTED_VALUE"""),103000.0)</f>
        <v>103000</v>
      </c>
      <c r="D1457" s="1">
        <f>IFERROR(__xludf.DUMMYFUNCTION("""COMPUTED_VALUE"""),101500.0)</f>
        <v>101500</v>
      </c>
      <c r="E1457" s="1">
        <f>IFERROR(__xludf.DUMMYFUNCTION("""COMPUTED_VALUE"""),103000.0)</f>
        <v>103000</v>
      </c>
      <c r="F1457" s="1">
        <f>IFERROR(__xludf.DUMMYFUNCTION("""COMPUTED_VALUE"""),18433.0)</f>
        <v>18433</v>
      </c>
    </row>
    <row r="1458">
      <c r="A1458" s="2">
        <f>IFERROR(__xludf.DUMMYFUNCTION("""COMPUTED_VALUE"""),43075.64583333333)</f>
        <v>43075.64583</v>
      </c>
      <c r="B1458" s="1">
        <f>IFERROR(__xludf.DUMMYFUNCTION("""COMPUTED_VALUE"""),103500.0)</f>
        <v>103500</v>
      </c>
      <c r="C1458" s="1">
        <f>IFERROR(__xludf.DUMMYFUNCTION("""COMPUTED_VALUE"""),103500.0)</f>
        <v>103500</v>
      </c>
      <c r="D1458" s="1">
        <f>IFERROR(__xludf.DUMMYFUNCTION("""COMPUTED_VALUE"""),102500.0)</f>
        <v>102500</v>
      </c>
      <c r="E1458" s="1">
        <f>IFERROR(__xludf.DUMMYFUNCTION("""COMPUTED_VALUE"""),102500.0)</f>
        <v>102500</v>
      </c>
      <c r="F1458" s="1">
        <f>IFERROR(__xludf.DUMMYFUNCTION("""COMPUTED_VALUE"""),15275.0)</f>
        <v>15275</v>
      </c>
    </row>
    <row r="1459">
      <c r="A1459" s="2">
        <f>IFERROR(__xludf.DUMMYFUNCTION("""COMPUTED_VALUE"""),43076.64583333333)</f>
        <v>43076.64583</v>
      </c>
      <c r="B1459" s="1">
        <f>IFERROR(__xludf.DUMMYFUNCTION("""COMPUTED_VALUE"""),102500.0)</f>
        <v>102500</v>
      </c>
      <c r="C1459" s="1">
        <f>IFERROR(__xludf.DUMMYFUNCTION("""COMPUTED_VALUE"""),102500.0)</f>
        <v>102500</v>
      </c>
      <c r="D1459" s="1">
        <f>IFERROR(__xludf.DUMMYFUNCTION("""COMPUTED_VALUE"""),100500.0)</f>
        <v>100500</v>
      </c>
      <c r="E1459" s="1">
        <f>IFERROR(__xludf.DUMMYFUNCTION("""COMPUTED_VALUE"""),101500.0)</f>
        <v>101500</v>
      </c>
      <c r="F1459" s="1">
        <f>IFERROR(__xludf.DUMMYFUNCTION("""COMPUTED_VALUE"""),15417.0)</f>
        <v>15417</v>
      </c>
    </row>
    <row r="1460">
      <c r="A1460" s="2">
        <f>IFERROR(__xludf.DUMMYFUNCTION("""COMPUTED_VALUE"""),43077.64583333333)</f>
        <v>43077.64583</v>
      </c>
      <c r="B1460" s="1">
        <f>IFERROR(__xludf.DUMMYFUNCTION("""COMPUTED_VALUE"""),101000.0)</f>
        <v>101000</v>
      </c>
      <c r="C1460" s="1">
        <f>IFERROR(__xludf.DUMMYFUNCTION("""COMPUTED_VALUE"""),102500.0)</f>
        <v>102500</v>
      </c>
      <c r="D1460" s="1">
        <f>IFERROR(__xludf.DUMMYFUNCTION("""COMPUTED_VALUE"""),101000.0)</f>
        <v>101000</v>
      </c>
      <c r="E1460" s="1">
        <f>IFERROR(__xludf.DUMMYFUNCTION("""COMPUTED_VALUE"""),102000.0)</f>
        <v>102000</v>
      </c>
      <c r="F1460" s="1">
        <f>IFERROR(__xludf.DUMMYFUNCTION("""COMPUTED_VALUE"""),12998.0)</f>
        <v>12998</v>
      </c>
    </row>
    <row r="1461">
      <c r="A1461" s="2">
        <f>IFERROR(__xludf.DUMMYFUNCTION("""COMPUTED_VALUE"""),43080.64583333333)</f>
        <v>43080.64583</v>
      </c>
      <c r="B1461" s="1">
        <f>IFERROR(__xludf.DUMMYFUNCTION("""COMPUTED_VALUE"""),102000.0)</f>
        <v>102000</v>
      </c>
      <c r="C1461" s="1">
        <f>IFERROR(__xludf.DUMMYFUNCTION("""COMPUTED_VALUE"""),102500.0)</f>
        <v>102500</v>
      </c>
      <c r="D1461" s="1">
        <f>IFERROR(__xludf.DUMMYFUNCTION("""COMPUTED_VALUE"""),101500.0)</f>
        <v>101500</v>
      </c>
      <c r="E1461" s="1">
        <f>IFERROR(__xludf.DUMMYFUNCTION("""COMPUTED_VALUE"""),102000.0)</f>
        <v>102000</v>
      </c>
      <c r="F1461" s="1">
        <f>IFERROR(__xludf.DUMMYFUNCTION("""COMPUTED_VALUE"""),11662.0)</f>
        <v>11662</v>
      </c>
    </row>
    <row r="1462">
      <c r="A1462" s="2">
        <f>IFERROR(__xludf.DUMMYFUNCTION("""COMPUTED_VALUE"""),43081.64583333333)</f>
        <v>43081.64583</v>
      </c>
      <c r="B1462" s="1">
        <f>IFERROR(__xludf.DUMMYFUNCTION("""COMPUTED_VALUE"""),102000.0)</f>
        <v>102000</v>
      </c>
      <c r="C1462" s="1">
        <f>IFERROR(__xludf.DUMMYFUNCTION("""COMPUTED_VALUE"""),102500.0)</f>
        <v>102500</v>
      </c>
      <c r="D1462" s="1">
        <f>IFERROR(__xludf.DUMMYFUNCTION("""COMPUTED_VALUE"""),100500.0)</f>
        <v>100500</v>
      </c>
      <c r="E1462" s="1">
        <f>IFERROR(__xludf.DUMMYFUNCTION("""COMPUTED_VALUE"""),101000.0)</f>
        <v>101000</v>
      </c>
      <c r="F1462" s="1">
        <f>IFERROR(__xludf.DUMMYFUNCTION("""COMPUTED_VALUE"""),12444.0)</f>
        <v>12444</v>
      </c>
    </row>
    <row r="1463">
      <c r="A1463" s="2">
        <f>IFERROR(__xludf.DUMMYFUNCTION("""COMPUTED_VALUE"""),43083.64583333333)</f>
        <v>43083.64583</v>
      </c>
      <c r="B1463" s="1">
        <f>IFERROR(__xludf.DUMMYFUNCTION("""COMPUTED_VALUE"""),103000.0)</f>
        <v>103000</v>
      </c>
      <c r="C1463" s="1">
        <f>IFERROR(__xludf.DUMMYFUNCTION("""COMPUTED_VALUE"""),104000.0)</f>
        <v>104000</v>
      </c>
      <c r="D1463" s="1">
        <f>IFERROR(__xludf.DUMMYFUNCTION("""COMPUTED_VALUE"""),102000.0)</f>
        <v>102000</v>
      </c>
      <c r="E1463" s="1">
        <f>IFERROR(__xludf.DUMMYFUNCTION("""COMPUTED_VALUE"""),103000.0)</f>
        <v>103000</v>
      </c>
      <c r="F1463" s="1">
        <f>IFERROR(__xludf.DUMMYFUNCTION("""COMPUTED_VALUE"""),18458.0)</f>
        <v>18458</v>
      </c>
    </row>
    <row r="1464">
      <c r="A1464" s="2">
        <f>IFERROR(__xludf.DUMMYFUNCTION("""COMPUTED_VALUE"""),43084.64583333333)</f>
        <v>43084.64583</v>
      </c>
      <c r="B1464" s="1">
        <f>IFERROR(__xludf.DUMMYFUNCTION("""COMPUTED_VALUE"""),103000.0)</f>
        <v>103000</v>
      </c>
      <c r="C1464" s="1">
        <f>IFERROR(__xludf.DUMMYFUNCTION("""COMPUTED_VALUE"""),104000.0)</f>
        <v>104000</v>
      </c>
      <c r="D1464" s="1">
        <f>IFERROR(__xludf.DUMMYFUNCTION("""COMPUTED_VALUE"""),102500.0)</f>
        <v>102500</v>
      </c>
      <c r="E1464" s="1">
        <f>IFERROR(__xludf.DUMMYFUNCTION("""COMPUTED_VALUE"""),102500.0)</f>
        <v>102500</v>
      </c>
      <c r="F1464" s="1">
        <f>IFERROR(__xludf.DUMMYFUNCTION("""COMPUTED_VALUE"""),13093.0)</f>
        <v>13093</v>
      </c>
    </row>
    <row r="1465">
      <c r="A1465" s="2">
        <f>IFERROR(__xludf.DUMMYFUNCTION("""COMPUTED_VALUE"""),43087.64583333333)</f>
        <v>43087.64583</v>
      </c>
      <c r="B1465" s="1">
        <f>IFERROR(__xludf.DUMMYFUNCTION("""COMPUTED_VALUE"""),103500.0)</f>
        <v>103500</v>
      </c>
      <c r="C1465" s="1">
        <f>IFERROR(__xludf.DUMMYFUNCTION("""COMPUTED_VALUE"""),104000.0)</f>
        <v>104000</v>
      </c>
      <c r="D1465" s="1">
        <f>IFERROR(__xludf.DUMMYFUNCTION("""COMPUTED_VALUE"""),102000.0)</f>
        <v>102000</v>
      </c>
      <c r="E1465" s="1">
        <f>IFERROR(__xludf.DUMMYFUNCTION("""COMPUTED_VALUE"""),103500.0)</f>
        <v>103500</v>
      </c>
      <c r="F1465" s="1">
        <f>IFERROR(__xludf.DUMMYFUNCTION("""COMPUTED_VALUE"""),12488.0)</f>
        <v>12488</v>
      </c>
    </row>
    <row r="1466">
      <c r="A1466" s="2">
        <f>IFERROR(__xludf.DUMMYFUNCTION("""COMPUTED_VALUE"""),43088.64583333333)</f>
        <v>43088.64583</v>
      </c>
      <c r="B1466" s="1">
        <f>IFERROR(__xludf.DUMMYFUNCTION("""COMPUTED_VALUE"""),104500.0)</f>
        <v>104500</v>
      </c>
      <c r="C1466" s="1">
        <f>IFERROR(__xludf.DUMMYFUNCTION("""COMPUTED_VALUE"""),104500.0)</f>
        <v>104500</v>
      </c>
      <c r="D1466" s="1">
        <f>IFERROR(__xludf.DUMMYFUNCTION("""COMPUTED_VALUE"""),103000.0)</f>
        <v>103000</v>
      </c>
      <c r="E1466" s="1">
        <f>IFERROR(__xludf.DUMMYFUNCTION("""COMPUTED_VALUE"""),104000.0)</f>
        <v>104000</v>
      </c>
      <c r="F1466" s="1">
        <f>IFERROR(__xludf.DUMMYFUNCTION("""COMPUTED_VALUE"""),11008.0)</f>
        <v>11008</v>
      </c>
    </row>
    <row r="1467">
      <c r="A1467" s="2">
        <f>IFERROR(__xludf.DUMMYFUNCTION("""COMPUTED_VALUE"""),43089.64583333333)</f>
        <v>43089.64583</v>
      </c>
      <c r="B1467" s="1">
        <f>IFERROR(__xludf.DUMMYFUNCTION("""COMPUTED_VALUE"""),104000.0)</f>
        <v>104000</v>
      </c>
      <c r="C1467" s="1">
        <f>IFERROR(__xludf.DUMMYFUNCTION("""COMPUTED_VALUE"""),104000.0)</f>
        <v>104000</v>
      </c>
      <c r="D1467" s="1">
        <f>IFERROR(__xludf.DUMMYFUNCTION("""COMPUTED_VALUE"""),103000.0)</f>
        <v>103000</v>
      </c>
      <c r="E1467" s="1">
        <f>IFERROR(__xludf.DUMMYFUNCTION("""COMPUTED_VALUE"""),103000.0)</f>
        <v>103000</v>
      </c>
      <c r="F1467" s="1">
        <f>IFERROR(__xludf.DUMMYFUNCTION("""COMPUTED_VALUE"""),13009.0)</f>
        <v>13009</v>
      </c>
    </row>
    <row r="1468">
      <c r="A1468" s="2">
        <f>IFERROR(__xludf.DUMMYFUNCTION("""COMPUTED_VALUE"""),43090.64583333333)</f>
        <v>43090.64583</v>
      </c>
      <c r="B1468" s="1">
        <f>IFERROR(__xludf.DUMMYFUNCTION("""COMPUTED_VALUE"""),102500.0)</f>
        <v>102500</v>
      </c>
      <c r="C1468" s="1">
        <f>IFERROR(__xludf.DUMMYFUNCTION("""COMPUTED_VALUE"""),104000.0)</f>
        <v>104000</v>
      </c>
      <c r="D1468" s="1">
        <f>IFERROR(__xludf.DUMMYFUNCTION("""COMPUTED_VALUE"""),102500.0)</f>
        <v>102500</v>
      </c>
      <c r="E1468" s="1">
        <f>IFERROR(__xludf.DUMMYFUNCTION("""COMPUTED_VALUE"""),103000.0)</f>
        <v>103000</v>
      </c>
      <c r="F1468" s="1">
        <f>IFERROR(__xludf.DUMMYFUNCTION("""COMPUTED_VALUE"""),28506.0)</f>
        <v>28506</v>
      </c>
    </row>
    <row r="1469">
      <c r="A1469" s="2">
        <f>IFERROR(__xludf.DUMMYFUNCTION("""COMPUTED_VALUE"""),43091.64583333333)</f>
        <v>43091.64583</v>
      </c>
      <c r="B1469" s="1">
        <f>IFERROR(__xludf.DUMMYFUNCTION("""COMPUTED_VALUE"""),103500.0)</f>
        <v>103500</v>
      </c>
      <c r="C1469" s="1">
        <f>IFERROR(__xludf.DUMMYFUNCTION("""COMPUTED_VALUE"""),105000.0)</f>
        <v>105000</v>
      </c>
      <c r="D1469" s="1">
        <f>IFERROR(__xludf.DUMMYFUNCTION("""COMPUTED_VALUE"""),103000.0)</f>
        <v>103000</v>
      </c>
      <c r="E1469" s="1">
        <f>IFERROR(__xludf.DUMMYFUNCTION("""COMPUTED_VALUE"""),105000.0)</f>
        <v>105000</v>
      </c>
      <c r="F1469" s="1">
        <f>IFERROR(__xludf.DUMMYFUNCTION("""COMPUTED_VALUE"""),29127.0)</f>
        <v>29127</v>
      </c>
    </row>
    <row r="1470">
      <c r="A1470" s="2">
        <f>IFERROR(__xludf.DUMMYFUNCTION("""COMPUTED_VALUE"""),43095.64583333333)</f>
        <v>43095.64583</v>
      </c>
      <c r="B1470" s="1">
        <f>IFERROR(__xludf.DUMMYFUNCTION("""COMPUTED_VALUE"""),105000.0)</f>
        <v>105000</v>
      </c>
      <c r="C1470" s="1">
        <f>IFERROR(__xludf.DUMMYFUNCTION("""COMPUTED_VALUE"""),107000.0)</f>
        <v>107000</v>
      </c>
      <c r="D1470" s="1">
        <f>IFERROR(__xludf.DUMMYFUNCTION("""COMPUTED_VALUE"""),104500.0)</f>
        <v>104500</v>
      </c>
      <c r="E1470" s="1">
        <f>IFERROR(__xludf.DUMMYFUNCTION("""COMPUTED_VALUE"""),107000.0)</f>
        <v>107000</v>
      </c>
      <c r="F1470" s="1">
        <f>IFERROR(__xludf.DUMMYFUNCTION("""COMPUTED_VALUE"""),79145.0)</f>
        <v>79145</v>
      </c>
    </row>
    <row r="1471">
      <c r="A1471" s="2">
        <f>IFERROR(__xludf.DUMMYFUNCTION("""COMPUTED_VALUE"""),43096.64583333333)</f>
        <v>43096.64583</v>
      </c>
      <c r="B1471" s="1">
        <f>IFERROR(__xludf.DUMMYFUNCTION("""COMPUTED_VALUE"""),101500.0)</f>
        <v>101500</v>
      </c>
      <c r="C1471" s="1">
        <f>IFERROR(__xludf.DUMMYFUNCTION("""COMPUTED_VALUE"""),103000.0)</f>
        <v>103000</v>
      </c>
      <c r="D1471" s="1">
        <f>IFERROR(__xludf.DUMMYFUNCTION("""COMPUTED_VALUE"""),99600.0)</f>
        <v>99600</v>
      </c>
      <c r="E1471" s="1">
        <f>IFERROR(__xludf.DUMMYFUNCTION("""COMPUTED_VALUE"""),100000.0)</f>
        <v>100000</v>
      </c>
      <c r="F1471" s="1">
        <f>IFERROR(__xludf.DUMMYFUNCTION("""COMPUTED_VALUE"""),48977.0)</f>
        <v>48977</v>
      </c>
    </row>
    <row r="1472">
      <c r="A1472" s="2">
        <f>IFERROR(__xludf.DUMMYFUNCTION("""COMPUTED_VALUE"""),43097.64583333333)</f>
        <v>43097.64583</v>
      </c>
      <c r="B1472" s="1">
        <f>IFERROR(__xludf.DUMMYFUNCTION("""COMPUTED_VALUE"""),100000.0)</f>
        <v>100000</v>
      </c>
      <c r="C1472" s="1">
        <f>IFERROR(__xludf.DUMMYFUNCTION("""COMPUTED_VALUE"""),100500.0)</f>
        <v>100500</v>
      </c>
      <c r="D1472" s="1">
        <f>IFERROR(__xludf.DUMMYFUNCTION("""COMPUTED_VALUE"""),98300.0)</f>
        <v>98300</v>
      </c>
      <c r="E1472" s="1">
        <f>IFERROR(__xludf.DUMMYFUNCTION("""COMPUTED_VALUE"""),99000.0)</f>
        <v>99000</v>
      </c>
      <c r="F1472" s="1">
        <f>IFERROR(__xludf.DUMMYFUNCTION("""COMPUTED_VALUE"""),26146.0)</f>
        <v>26146</v>
      </c>
    </row>
    <row r="1473">
      <c r="A1473" s="2">
        <f>IFERROR(__xludf.DUMMYFUNCTION("""COMPUTED_VALUE"""),43102.64583333333)</f>
        <v>43102.64583</v>
      </c>
      <c r="B1473" s="1">
        <f>IFERROR(__xludf.DUMMYFUNCTION("""COMPUTED_VALUE"""),99000.0)</f>
        <v>99000</v>
      </c>
      <c r="C1473" s="1">
        <f>IFERROR(__xludf.DUMMYFUNCTION("""COMPUTED_VALUE"""),99800.0)</f>
        <v>99800</v>
      </c>
      <c r="D1473" s="1">
        <f>IFERROR(__xludf.DUMMYFUNCTION("""COMPUTED_VALUE"""),98000.0)</f>
        <v>98000</v>
      </c>
      <c r="E1473" s="1">
        <f>IFERROR(__xludf.DUMMYFUNCTION("""COMPUTED_VALUE"""),98400.0)</f>
        <v>98400</v>
      </c>
      <c r="F1473" s="1">
        <f>IFERROR(__xludf.DUMMYFUNCTION("""COMPUTED_VALUE"""),17669.0)</f>
        <v>17669</v>
      </c>
    </row>
    <row r="1474">
      <c r="A1474" s="2">
        <f>IFERROR(__xludf.DUMMYFUNCTION("""COMPUTED_VALUE"""),43103.64583333333)</f>
        <v>43103.64583</v>
      </c>
      <c r="B1474" s="1">
        <f>IFERROR(__xludf.DUMMYFUNCTION("""COMPUTED_VALUE"""),98900.0)</f>
        <v>98900</v>
      </c>
      <c r="C1474" s="1">
        <f>IFERROR(__xludf.DUMMYFUNCTION("""COMPUTED_VALUE"""),98900.0)</f>
        <v>98900</v>
      </c>
      <c r="D1474" s="1">
        <f>IFERROR(__xludf.DUMMYFUNCTION("""COMPUTED_VALUE"""),94000.0)</f>
        <v>94000</v>
      </c>
      <c r="E1474" s="1">
        <f>IFERROR(__xludf.DUMMYFUNCTION("""COMPUTED_VALUE"""),95700.0)</f>
        <v>95700</v>
      </c>
      <c r="F1474" s="1">
        <f>IFERROR(__xludf.DUMMYFUNCTION("""COMPUTED_VALUE"""),56036.0)</f>
        <v>56036</v>
      </c>
    </row>
    <row r="1475">
      <c r="A1475" s="2">
        <f>IFERROR(__xludf.DUMMYFUNCTION("""COMPUTED_VALUE"""),43104.64583333333)</f>
        <v>43104.64583</v>
      </c>
      <c r="B1475" s="1">
        <f>IFERROR(__xludf.DUMMYFUNCTION("""COMPUTED_VALUE"""),96300.0)</f>
        <v>96300</v>
      </c>
      <c r="C1475" s="1">
        <f>IFERROR(__xludf.DUMMYFUNCTION("""COMPUTED_VALUE"""),96300.0)</f>
        <v>96300</v>
      </c>
      <c r="D1475" s="1">
        <f>IFERROR(__xludf.DUMMYFUNCTION("""COMPUTED_VALUE"""),94000.0)</f>
        <v>94000</v>
      </c>
      <c r="E1475" s="1">
        <f>IFERROR(__xludf.DUMMYFUNCTION("""COMPUTED_VALUE"""),95000.0)</f>
        <v>95000</v>
      </c>
      <c r="F1475" s="1">
        <f>IFERROR(__xludf.DUMMYFUNCTION("""COMPUTED_VALUE"""),31138.0)</f>
        <v>31138</v>
      </c>
    </row>
    <row r="1476">
      <c r="A1476" s="2">
        <f>IFERROR(__xludf.DUMMYFUNCTION("""COMPUTED_VALUE"""),43105.64583333333)</f>
        <v>43105.64583</v>
      </c>
      <c r="B1476" s="1">
        <f>IFERROR(__xludf.DUMMYFUNCTION("""COMPUTED_VALUE"""),95500.0)</f>
        <v>95500</v>
      </c>
      <c r="C1476" s="1">
        <f>IFERROR(__xludf.DUMMYFUNCTION("""COMPUTED_VALUE"""),95900.0)</f>
        <v>95900</v>
      </c>
      <c r="D1476" s="1">
        <f>IFERROR(__xludf.DUMMYFUNCTION("""COMPUTED_VALUE"""),94100.0)</f>
        <v>94100</v>
      </c>
      <c r="E1476" s="1">
        <f>IFERROR(__xludf.DUMMYFUNCTION("""COMPUTED_VALUE"""),95700.0)</f>
        <v>95700</v>
      </c>
      <c r="F1476" s="1">
        <f>IFERROR(__xludf.DUMMYFUNCTION("""COMPUTED_VALUE"""),8975.0)</f>
        <v>8975</v>
      </c>
    </row>
    <row r="1477">
      <c r="A1477" s="2">
        <f>IFERROR(__xludf.DUMMYFUNCTION("""COMPUTED_VALUE"""),43108.64583333333)</f>
        <v>43108.64583</v>
      </c>
      <c r="B1477" s="1">
        <f>IFERROR(__xludf.DUMMYFUNCTION("""COMPUTED_VALUE"""),95400.0)</f>
        <v>95400</v>
      </c>
      <c r="C1477" s="1">
        <f>IFERROR(__xludf.DUMMYFUNCTION("""COMPUTED_VALUE"""),95400.0)</f>
        <v>95400</v>
      </c>
      <c r="D1477" s="1">
        <f>IFERROR(__xludf.DUMMYFUNCTION("""COMPUTED_VALUE"""),93400.0)</f>
        <v>93400</v>
      </c>
      <c r="E1477" s="1">
        <f>IFERROR(__xludf.DUMMYFUNCTION("""COMPUTED_VALUE"""),93700.0)</f>
        <v>93700</v>
      </c>
      <c r="F1477" s="1">
        <f>IFERROR(__xludf.DUMMYFUNCTION("""COMPUTED_VALUE"""),21701.0)</f>
        <v>21701</v>
      </c>
    </row>
    <row r="1478">
      <c r="A1478" s="2">
        <f>IFERROR(__xludf.DUMMYFUNCTION("""COMPUTED_VALUE"""),43109.64583333333)</f>
        <v>43109.64583</v>
      </c>
      <c r="B1478" s="1">
        <f>IFERROR(__xludf.DUMMYFUNCTION("""COMPUTED_VALUE"""),93600.0)</f>
        <v>93600</v>
      </c>
      <c r="C1478" s="1">
        <f>IFERROR(__xludf.DUMMYFUNCTION("""COMPUTED_VALUE"""),95400.0)</f>
        <v>95400</v>
      </c>
      <c r="D1478" s="1">
        <f>IFERROR(__xludf.DUMMYFUNCTION("""COMPUTED_VALUE"""),93300.0)</f>
        <v>93300</v>
      </c>
      <c r="E1478" s="1">
        <f>IFERROR(__xludf.DUMMYFUNCTION("""COMPUTED_VALUE"""),94900.0)</f>
        <v>94900</v>
      </c>
      <c r="F1478" s="1">
        <f>IFERROR(__xludf.DUMMYFUNCTION("""COMPUTED_VALUE"""),11944.0)</f>
        <v>11944</v>
      </c>
    </row>
    <row r="1479">
      <c r="A1479" s="2">
        <f>IFERROR(__xludf.DUMMYFUNCTION("""COMPUTED_VALUE"""),43110.64583333333)</f>
        <v>43110.64583</v>
      </c>
      <c r="B1479" s="1">
        <f>IFERROR(__xludf.DUMMYFUNCTION("""COMPUTED_VALUE"""),95000.0)</f>
        <v>95000</v>
      </c>
      <c r="C1479" s="1">
        <f>IFERROR(__xludf.DUMMYFUNCTION("""COMPUTED_VALUE"""),99000.0)</f>
        <v>99000</v>
      </c>
      <c r="D1479" s="1">
        <f>IFERROR(__xludf.DUMMYFUNCTION("""COMPUTED_VALUE"""),95000.0)</f>
        <v>95000</v>
      </c>
      <c r="E1479" s="1">
        <f>IFERROR(__xludf.DUMMYFUNCTION("""COMPUTED_VALUE"""),97200.0)</f>
        <v>97200</v>
      </c>
      <c r="F1479" s="1">
        <f>IFERROR(__xludf.DUMMYFUNCTION("""COMPUTED_VALUE"""),28925.0)</f>
        <v>28925</v>
      </c>
    </row>
    <row r="1480">
      <c r="A1480" s="2">
        <f>IFERROR(__xludf.DUMMYFUNCTION("""COMPUTED_VALUE"""),43111.64583333333)</f>
        <v>43111.64583</v>
      </c>
      <c r="B1480" s="1">
        <f>IFERROR(__xludf.DUMMYFUNCTION("""COMPUTED_VALUE"""),98300.0)</f>
        <v>98300</v>
      </c>
      <c r="C1480" s="1">
        <f>IFERROR(__xludf.DUMMYFUNCTION("""COMPUTED_VALUE"""),98500.0)</f>
        <v>98500</v>
      </c>
      <c r="D1480" s="1">
        <f>IFERROR(__xludf.DUMMYFUNCTION("""COMPUTED_VALUE"""),96800.0)</f>
        <v>96800</v>
      </c>
      <c r="E1480" s="1">
        <f>IFERROR(__xludf.DUMMYFUNCTION("""COMPUTED_VALUE"""),97500.0)</f>
        <v>97500</v>
      </c>
      <c r="F1480" s="1">
        <f>IFERROR(__xludf.DUMMYFUNCTION("""COMPUTED_VALUE"""),11054.0)</f>
        <v>11054</v>
      </c>
    </row>
    <row r="1481">
      <c r="A1481" s="2">
        <f>IFERROR(__xludf.DUMMYFUNCTION("""COMPUTED_VALUE"""),43112.64583333333)</f>
        <v>43112.64583</v>
      </c>
      <c r="B1481" s="1">
        <f>IFERROR(__xludf.DUMMYFUNCTION("""COMPUTED_VALUE"""),97400.0)</f>
        <v>97400</v>
      </c>
      <c r="C1481" s="1">
        <f>IFERROR(__xludf.DUMMYFUNCTION("""COMPUTED_VALUE"""),98500.0)</f>
        <v>98500</v>
      </c>
      <c r="D1481" s="1">
        <f>IFERROR(__xludf.DUMMYFUNCTION("""COMPUTED_VALUE"""),95600.0)</f>
        <v>95600</v>
      </c>
      <c r="E1481" s="1">
        <f>IFERROR(__xludf.DUMMYFUNCTION("""COMPUTED_VALUE"""),96200.0)</f>
        <v>96200</v>
      </c>
      <c r="F1481" s="1">
        <f>IFERROR(__xludf.DUMMYFUNCTION("""COMPUTED_VALUE"""),18211.0)</f>
        <v>18211</v>
      </c>
    </row>
    <row r="1482">
      <c r="A1482" s="2">
        <f>IFERROR(__xludf.DUMMYFUNCTION("""COMPUTED_VALUE"""),43115.64583333333)</f>
        <v>43115.64583</v>
      </c>
      <c r="B1482" s="1">
        <f>IFERROR(__xludf.DUMMYFUNCTION("""COMPUTED_VALUE"""),96800.0)</f>
        <v>96800</v>
      </c>
      <c r="C1482" s="1">
        <f>IFERROR(__xludf.DUMMYFUNCTION("""COMPUTED_VALUE"""),96800.0)</f>
        <v>96800</v>
      </c>
      <c r="D1482" s="1">
        <f>IFERROR(__xludf.DUMMYFUNCTION("""COMPUTED_VALUE"""),94600.0)</f>
        <v>94600</v>
      </c>
      <c r="E1482" s="1">
        <f>IFERROR(__xludf.DUMMYFUNCTION("""COMPUTED_VALUE"""),95400.0)</f>
        <v>95400</v>
      </c>
      <c r="F1482" s="1">
        <f>IFERROR(__xludf.DUMMYFUNCTION("""COMPUTED_VALUE"""),15019.0)</f>
        <v>15019</v>
      </c>
    </row>
    <row r="1483">
      <c r="A1483" s="2">
        <f>IFERROR(__xludf.DUMMYFUNCTION("""COMPUTED_VALUE"""),43116.64583333333)</f>
        <v>43116.64583</v>
      </c>
      <c r="B1483" s="1">
        <f>IFERROR(__xludf.DUMMYFUNCTION("""COMPUTED_VALUE"""),96000.0)</f>
        <v>96000</v>
      </c>
      <c r="C1483" s="1">
        <f>IFERROR(__xludf.DUMMYFUNCTION("""COMPUTED_VALUE"""),96000.0)</f>
        <v>96000</v>
      </c>
      <c r="D1483" s="1">
        <f>IFERROR(__xludf.DUMMYFUNCTION("""COMPUTED_VALUE"""),94900.0)</f>
        <v>94900</v>
      </c>
      <c r="E1483" s="1">
        <f>IFERROR(__xludf.DUMMYFUNCTION("""COMPUTED_VALUE"""),95400.0)</f>
        <v>95400</v>
      </c>
      <c r="F1483" s="1">
        <f>IFERROR(__xludf.DUMMYFUNCTION("""COMPUTED_VALUE"""),7775.0)</f>
        <v>7775</v>
      </c>
    </row>
    <row r="1484">
      <c r="A1484" s="2">
        <f>IFERROR(__xludf.DUMMYFUNCTION("""COMPUTED_VALUE"""),43117.64583333333)</f>
        <v>43117.64583</v>
      </c>
      <c r="B1484" s="1">
        <f>IFERROR(__xludf.DUMMYFUNCTION("""COMPUTED_VALUE"""),96100.0)</f>
        <v>96100</v>
      </c>
      <c r="C1484" s="1">
        <f>IFERROR(__xludf.DUMMYFUNCTION("""COMPUTED_VALUE"""),96100.0)</f>
        <v>96100</v>
      </c>
      <c r="D1484" s="1">
        <f>IFERROR(__xludf.DUMMYFUNCTION("""COMPUTED_VALUE"""),94700.0)</f>
        <v>94700</v>
      </c>
      <c r="E1484" s="1">
        <f>IFERROR(__xludf.DUMMYFUNCTION("""COMPUTED_VALUE"""),95400.0)</f>
        <v>95400</v>
      </c>
      <c r="F1484" s="1">
        <f>IFERROR(__xludf.DUMMYFUNCTION("""COMPUTED_VALUE"""),4715.0)</f>
        <v>4715</v>
      </c>
    </row>
    <row r="1485">
      <c r="A1485" s="2">
        <f>IFERROR(__xludf.DUMMYFUNCTION("""COMPUTED_VALUE"""),43118.64583333333)</f>
        <v>43118.64583</v>
      </c>
      <c r="B1485" s="1">
        <f>IFERROR(__xludf.DUMMYFUNCTION("""COMPUTED_VALUE"""),95300.0)</f>
        <v>95300</v>
      </c>
      <c r="C1485" s="1">
        <f>IFERROR(__xludf.DUMMYFUNCTION("""COMPUTED_VALUE"""),96000.0)</f>
        <v>96000</v>
      </c>
      <c r="D1485" s="1">
        <f>IFERROR(__xludf.DUMMYFUNCTION("""COMPUTED_VALUE"""),95100.0)</f>
        <v>95100</v>
      </c>
      <c r="E1485" s="1">
        <f>IFERROR(__xludf.DUMMYFUNCTION("""COMPUTED_VALUE"""),95900.0)</f>
        <v>95900</v>
      </c>
      <c r="F1485" s="1">
        <f>IFERROR(__xludf.DUMMYFUNCTION("""COMPUTED_VALUE"""),12598.0)</f>
        <v>12598</v>
      </c>
    </row>
    <row r="1486">
      <c r="A1486" s="2">
        <f>IFERROR(__xludf.DUMMYFUNCTION("""COMPUTED_VALUE"""),43119.64583333333)</f>
        <v>43119.64583</v>
      </c>
      <c r="B1486" s="1">
        <f>IFERROR(__xludf.DUMMYFUNCTION("""COMPUTED_VALUE"""),95900.0)</f>
        <v>95900</v>
      </c>
      <c r="C1486" s="1">
        <f>IFERROR(__xludf.DUMMYFUNCTION("""COMPUTED_VALUE"""),96000.0)</f>
        <v>96000</v>
      </c>
      <c r="D1486" s="1">
        <f>IFERROR(__xludf.DUMMYFUNCTION("""COMPUTED_VALUE"""),95000.0)</f>
        <v>95000</v>
      </c>
      <c r="E1486" s="1">
        <f>IFERROR(__xludf.DUMMYFUNCTION("""COMPUTED_VALUE"""),96000.0)</f>
        <v>96000</v>
      </c>
      <c r="F1486" s="1">
        <f>IFERROR(__xludf.DUMMYFUNCTION("""COMPUTED_VALUE"""),4059.0)</f>
        <v>4059</v>
      </c>
    </row>
    <row r="1487">
      <c r="A1487" s="2">
        <f>IFERROR(__xludf.DUMMYFUNCTION("""COMPUTED_VALUE"""),43122.64583333333)</f>
        <v>43122.64583</v>
      </c>
      <c r="B1487" s="1">
        <f>IFERROR(__xludf.DUMMYFUNCTION("""COMPUTED_VALUE"""),96300.0)</f>
        <v>96300</v>
      </c>
      <c r="C1487" s="1">
        <f>IFERROR(__xludf.DUMMYFUNCTION("""COMPUTED_VALUE"""),98400.0)</f>
        <v>98400</v>
      </c>
      <c r="D1487" s="1">
        <f>IFERROR(__xludf.DUMMYFUNCTION("""COMPUTED_VALUE"""),96100.0)</f>
        <v>96100</v>
      </c>
      <c r="E1487" s="1">
        <f>IFERROR(__xludf.DUMMYFUNCTION("""COMPUTED_VALUE"""),98300.0)</f>
        <v>98300</v>
      </c>
      <c r="F1487" s="1">
        <f>IFERROR(__xludf.DUMMYFUNCTION("""COMPUTED_VALUE"""),16747.0)</f>
        <v>16747</v>
      </c>
    </row>
    <row r="1488">
      <c r="A1488" s="2">
        <f>IFERROR(__xludf.DUMMYFUNCTION("""COMPUTED_VALUE"""),43123.64583333333)</f>
        <v>43123.64583</v>
      </c>
      <c r="B1488" s="1">
        <f>IFERROR(__xludf.DUMMYFUNCTION("""COMPUTED_VALUE"""),98500.0)</f>
        <v>98500</v>
      </c>
      <c r="C1488" s="1">
        <f>IFERROR(__xludf.DUMMYFUNCTION("""COMPUTED_VALUE"""),99000.0)</f>
        <v>99000</v>
      </c>
      <c r="D1488" s="1">
        <f>IFERROR(__xludf.DUMMYFUNCTION("""COMPUTED_VALUE"""),97500.0)</f>
        <v>97500</v>
      </c>
      <c r="E1488" s="1">
        <f>IFERROR(__xludf.DUMMYFUNCTION("""COMPUTED_VALUE"""),98600.0)</f>
        <v>98600</v>
      </c>
      <c r="F1488" s="1">
        <f>IFERROR(__xludf.DUMMYFUNCTION("""COMPUTED_VALUE"""),9615.0)</f>
        <v>9615</v>
      </c>
    </row>
    <row r="1489">
      <c r="A1489" s="2">
        <f>IFERROR(__xludf.DUMMYFUNCTION("""COMPUTED_VALUE"""),43124.64583333333)</f>
        <v>43124.64583</v>
      </c>
      <c r="B1489" s="1">
        <f>IFERROR(__xludf.DUMMYFUNCTION("""COMPUTED_VALUE"""),98600.0)</f>
        <v>98600</v>
      </c>
      <c r="C1489" s="1">
        <f>IFERROR(__xludf.DUMMYFUNCTION("""COMPUTED_VALUE"""),99000.0)</f>
        <v>99000</v>
      </c>
      <c r="D1489" s="1">
        <f>IFERROR(__xludf.DUMMYFUNCTION("""COMPUTED_VALUE"""),98200.0)</f>
        <v>98200</v>
      </c>
      <c r="E1489" s="1">
        <f>IFERROR(__xludf.DUMMYFUNCTION("""COMPUTED_VALUE"""),98700.0)</f>
        <v>98700</v>
      </c>
      <c r="F1489" s="1">
        <f>IFERROR(__xludf.DUMMYFUNCTION("""COMPUTED_VALUE"""),7930.0)</f>
        <v>7930</v>
      </c>
    </row>
    <row r="1490">
      <c r="A1490" s="2">
        <f>IFERROR(__xludf.DUMMYFUNCTION("""COMPUTED_VALUE"""),43125.64583333333)</f>
        <v>43125.64583</v>
      </c>
      <c r="B1490" s="1">
        <f>IFERROR(__xludf.DUMMYFUNCTION("""COMPUTED_VALUE"""),98200.0)</f>
        <v>98200</v>
      </c>
      <c r="C1490" s="1">
        <f>IFERROR(__xludf.DUMMYFUNCTION("""COMPUTED_VALUE"""),99500.0)</f>
        <v>99500</v>
      </c>
      <c r="D1490" s="1">
        <f>IFERROR(__xludf.DUMMYFUNCTION("""COMPUTED_VALUE"""),98200.0)</f>
        <v>98200</v>
      </c>
      <c r="E1490" s="1">
        <f>IFERROR(__xludf.DUMMYFUNCTION("""COMPUTED_VALUE"""),99400.0)</f>
        <v>99400</v>
      </c>
      <c r="F1490" s="1">
        <f>IFERROR(__xludf.DUMMYFUNCTION("""COMPUTED_VALUE"""),8195.0)</f>
        <v>8195</v>
      </c>
    </row>
    <row r="1491">
      <c r="A1491" s="2">
        <f>IFERROR(__xludf.DUMMYFUNCTION("""COMPUTED_VALUE"""),43126.64583333333)</f>
        <v>43126.64583</v>
      </c>
      <c r="B1491" s="1">
        <f>IFERROR(__xludf.DUMMYFUNCTION("""COMPUTED_VALUE"""),99900.0)</f>
        <v>99900</v>
      </c>
      <c r="C1491" s="1">
        <f>IFERROR(__xludf.DUMMYFUNCTION("""COMPUTED_VALUE"""),100000.0)</f>
        <v>100000</v>
      </c>
      <c r="D1491" s="1">
        <f>IFERROR(__xludf.DUMMYFUNCTION("""COMPUTED_VALUE"""),98700.0)</f>
        <v>98700</v>
      </c>
      <c r="E1491" s="1">
        <f>IFERROR(__xludf.DUMMYFUNCTION("""COMPUTED_VALUE"""),99200.0)</f>
        <v>99200</v>
      </c>
      <c r="F1491" s="1">
        <f>IFERROR(__xludf.DUMMYFUNCTION("""COMPUTED_VALUE"""),10254.0)</f>
        <v>10254</v>
      </c>
    </row>
    <row r="1492">
      <c r="A1492" s="2">
        <f>IFERROR(__xludf.DUMMYFUNCTION("""COMPUTED_VALUE"""),43129.64583333333)</f>
        <v>43129.64583</v>
      </c>
      <c r="B1492" s="1">
        <f>IFERROR(__xludf.DUMMYFUNCTION("""COMPUTED_VALUE"""),99300.0)</f>
        <v>99300</v>
      </c>
      <c r="C1492" s="1">
        <f>IFERROR(__xludf.DUMMYFUNCTION("""COMPUTED_VALUE"""),103000.0)</f>
        <v>103000</v>
      </c>
      <c r="D1492" s="1">
        <f>IFERROR(__xludf.DUMMYFUNCTION("""COMPUTED_VALUE"""),98500.0)</f>
        <v>98500</v>
      </c>
      <c r="E1492" s="1">
        <f>IFERROR(__xludf.DUMMYFUNCTION("""COMPUTED_VALUE"""),102000.0)</f>
        <v>102000</v>
      </c>
      <c r="F1492" s="1">
        <f>IFERROR(__xludf.DUMMYFUNCTION("""COMPUTED_VALUE"""),29659.0)</f>
        <v>29659</v>
      </c>
    </row>
    <row r="1493">
      <c r="A1493" s="2">
        <f>IFERROR(__xludf.DUMMYFUNCTION("""COMPUTED_VALUE"""),43130.64583333333)</f>
        <v>43130.64583</v>
      </c>
      <c r="B1493" s="1">
        <f>IFERROR(__xludf.DUMMYFUNCTION("""COMPUTED_VALUE"""),103500.0)</f>
        <v>103500</v>
      </c>
      <c r="C1493" s="1">
        <f>IFERROR(__xludf.DUMMYFUNCTION("""COMPUTED_VALUE"""),104000.0)</f>
        <v>104000</v>
      </c>
      <c r="D1493" s="1">
        <f>IFERROR(__xludf.DUMMYFUNCTION("""COMPUTED_VALUE"""),102000.0)</f>
        <v>102000</v>
      </c>
      <c r="E1493" s="1">
        <f>IFERROR(__xludf.DUMMYFUNCTION("""COMPUTED_VALUE"""),104000.0)</f>
        <v>104000</v>
      </c>
      <c r="F1493" s="1">
        <f>IFERROR(__xludf.DUMMYFUNCTION("""COMPUTED_VALUE"""),23112.0)</f>
        <v>23112</v>
      </c>
    </row>
    <row r="1494">
      <c r="A1494" s="2">
        <f>IFERROR(__xludf.DUMMYFUNCTION("""COMPUTED_VALUE"""),43131.64583333333)</f>
        <v>43131.64583</v>
      </c>
      <c r="B1494" s="1">
        <f>IFERROR(__xludf.DUMMYFUNCTION("""COMPUTED_VALUE"""),102000.0)</f>
        <v>102000</v>
      </c>
      <c r="C1494" s="1">
        <f>IFERROR(__xludf.DUMMYFUNCTION("""COMPUTED_VALUE"""),104500.0)</f>
        <v>104500</v>
      </c>
      <c r="D1494" s="1">
        <f>IFERROR(__xludf.DUMMYFUNCTION("""COMPUTED_VALUE"""),101500.0)</f>
        <v>101500</v>
      </c>
      <c r="E1494" s="1">
        <f>IFERROR(__xludf.DUMMYFUNCTION("""COMPUTED_VALUE"""),104000.0)</f>
        <v>104000</v>
      </c>
      <c r="F1494" s="1">
        <f>IFERROR(__xludf.DUMMYFUNCTION("""COMPUTED_VALUE"""),15495.0)</f>
        <v>15495</v>
      </c>
    </row>
    <row r="1495">
      <c r="A1495" s="2">
        <f>IFERROR(__xludf.DUMMYFUNCTION("""COMPUTED_VALUE"""),43132.64583333333)</f>
        <v>43132.64583</v>
      </c>
      <c r="B1495" s="1">
        <f>IFERROR(__xludf.DUMMYFUNCTION("""COMPUTED_VALUE"""),104000.0)</f>
        <v>104000</v>
      </c>
      <c r="C1495" s="1">
        <f>IFERROR(__xludf.DUMMYFUNCTION("""COMPUTED_VALUE"""),104500.0)</f>
        <v>104500</v>
      </c>
      <c r="D1495" s="1">
        <f>IFERROR(__xludf.DUMMYFUNCTION("""COMPUTED_VALUE"""),103000.0)</f>
        <v>103000</v>
      </c>
      <c r="E1495" s="1">
        <f>IFERROR(__xludf.DUMMYFUNCTION("""COMPUTED_VALUE"""),104000.0)</f>
        <v>104000</v>
      </c>
      <c r="F1495" s="1">
        <f>IFERROR(__xludf.DUMMYFUNCTION("""COMPUTED_VALUE"""),5447.0)</f>
        <v>5447</v>
      </c>
    </row>
    <row r="1496">
      <c r="A1496" s="2">
        <f>IFERROR(__xludf.DUMMYFUNCTION("""COMPUTED_VALUE"""),43133.64583333333)</f>
        <v>43133.64583</v>
      </c>
      <c r="B1496" s="1">
        <f>IFERROR(__xludf.DUMMYFUNCTION("""COMPUTED_VALUE"""),104000.0)</f>
        <v>104000</v>
      </c>
      <c r="C1496" s="1">
        <f>IFERROR(__xludf.DUMMYFUNCTION("""COMPUTED_VALUE"""),104000.0)</f>
        <v>104000</v>
      </c>
      <c r="D1496" s="1">
        <f>IFERROR(__xludf.DUMMYFUNCTION("""COMPUTED_VALUE"""),102000.0)</f>
        <v>102000</v>
      </c>
      <c r="E1496" s="1">
        <f>IFERROR(__xludf.DUMMYFUNCTION("""COMPUTED_VALUE"""),103000.0)</f>
        <v>103000</v>
      </c>
      <c r="F1496" s="1">
        <f>IFERROR(__xludf.DUMMYFUNCTION("""COMPUTED_VALUE"""),8503.0)</f>
        <v>8503</v>
      </c>
    </row>
    <row r="1497">
      <c r="A1497" s="2">
        <f>IFERROR(__xludf.DUMMYFUNCTION("""COMPUTED_VALUE"""),43136.64583333333)</f>
        <v>43136.64583</v>
      </c>
      <c r="B1497" s="1">
        <f>IFERROR(__xludf.DUMMYFUNCTION("""COMPUTED_VALUE"""),102000.0)</f>
        <v>102000</v>
      </c>
      <c r="C1497" s="1">
        <f>IFERROR(__xludf.DUMMYFUNCTION("""COMPUTED_VALUE"""),103000.0)</f>
        <v>103000</v>
      </c>
      <c r="D1497" s="1">
        <f>IFERROR(__xludf.DUMMYFUNCTION("""COMPUTED_VALUE"""),100000.0)</f>
        <v>100000</v>
      </c>
      <c r="E1497" s="1">
        <f>IFERROR(__xludf.DUMMYFUNCTION("""COMPUTED_VALUE"""),101000.0)</f>
        <v>101000</v>
      </c>
      <c r="F1497" s="1">
        <f>IFERROR(__xludf.DUMMYFUNCTION("""COMPUTED_VALUE"""),27247.0)</f>
        <v>27247</v>
      </c>
    </row>
    <row r="1498">
      <c r="A1498" s="2">
        <f>IFERROR(__xludf.DUMMYFUNCTION("""COMPUTED_VALUE"""),43137.64583333333)</f>
        <v>43137.64583</v>
      </c>
      <c r="B1498" s="1">
        <f>IFERROR(__xludf.DUMMYFUNCTION("""COMPUTED_VALUE"""),99000.0)</f>
        <v>99000</v>
      </c>
      <c r="C1498" s="1">
        <f>IFERROR(__xludf.DUMMYFUNCTION("""COMPUTED_VALUE"""),100500.0)</f>
        <v>100500</v>
      </c>
      <c r="D1498" s="1">
        <f>IFERROR(__xludf.DUMMYFUNCTION("""COMPUTED_VALUE"""),97200.0)</f>
        <v>97200</v>
      </c>
      <c r="E1498" s="1">
        <f>IFERROR(__xludf.DUMMYFUNCTION("""COMPUTED_VALUE"""),100500.0)</f>
        <v>100500</v>
      </c>
      <c r="F1498" s="1">
        <f>IFERROR(__xludf.DUMMYFUNCTION("""COMPUTED_VALUE"""),18909.0)</f>
        <v>18909</v>
      </c>
    </row>
    <row r="1499">
      <c r="A1499" s="2">
        <f>IFERROR(__xludf.DUMMYFUNCTION("""COMPUTED_VALUE"""),43138.64583333333)</f>
        <v>43138.64583</v>
      </c>
      <c r="B1499" s="1">
        <f>IFERROR(__xludf.DUMMYFUNCTION("""COMPUTED_VALUE"""),102000.0)</f>
        <v>102000</v>
      </c>
      <c r="C1499" s="1">
        <f>IFERROR(__xludf.DUMMYFUNCTION("""COMPUTED_VALUE"""),102000.0)</f>
        <v>102000</v>
      </c>
      <c r="D1499" s="1">
        <f>IFERROR(__xludf.DUMMYFUNCTION("""COMPUTED_VALUE"""),98600.0)</f>
        <v>98600</v>
      </c>
      <c r="E1499" s="1">
        <f>IFERROR(__xludf.DUMMYFUNCTION("""COMPUTED_VALUE"""),99200.0)</f>
        <v>99200</v>
      </c>
      <c r="F1499" s="1">
        <f>IFERROR(__xludf.DUMMYFUNCTION("""COMPUTED_VALUE"""),5916.0)</f>
        <v>5916</v>
      </c>
    </row>
    <row r="1500">
      <c r="A1500" s="2">
        <f>IFERROR(__xludf.DUMMYFUNCTION("""COMPUTED_VALUE"""),43139.64583333333)</f>
        <v>43139.64583</v>
      </c>
      <c r="B1500" s="1">
        <f>IFERROR(__xludf.DUMMYFUNCTION("""COMPUTED_VALUE"""),99900.0)</f>
        <v>99900</v>
      </c>
      <c r="C1500" s="1">
        <f>IFERROR(__xludf.DUMMYFUNCTION("""COMPUTED_VALUE"""),100000.0)</f>
        <v>100000</v>
      </c>
      <c r="D1500" s="1">
        <f>IFERROR(__xludf.DUMMYFUNCTION("""COMPUTED_VALUE"""),98700.0)</f>
        <v>98700</v>
      </c>
      <c r="E1500" s="1">
        <f>IFERROR(__xludf.DUMMYFUNCTION("""COMPUTED_VALUE"""),99800.0)</f>
        <v>99800</v>
      </c>
      <c r="F1500" s="1">
        <f>IFERROR(__xludf.DUMMYFUNCTION("""COMPUTED_VALUE"""),5926.0)</f>
        <v>5926</v>
      </c>
    </row>
    <row r="1501">
      <c r="A1501" s="2">
        <f>IFERROR(__xludf.DUMMYFUNCTION("""COMPUTED_VALUE"""),43140.64583333333)</f>
        <v>43140.64583</v>
      </c>
      <c r="B1501" s="1">
        <f>IFERROR(__xludf.DUMMYFUNCTION("""COMPUTED_VALUE"""),98100.0)</f>
        <v>98100</v>
      </c>
      <c r="C1501" s="1">
        <f>IFERROR(__xludf.DUMMYFUNCTION("""COMPUTED_VALUE"""),98500.0)</f>
        <v>98500</v>
      </c>
      <c r="D1501" s="1">
        <f>IFERROR(__xludf.DUMMYFUNCTION("""COMPUTED_VALUE"""),96900.0)</f>
        <v>96900</v>
      </c>
      <c r="E1501" s="1">
        <f>IFERROR(__xludf.DUMMYFUNCTION("""COMPUTED_VALUE"""),97900.0)</f>
        <v>97900</v>
      </c>
      <c r="F1501" s="1">
        <f>IFERROR(__xludf.DUMMYFUNCTION("""COMPUTED_VALUE"""),12961.0)</f>
        <v>12961</v>
      </c>
    </row>
    <row r="1502">
      <c r="A1502" s="2">
        <f>IFERROR(__xludf.DUMMYFUNCTION("""COMPUTED_VALUE"""),43143.64583333333)</f>
        <v>43143.64583</v>
      </c>
      <c r="B1502" s="1">
        <f>IFERROR(__xludf.DUMMYFUNCTION("""COMPUTED_VALUE"""),98000.0)</f>
        <v>98000</v>
      </c>
      <c r="C1502" s="1">
        <f>IFERROR(__xludf.DUMMYFUNCTION("""COMPUTED_VALUE"""),99000.0)</f>
        <v>99000</v>
      </c>
      <c r="D1502" s="1">
        <f>IFERROR(__xludf.DUMMYFUNCTION("""COMPUTED_VALUE"""),96900.0)</f>
        <v>96900</v>
      </c>
      <c r="E1502" s="1">
        <f>IFERROR(__xludf.DUMMYFUNCTION("""COMPUTED_VALUE"""),98700.0)</f>
        <v>98700</v>
      </c>
      <c r="F1502" s="1">
        <f>IFERROR(__xludf.DUMMYFUNCTION("""COMPUTED_VALUE"""),7574.0)</f>
        <v>7574</v>
      </c>
    </row>
    <row r="1503">
      <c r="A1503" s="2">
        <f>IFERROR(__xludf.DUMMYFUNCTION("""COMPUTED_VALUE"""),43144.64583333333)</f>
        <v>43144.64583</v>
      </c>
      <c r="B1503" s="1">
        <f>IFERROR(__xludf.DUMMYFUNCTION("""COMPUTED_VALUE"""),99400.0)</f>
        <v>99400</v>
      </c>
      <c r="C1503" s="1">
        <f>IFERROR(__xludf.DUMMYFUNCTION("""COMPUTED_VALUE"""),99400.0)</f>
        <v>99400</v>
      </c>
      <c r="D1503" s="1">
        <f>IFERROR(__xludf.DUMMYFUNCTION("""COMPUTED_VALUE"""),97800.0)</f>
        <v>97800</v>
      </c>
      <c r="E1503" s="1">
        <f>IFERROR(__xludf.DUMMYFUNCTION("""COMPUTED_VALUE"""),97800.0)</f>
        <v>97800</v>
      </c>
      <c r="F1503" s="1">
        <f>IFERROR(__xludf.DUMMYFUNCTION("""COMPUTED_VALUE"""),5624.0)</f>
        <v>5624</v>
      </c>
    </row>
    <row r="1504">
      <c r="A1504" s="2">
        <f>IFERROR(__xludf.DUMMYFUNCTION("""COMPUTED_VALUE"""),43145.64583333333)</f>
        <v>43145.64583</v>
      </c>
      <c r="B1504" s="1">
        <f>IFERROR(__xludf.DUMMYFUNCTION("""COMPUTED_VALUE"""),98500.0)</f>
        <v>98500</v>
      </c>
      <c r="C1504" s="1">
        <f>IFERROR(__xludf.DUMMYFUNCTION("""COMPUTED_VALUE"""),98500.0)</f>
        <v>98500</v>
      </c>
      <c r="D1504" s="1">
        <f>IFERROR(__xludf.DUMMYFUNCTION("""COMPUTED_VALUE"""),97400.0)</f>
        <v>97400</v>
      </c>
      <c r="E1504" s="1">
        <f>IFERROR(__xludf.DUMMYFUNCTION("""COMPUTED_VALUE"""),97700.0)</f>
        <v>97700</v>
      </c>
      <c r="F1504" s="1">
        <f>IFERROR(__xludf.DUMMYFUNCTION("""COMPUTED_VALUE"""),2887.0)</f>
        <v>2887</v>
      </c>
    </row>
    <row r="1505">
      <c r="A1505" s="2">
        <f>IFERROR(__xludf.DUMMYFUNCTION("""COMPUTED_VALUE"""),43150.64583333333)</f>
        <v>43150.64583</v>
      </c>
      <c r="B1505" s="1">
        <f>IFERROR(__xludf.DUMMYFUNCTION("""COMPUTED_VALUE"""),97800.0)</f>
        <v>97800</v>
      </c>
      <c r="C1505" s="1">
        <f>IFERROR(__xludf.DUMMYFUNCTION("""COMPUTED_VALUE"""),100500.0)</f>
        <v>100500</v>
      </c>
      <c r="D1505" s="1">
        <f>IFERROR(__xludf.DUMMYFUNCTION("""COMPUTED_VALUE"""),97800.0)</f>
        <v>97800</v>
      </c>
      <c r="E1505" s="1">
        <f>IFERROR(__xludf.DUMMYFUNCTION("""COMPUTED_VALUE"""),100000.0)</f>
        <v>100000</v>
      </c>
      <c r="F1505" s="1">
        <f>IFERROR(__xludf.DUMMYFUNCTION("""COMPUTED_VALUE"""),11490.0)</f>
        <v>11490</v>
      </c>
    </row>
    <row r="1506">
      <c r="A1506" s="2">
        <f>IFERROR(__xludf.DUMMYFUNCTION("""COMPUTED_VALUE"""),43151.64583333333)</f>
        <v>43151.64583</v>
      </c>
      <c r="B1506" s="1">
        <f>IFERROR(__xludf.DUMMYFUNCTION("""COMPUTED_VALUE"""),100500.0)</f>
        <v>100500</v>
      </c>
      <c r="C1506" s="1">
        <f>IFERROR(__xludf.DUMMYFUNCTION("""COMPUTED_VALUE"""),100500.0)</f>
        <v>100500</v>
      </c>
      <c r="D1506" s="1">
        <f>IFERROR(__xludf.DUMMYFUNCTION("""COMPUTED_VALUE"""),98800.0)</f>
        <v>98800</v>
      </c>
      <c r="E1506" s="1">
        <f>IFERROR(__xludf.DUMMYFUNCTION("""COMPUTED_VALUE"""),99000.0)</f>
        <v>99000</v>
      </c>
      <c r="F1506" s="1">
        <f>IFERROR(__xludf.DUMMYFUNCTION("""COMPUTED_VALUE"""),2649.0)</f>
        <v>2649</v>
      </c>
    </row>
    <row r="1507">
      <c r="A1507" s="2">
        <f>IFERROR(__xludf.DUMMYFUNCTION("""COMPUTED_VALUE"""),43152.64583333333)</f>
        <v>43152.64583</v>
      </c>
      <c r="B1507" s="1">
        <f>IFERROR(__xludf.DUMMYFUNCTION("""COMPUTED_VALUE"""),99500.0)</f>
        <v>99500</v>
      </c>
      <c r="C1507" s="1">
        <f>IFERROR(__xludf.DUMMYFUNCTION("""COMPUTED_VALUE"""),100000.0)</f>
        <v>100000</v>
      </c>
      <c r="D1507" s="1">
        <f>IFERROR(__xludf.DUMMYFUNCTION("""COMPUTED_VALUE"""),98700.0)</f>
        <v>98700</v>
      </c>
      <c r="E1507" s="1">
        <f>IFERROR(__xludf.DUMMYFUNCTION("""COMPUTED_VALUE"""),99200.0)</f>
        <v>99200</v>
      </c>
      <c r="F1507" s="1">
        <f>IFERROR(__xludf.DUMMYFUNCTION("""COMPUTED_VALUE"""),4992.0)</f>
        <v>4992</v>
      </c>
    </row>
    <row r="1508">
      <c r="A1508" s="2">
        <f>IFERROR(__xludf.DUMMYFUNCTION("""COMPUTED_VALUE"""),43153.64583333333)</f>
        <v>43153.64583</v>
      </c>
      <c r="B1508" s="1">
        <f>IFERROR(__xludf.DUMMYFUNCTION("""COMPUTED_VALUE"""),99800.0)</f>
        <v>99800</v>
      </c>
      <c r="C1508" s="1">
        <f>IFERROR(__xludf.DUMMYFUNCTION("""COMPUTED_VALUE"""),99800.0)</f>
        <v>99800</v>
      </c>
      <c r="D1508" s="1">
        <f>IFERROR(__xludf.DUMMYFUNCTION("""COMPUTED_VALUE"""),98100.0)</f>
        <v>98100</v>
      </c>
      <c r="E1508" s="1">
        <f>IFERROR(__xludf.DUMMYFUNCTION("""COMPUTED_VALUE"""),98900.0)</f>
        <v>98900</v>
      </c>
      <c r="F1508" s="1">
        <f>IFERROR(__xludf.DUMMYFUNCTION("""COMPUTED_VALUE"""),3711.0)</f>
        <v>3711</v>
      </c>
    </row>
    <row r="1509">
      <c r="A1509" s="2">
        <f>IFERROR(__xludf.DUMMYFUNCTION("""COMPUTED_VALUE"""),43154.64583333333)</f>
        <v>43154.64583</v>
      </c>
      <c r="B1509" s="1">
        <f>IFERROR(__xludf.DUMMYFUNCTION("""COMPUTED_VALUE"""),99300.0)</f>
        <v>99300</v>
      </c>
      <c r="C1509" s="1">
        <f>IFERROR(__xludf.DUMMYFUNCTION("""COMPUTED_VALUE"""),99500.0)</f>
        <v>99500</v>
      </c>
      <c r="D1509" s="1">
        <f>IFERROR(__xludf.DUMMYFUNCTION("""COMPUTED_VALUE"""),98500.0)</f>
        <v>98500</v>
      </c>
      <c r="E1509" s="1">
        <f>IFERROR(__xludf.DUMMYFUNCTION("""COMPUTED_VALUE"""),99300.0)</f>
        <v>99300</v>
      </c>
      <c r="F1509" s="1">
        <f>IFERROR(__xludf.DUMMYFUNCTION("""COMPUTED_VALUE"""),4178.0)</f>
        <v>4178</v>
      </c>
    </row>
    <row r="1510">
      <c r="A1510" s="2">
        <f>IFERROR(__xludf.DUMMYFUNCTION("""COMPUTED_VALUE"""),43157.64583333333)</f>
        <v>43157.64583</v>
      </c>
      <c r="B1510" s="1">
        <f>IFERROR(__xludf.DUMMYFUNCTION("""COMPUTED_VALUE"""),99800.0)</f>
        <v>99800</v>
      </c>
      <c r="C1510" s="1">
        <f>IFERROR(__xludf.DUMMYFUNCTION("""COMPUTED_VALUE"""),102500.0)</f>
        <v>102500</v>
      </c>
      <c r="D1510" s="1">
        <f>IFERROR(__xludf.DUMMYFUNCTION("""COMPUTED_VALUE"""),99700.0)</f>
        <v>99700</v>
      </c>
      <c r="E1510" s="1">
        <f>IFERROR(__xludf.DUMMYFUNCTION("""COMPUTED_VALUE"""),102000.0)</f>
        <v>102000</v>
      </c>
      <c r="F1510" s="1">
        <f>IFERROR(__xludf.DUMMYFUNCTION("""COMPUTED_VALUE"""),21860.0)</f>
        <v>21860</v>
      </c>
    </row>
    <row r="1511">
      <c r="A1511" s="2">
        <f>IFERROR(__xludf.DUMMYFUNCTION("""COMPUTED_VALUE"""),43158.64583333333)</f>
        <v>43158.64583</v>
      </c>
      <c r="B1511" s="1">
        <f>IFERROR(__xludf.DUMMYFUNCTION("""COMPUTED_VALUE"""),102000.0)</f>
        <v>102000</v>
      </c>
      <c r="C1511" s="1">
        <f>IFERROR(__xludf.DUMMYFUNCTION("""COMPUTED_VALUE"""),103000.0)</f>
        <v>103000</v>
      </c>
      <c r="D1511" s="1">
        <f>IFERROR(__xludf.DUMMYFUNCTION("""COMPUTED_VALUE"""),101000.0)</f>
        <v>101000</v>
      </c>
      <c r="E1511" s="1">
        <f>IFERROR(__xludf.DUMMYFUNCTION("""COMPUTED_VALUE"""),101500.0)</f>
        <v>101500</v>
      </c>
      <c r="F1511" s="1">
        <f>IFERROR(__xludf.DUMMYFUNCTION("""COMPUTED_VALUE"""),22926.0)</f>
        <v>22926</v>
      </c>
    </row>
    <row r="1512">
      <c r="A1512" s="2">
        <f>IFERROR(__xludf.DUMMYFUNCTION("""COMPUTED_VALUE"""),43159.64583333333)</f>
        <v>43159.64583</v>
      </c>
      <c r="B1512" s="1">
        <f>IFERROR(__xludf.DUMMYFUNCTION("""COMPUTED_VALUE"""),101000.0)</f>
        <v>101000</v>
      </c>
      <c r="C1512" s="1">
        <f>IFERROR(__xludf.DUMMYFUNCTION("""COMPUTED_VALUE"""),102500.0)</f>
        <v>102500</v>
      </c>
      <c r="D1512" s="1">
        <f>IFERROR(__xludf.DUMMYFUNCTION("""COMPUTED_VALUE"""),100000.0)</f>
        <v>100000</v>
      </c>
      <c r="E1512" s="1">
        <f>IFERROR(__xludf.DUMMYFUNCTION("""COMPUTED_VALUE"""),100000.0)</f>
        <v>100000</v>
      </c>
      <c r="F1512" s="1">
        <f>IFERROR(__xludf.DUMMYFUNCTION("""COMPUTED_VALUE"""),32187.0)</f>
        <v>32187</v>
      </c>
    </row>
    <row r="1513">
      <c r="A1513" s="2">
        <f>IFERROR(__xludf.DUMMYFUNCTION("""COMPUTED_VALUE"""),43161.64583333333)</f>
        <v>43161.64583</v>
      </c>
      <c r="B1513" s="1">
        <f>IFERROR(__xludf.DUMMYFUNCTION("""COMPUTED_VALUE"""),99700.0)</f>
        <v>99700</v>
      </c>
      <c r="C1513" s="1">
        <f>IFERROR(__xludf.DUMMYFUNCTION("""COMPUTED_VALUE"""),102500.0)</f>
        <v>102500</v>
      </c>
      <c r="D1513" s="1">
        <f>IFERROR(__xludf.DUMMYFUNCTION("""COMPUTED_VALUE"""),99700.0)</f>
        <v>99700</v>
      </c>
      <c r="E1513" s="1">
        <f>IFERROR(__xludf.DUMMYFUNCTION("""COMPUTED_VALUE"""),102500.0)</f>
        <v>102500</v>
      </c>
      <c r="F1513" s="1">
        <f>IFERROR(__xludf.DUMMYFUNCTION("""COMPUTED_VALUE"""),17712.0)</f>
        <v>17712</v>
      </c>
    </row>
    <row r="1514">
      <c r="A1514" s="2">
        <f>IFERROR(__xludf.DUMMYFUNCTION("""COMPUTED_VALUE"""),43164.64583333333)</f>
        <v>43164.64583</v>
      </c>
      <c r="B1514" s="1">
        <f>IFERROR(__xludf.DUMMYFUNCTION("""COMPUTED_VALUE"""),102500.0)</f>
        <v>102500</v>
      </c>
      <c r="C1514" s="1">
        <f>IFERROR(__xludf.DUMMYFUNCTION("""COMPUTED_VALUE"""),103000.0)</f>
        <v>103000</v>
      </c>
      <c r="D1514" s="1">
        <f>IFERROR(__xludf.DUMMYFUNCTION("""COMPUTED_VALUE"""),101500.0)</f>
        <v>101500</v>
      </c>
      <c r="E1514" s="1">
        <f>IFERROR(__xludf.DUMMYFUNCTION("""COMPUTED_VALUE"""),102500.0)</f>
        <v>102500</v>
      </c>
      <c r="F1514" s="1">
        <f>IFERROR(__xludf.DUMMYFUNCTION("""COMPUTED_VALUE"""),19456.0)</f>
        <v>19456</v>
      </c>
    </row>
    <row r="1515">
      <c r="A1515" s="2">
        <f>IFERROR(__xludf.DUMMYFUNCTION("""COMPUTED_VALUE"""),43165.64583333333)</f>
        <v>43165.64583</v>
      </c>
      <c r="B1515" s="1">
        <f>IFERROR(__xludf.DUMMYFUNCTION("""COMPUTED_VALUE"""),103000.0)</f>
        <v>103000</v>
      </c>
      <c r="C1515" s="1">
        <f>IFERROR(__xludf.DUMMYFUNCTION("""COMPUTED_VALUE"""),103000.0)</f>
        <v>103000</v>
      </c>
      <c r="D1515" s="1">
        <f>IFERROR(__xludf.DUMMYFUNCTION("""COMPUTED_VALUE"""),100500.0)</f>
        <v>100500</v>
      </c>
      <c r="E1515" s="1">
        <f>IFERROR(__xludf.DUMMYFUNCTION("""COMPUTED_VALUE"""),101000.0)</f>
        <v>101000</v>
      </c>
      <c r="F1515" s="1">
        <f>IFERROR(__xludf.DUMMYFUNCTION("""COMPUTED_VALUE"""),3008.0)</f>
        <v>3008</v>
      </c>
    </row>
    <row r="1516">
      <c r="A1516" s="2">
        <f>IFERROR(__xludf.DUMMYFUNCTION("""COMPUTED_VALUE"""),43167.64583333333)</f>
        <v>43167.64583</v>
      </c>
      <c r="B1516" s="1">
        <f>IFERROR(__xludf.DUMMYFUNCTION("""COMPUTED_VALUE"""),100500.0)</f>
        <v>100500</v>
      </c>
      <c r="C1516" s="1">
        <f>IFERROR(__xludf.DUMMYFUNCTION("""COMPUTED_VALUE"""),100500.0)</f>
        <v>100500</v>
      </c>
      <c r="D1516" s="1">
        <f>IFERROR(__xludf.DUMMYFUNCTION("""COMPUTED_VALUE"""),98500.0)</f>
        <v>98500</v>
      </c>
      <c r="E1516" s="1">
        <f>IFERROR(__xludf.DUMMYFUNCTION("""COMPUTED_VALUE"""),99500.0)</f>
        <v>99500</v>
      </c>
      <c r="F1516" s="1">
        <f>IFERROR(__xludf.DUMMYFUNCTION("""COMPUTED_VALUE"""),8403.0)</f>
        <v>8403</v>
      </c>
    </row>
    <row r="1517">
      <c r="A1517" s="2">
        <f>IFERROR(__xludf.DUMMYFUNCTION("""COMPUTED_VALUE"""),43168.64583333333)</f>
        <v>43168.64583</v>
      </c>
      <c r="B1517" s="1">
        <f>IFERROR(__xludf.DUMMYFUNCTION("""COMPUTED_VALUE"""),99600.0)</f>
        <v>99600</v>
      </c>
      <c r="C1517" s="1">
        <f>IFERROR(__xludf.DUMMYFUNCTION("""COMPUTED_VALUE"""),100500.0)</f>
        <v>100500</v>
      </c>
      <c r="D1517" s="1">
        <f>IFERROR(__xludf.DUMMYFUNCTION("""COMPUTED_VALUE"""),99400.0)</f>
        <v>99400</v>
      </c>
      <c r="E1517" s="1">
        <f>IFERROR(__xludf.DUMMYFUNCTION("""COMPUTED_VALUE"""),100000.0)</f>
        <v>100000</v>
      </c>
      <c r="F1517" s="1">
        <f>IFERROR(__xludf.DUMMYFUNCTION("""COMPUTED_VALUE"""),8428.0)</f>
        <v>8428</v>
      </c>
    </row>
    <row r="1518">
      <c r="A1518" s="2">
        <f>IFERROR(__xludf.DUMMYFUNCTION("""COMPUTED_VALUE"""),43171.64583333333)</f>
        <v>43171.64583</v>
      </c>
      <c r="B1518" s="1">
        <f>IFERROR(__xludf.DUMMYFUNCTION("""COMPUTED_VALUE"""),100500.0)</f>
        <v>100500</v>
      </c>
      <c r="C1518" s="1">
        <f>IFERROR(__xludf.DUMMYFUNCTION("""COMPUTED_VALUE"""),101000.0)</f>
        <v>101000</v>
      </c>
      <c r="D1518" s="1">
        <f>IFERROR(__xludf.DUMMYFUNCTION("""COMPUTED_VALUE"""),100000.0)</f>
        <v>100000</v>
      </c>
      <c r="E1518" s="1">
        <f>IFERROR(__xludf.DUMMYFUNCTION("""COMPUTED_VALUE"""),101000.0)</f>
        <v>101000</v>
      </c>
      <c r="F1518" s="1">
        <f>IFERROR(__xludf.DUMMYFUNCTION("""COMPUTED_VALUE"""),4806.0)</f>
        <v>4806</v>
      </c>
    </row>
    <row r="1519">
      <c r="A1519" s="2">
        <f>IFERROR(__xludf.DUMMYFUNCTION("""COMPUTED_VALUE"""),43172.64583333333)</f>
        <v>43172.64583</v>
      </c>
      <c r="B1519" s="1">
        <f>IFERROR(__xludf.DUMMYFUNCTION("""COMPUTED_VALUE"""),100000.0)</f>
        <v>100000</v>
      </c>
      <c r="C1519" s="1">
        <f>IFERROR(__xludf.DUMMYFUNCTION("""COMPUTED_VALUE"""),100500.0)</f>
        <v>100500</v>
      </c>
      <c r="D1519" s="1">
        <f>IFERROR(__xludf.DUMMYFUNCTION("""COMPUTED_VALUE"""),99800.0)</f>
        <v>99800</v>
      </c>
      <c r="E1519" s="1">
        <f>IFERROR(__xludf.DUMMYFUNCTION("""COMPUTED_VALUE"""),99800.0)</f>
        <v>99800</v>
      </c>
      <c r="F1519" s="1">
        <f>IFERROR(__xludf.DUMMYFUNCTION("""COMPUTED_VALUE"""),3324.0)</f>
        <v>3324</v>
      </c>
    </row>
    <row r="1520">
      <c r="A1520" s="2">
        <f>IFERROR(__xludf.DUMMYFUNCTION("""COMPUTED_VALUE"""),43173.64583333333)</f>
        <v>43173.64583</v>
      </c>
      <c r="B1520" s="1">
        <f>IFERROR(__xludf.DUMMYFUNCTION("""COMPUTED_VALUE"""),99200.0)</f>
        <v>99200</v>
      </c>
      <c r="C1520" s="1">
        <f>IFERROR(__xludf.DUMMYFUNCTION("""COMPUTED_VALUE"""),100000.0)</f>
        <v>100000</v>
      </c>
      <c r="D1520" s="1">
        <f>IFERROR(__xludf.DUMMYFUNCTION("""COMPUTED_VALUE"""),99100.0)</f>
        <v>99100</v>
      </c>
      <c r="E1520" s="1">
        <f>IFERROR(__xludf.DUMMYFUNCTION("""COMPUTED_VALUE"""),99900.0)</f>
        <v>99900</v>
      </c>
      <c r="F1520" s="1">
        <f>IFERROR(__xludf.DUMMYFUNCTION("""COMPUTED_VALUE"""),5649.0)</f>
        <v>5649</v>
      </c>
    </row>
    <row r="1521">
      <c r="A1521" s="2">
        <f>IFERROR(__xludf.DUMMYFUNCTION("""COMPUTED_VALUE"""),43174.64583333333)</f>
        <v>43174.64583</v>
      </c>
      <c r="B1521" s="1">
        <f>IFERROR(__xludf.DUMMYFUNCTION("""COMPUTED_VALUE"""),99800.0)</f>
        <v>99800</v>
      </c>
      <c r="C1521" s="1">
        <f>IFERROR(__xludf.DUMMYFUNCTION("""COMPUTED_VALUE"""),99900.0)</f>
        <v>99900</v>
      </c>
      <c r="D1521" s="1">
        <f>IFERROR(__xludf.DUMMYFUNCTION("""COMPUTED_VALUE"""),98100.0)</f>
        <v>98100</v>
      </c>
      <c r="E1521" s="1">
        <f>IFERROR(__xludf.DUMMYFUNCTION("""COMPUTED_VALUE"""),99200.0)</f>
        <v>99200</v>
      </c>
      <c r="F1521" s="1">
        <f>IFERROR(__xludf.DUMMYFUNCTION("""COMPUTED_VALUE"""),13820.0)</f>
        <v>13820</v>
      </c>
    </row>
    <row r="1522">
      <c r="A1522" s="2">
        <f>IFERROR(__xludf.DUMMYFUNCTION("""COMPUTED_VALUE"""),43175.64583333333)</f>
        <v>43175.64583</v>
      </c>
      <c r="B1522" s="1">
        <f>IFERROR(__xludf.DUMMYFUNCTION("""COMPUTED_VALUE"""),99200.0)</f>
        <v>99200</v>
      </c>
      <c r="C1522" s="1">
        <f>IFERROR(__xludf.DUMMYFUNCTION("""COMPUTED_VALUE"""),100000.0)</f>
        <v>100000</v>
      </c>
      <c r="D1522" s="1">
        <f>IFERROR(__xludf.DUMMYFUNCTION("""COMPUTED_VALUE"""),99000.0)</f>
        <v>99000</v>
      </c>
      <c r="E1522" s="1">
        <f>IFERROR(__xludf.DUMMYFUNCTION("""COMPUTED_VALUE"""),99000.0)</f>
        <v>99000</v>
      </c>
      <c r="F1522" s="1">
        <f>IFERROR(__xludf.DUMMYFUNCTION("""COMPUTED_VALUE"""),6372.0)</f>
        <v>6372</v>
      </c>
    </row>
    <row r="1523">
      <c r="A1523" s="2">
        <f>IFERROR(__xludf.DUMMYFUNCTION("""COMPUTED_VALUE"""),43178.64583333333)</f>
        <v>43178.64583</v>
      </c>
      <c r="B1523" s="1">
        <f>IFERROR(__xludf.DUMMYFUNCTION("""COMPUTED_VALUE"""),99300.0)</f>
        <v>99300</v>
      </c>
      <c r="C1523" s="1">
        <f>IFERROR(__xludf.DUMMYFUNCTION("""COMPUTED_VALUE"""),99500.0)</f>
        <v>99500</v>
      </c>
      <c r="D1523" s="1">
        <f>IFERROR(__xludf.DUMMYFUNCTION("""COMPUTED_VALUE"""),98200.0)</f>
        <v>98200</v>
      </c>
      <c r="E1523" s="1">
        <f>IFERROR(__xludf.DUMMYFUNCTION("""COMPUTED_VALUE"""),98200.0)</f>
        <v>98200</v>
      </c>
      <c r="F1523" s="1">
        <f>IFERROR(__xludf.DUMMYFUNCTION("""COMPUTED_VALUE"""),9095.0)</f>
        <v>9095</v>
      </c>
    </row>
    <row r="1524">
      <c r="A1524" s="2">
        <f>IFERROR(__xludf.DUMMYFUNCTION("""COMPUTED_VALUE"""),43179.64583333333)</f>
        <v>43179.64583</v>
      </c>
      <c r="B1524" s="1">
        <f>IFERROR(__xludf.DUMMYFUNCTION("""COMPUTED_VALUE"""),98500.0)</f>
        <v>98500</v>
      </c>
      <c r="C1524" s="1">
        <f>IFERROR(__xludf.DUMMYFUNCTION("""COMPUTED_VALUE"""),98500.0)</f>
        <v>98500</v>
      </c>
      <c r="D1524" s="1">
        <f>IFERROR(__xludf.DUMMYFUNCTION("""COMPUTED_VALUE"""),97000.0)</f>
        <v>97000</v>
      </c>
      <c r="E1524" s="1">
        <f>IFERROR(__xludf.DUMMYFUNCTION("""COMPUTED_VALUE"""),98300.0)</f>
        <v>98300</v>
      </c>
      <c r="F1524" s="1">
        <f>IFERROR(__xludf.DUMMYFUNCTION("""COMPUTED_VALUE"""),12340.0)</f>
        <v>12340</v>
      </c>
    </row>
    <row r="1525">
      <c r="A1525" s="2">
        <f>IFERROR(__xludf.DUMMYFUNCTION("""COMPUTED_VALUE"""),43180.64583333333)</f>
        <v>43180.64583</v>
      </c>
      <c r="B1525" s="1">
        <f>IFERROR(__xludf.DUMMYFUNCTION("""COMPUTED_VALUE"""),98600.0)</f>
        <v>98600</v>
      </c>
      <c r="C1525" s="1">
        <f>IFERROR(__xludf.DUMMYFUNCTION("""COMPUTED_VALUE"""),98600.0)</f>
        <v>98600</v>
      </c>
      <c r="D1525" s="1">
        <f>IFERROR(__xludf.DUMMYFUNCTION("""COMPUTED_VALUE"""),97000.0)</f>
        <v>97000</v>
      </c>
      <c r="E1525" s="1">
        <f>IFERROR(__xludf.DUMMYFUNCTION("""COMPUTED_VALUE"""),97200.0)</f>
        <v>97200</v>
      </c>
      <c r="F1525" s="1">
        <f>IFERROR(__xludf.DUMMYFUNCTION("""COMPUTED_VALUE"""),8568.0)</f>
        <v>8568</v>
      </c>
    </row>
    <row r="1526">
      <c r="A1526" s="2">
        <f>IFERROR(__xludf.DUMMYFUNCTION("""COMPUTED_VALUE"""),43181.64583333333)</f>
        <v>43181.64583</v>
      </c>
      <c r="B1526" s="1">
        <f>IFERROR(__xludf.DUMMYFUNCTION("""COMPUTED_VALUE"""),98000.0)</f>
        <v>98000</v>
      </c>
      <c r="C1526" s="1">
        <f>IFERROR(__xludf.DUMMYFUNCTION("""COMPUTED_VALUE"""),98200.0)</f>
        <v>98200</v>
      </c>
      <c r="D1526" s="1">
        <f>IFERROR(__xludf.DUMMYFUNCTION("""COMPUTED_VALUE"""),97500.0)</f>
        <v>97500</v>
      </c>
      <c r="E1526" s="1">
        <f>IFERROR(__xludf.DUMMYFUNCTION("""COMPUTED_VALUE"""),97700.0)</f>
        <v>97700</v>
      </c>
      <c r="F1526" s="1">
        <f>IFERROR(__xludf.DUMMYFUNCTION("""COMPUTED_VALUE"""),5895.0)</f>
        <v>5895</v>
      </c>
    </row>
    <row r="1527">
      <c r="A1527" s="2">
        <f>IFERROR(__xludf.DUMMYFUNCTION("""COMPUTED_VALUE"""),43182.64583333333)</f>
        <v>43182.64583</v>
      </c>
      <c r="B1527" s="1">
        <f>IFERROR(__xludf.DUMMYFUNCTION("""COMPUTED_VALUE"""),97500.0)</f>
        <v>97500</v>
      </c>
      <c r="C1527" s="1">
        <f>IFERROR(__xludf.DUMMYFUNCTION("""COMPUTED_VALUE"""),97500.0)</f>
        <v>97500</v>
      </c>
      <c r="D1527" s="1">
        <f>IFERROR(__xludf.DUMMYFUNCTION("""COMPUTED_VALUE"""),96500.0)</f>
        <v>96500</v>
      </c>
      <c r="E1527" s="1">
        <f>IFERROR(__xludf.DUMMYFUNCTION("""COMPUTED_VALUE"""),96500.0)</f>
        <v>96500</v>
      </c>
      <c r="F1527" s="1">
        <f>IFERROR(__xludf.DUMMYFUNCTION("""COMPUTED_VALUE"""),11650.0)</f>
        <v>11650</v>
      </c>
    </row>
    <row r="1528">
      <c r="A1528" s="2">
        <f>IFERROR(__xludf.DUMMYFUNCTION("""COMPUTED_VALUE"""),43185.64583333333)</f>
        <v>43185.64583</v>
      </c>
      <c r="B1528" s="1">
        <f>IFERROR(__xludf.DUMMYFUNCTION("""COMPUTED_VALUE"""),95600.0)</f>
        <v>95600</v>
      </c>
      <c r="C1528" s="1">
        <f>IFERROR(__xludf.DUMMYFUNCTION("""COMPUTED_VALUE"""),97300.0)</f>
        <v>97300</v>
      </c>
      <c r="D1528" s="1">
        <f>IFERROR(__xludf.DUMMYFUNCTION("""COMPUTED_VALUE"""),95600.0)</f>
        <v>95600</v>
      </c>
      <c r="E1528" s="1">
        <f>IFERROR(__xludf.DUMMYFUNCTION("""COMPUTED_VALUE"""),97000.0)</f>
        <v>97000</v>
      </c>
      <c r="F1528" s="1">
        <f>IFERROR(__xludf.DUMMYFUNCTION("""COMPUTED_VALUE"""),9942.0)</f>
        <v>9942</v>
      </c>
    </row>
    <row r="1529">
      <c r="A1529" s="2">
        <f>IFERROR(__xludf.DUMMYFUNCTION("""COMPUTED_VALUE"""),43186.64583333333)</f>
        <v>43186.64583</v>
      </c>
      <c r="B1529" s="1">
        <f>IFERROR(__xludf.DUMMYFUNCTION("""COMPUTED_VALUE"""),97700.0)</f>
        <v>97700</v>
      </c>
      <c r="C1529" s="1">
        <f>IFERROR(__xludf.DUMMYFUNCTION("""COMPUTED_VALUE"""),97700.0)</f>
        <v>97700</v>
      </c>
      <c r="D1529" s="1">
        <f>IFERROR(__xludf.DUMMYFUNCTION("""COMPUTED_VALUE"""),96600.0)</f>
        <v>96600</v>
      </c>
      <c r="E1529" s="1">
        <f>IFERROR(__xludf.DUMMYFUNCTION("""COMPUTED_VALUE"""),97000.0)</f>
        <v>97000</v>
      </c>
      <c r="F1529" s="1">
        <f>IFERROR(__xludf.DUMMYFUNCTION("""COMPUTED_VALUE"""),4616.0)</f>
        <v>4616</v>
      </c>
    </row>
    <row r="1530">
      <c r="A1530" s="2">
        <f>IFERROR(__xludf.DUMMYFUNCTION("""COMPUTED_VALUE"""),43187.64583333333)</f>
        <v>43187.64583</v>
      </c>
      <c r="B1530" s="1">
        <f>IFERROR(__xludf.DUMMYFUNCTION("""COMPUTED_VALUE"""),97000.0)</f>
        <v>97000</v>
      </c>
      <c r="C1530" s="1">
        <f>IFERROR(__xludf.DUMMYFUNCTION("""COMPUTED_VALUE"""),97100.0)</f>
        <v>97100</v>
      </c>
      <c r="D1530" s="1">
        <f>IFERROR(__xludf.DUMMYFUNCTION("""COMPUTED_VALUE"""),95700.0)</f>
        <v>95700</v>
      </c>
      <c r="E1530" s="1">
        <f>IFERROR(__xludf.DUMMYFUNCTION("""COMPUTED_VALUE"""),95700.0)</f>
        <v>95700</v>
      </c>
      <c r="F1530" s="1">
        <f>IFERROR(__xludf.DUMMYFUNCTION("""COMPUTED_VALUE"""),9706.0)</f>
        <v>9706</v>
      </c>
    </row>
    <row r="1531">
      <c r="A1531" s="2">
        <f>IFERROR(__xludf.DUMMYFUNCTION("""COMPUTED_VALUE"""),43188.64583333333)</f>
        <v>43188.64583</v>
      </c>
      <c r="B1531" s="1">
        <f>IFERROR(__xludf.DUMMYFUNCTION("""COMPUTED_VALUE"""),96300.0)</f>
        <v>96300</v>
      </c>
      <c r="C1531" s="1">
        <f>IFERROR(__xludf.DUMMYFUNCTION("""COMPUTED_VALUE"""),96900.0)</f>
        <v>96900</v>
      </c>
      <c r="D1531" s="1">
        <f>IFERROR(__xludf.DUMMYFUNCTION("""COMPUTED_VALUE"""),95500.0)</f>
        <v>95500</v>
      </c>
      <c r="E1531" s="1">
        <f>IFERROR(__xludf.DUMMYFUNCTION("""COMPUTED_VALUE"""),95700.0)</f>
        <v>95700</v>
      </c>
      <c r="F1531" s="1">
        <f>IFERROR(__xludf.DUMMYFUNCTION("""COMPUTED_VALUE"""),10971.0)</f>
        <v>10971</v>
      </c>
    </row>
    <row r="1532">
      <c r="A1532" s="2">
        <f>IFERROR(__xludf.DUMMYFUNCTION("""COMPUTED_VALUE"""),43189.64583333333)</f>
        <v>43189.64583</v>
      </c>
      <c r="B1532" s="1">
        <f>IFERROR(__xludf.DUMMYFUNCTION("""COMPUTED_VALUE"""),96500.0)</f>
        <v>96500</v>
      </c>
      <c r="C1532" s="1">
        <f>IFERROR(__xludf.DUMMYFUNCTION("""COMPUTED_VALUE"""),96600.0)</f>
        <v>96600</v>
      </c>
      <c r="D1532" s="1">
        <f>IFERROR(__xludf.DUMMYFUNCTION("""COMPUTED_VALUE"""),95700.0)</f>
        <v>95700</v>
      </c>
      <c r="E1532" s="1">
        <f>IFERROR(__xludf.DUMMYFUNCTION("""COMPUTED_VALUE"""),96300.0)</f>
        <v>96300</v>
      </c>
      <c r="F1532" s="1">
        <f>IFERROR(__xludf.DUMMYFUNCTION("""COMPUTED_VALUE"""),6235.0)</f>
        <v>6235</v>
      </c>
    </row>
    <row r="1533">
      <c r="A1533" s="2">
        <f>IFERROR(__xludf.DUMMYFUNCTION("""COMPUTED_VALUE"""),43192.64583333333)</f>
        <v>43192.64583</v>
      </c>
      <c r="B1533" s="1">
        <f>IFERROR(__xludf.DUMMYFUNCTION("""COMPUTED_VALUE"""),96900.0)</f>
        <v>96900</v>
      </c>
      <c r="C1533" s="1">
        <f>IFERROR(__xludf.DUMMYFUNCTION("""COMPUTED_VALUE"""),98000.0)</f>
        <v>98000</v>
      </c>
      <c r="D1533" s="1">
        <f>IFERROR(__xludf.DUMMYFUNCTION("""COMPUTED_VALUE"""),96700.0)</f>
        <v>96700</v>
      </c>
      <c r="E1533" s="1">
        <f>IFERROR(__xludf.DUMMYFUNCTION("""COMPUTED_VALUE"""),97400.0)</f>
        <v>97400</v>
      </c>
      <c r="F1533" s="1">
        <f>IFERROR(__xludf.DUMMYFUNCTION("""COMPUTED_VALUE"""),4677.0)</f>
        <v>4677</v>
      </c>
    </row>
    <row r="1534">
      <c r="A1534" s="2">
        <f>IFERROR(__xludf.DUMMYFUNCTION("""COMPUTED_VALUE"""),43193.64583333333)</f>
        <v>43193.64583</v>
      </c>
      <c r="B1534" s="1">
        <f>IFERROR(__xludf.DUMMYFUNCTION("""COMPUTED_VALUE"""),96800.0)</f>
        <v>96800</v>
      </c>
      <c r="C1534" s="1">
        <f>IFERROR(__xludf.DUMMYFUNCTION("""COMPUTED_VALUE"""),97300.0)</f>
        <v>97300</v>
      </c>
      <c r="D1534" s="1">
        <f>IFERROR(__xludf.DUMMYFUNCTION("""COMPUTED_VALUE"""),96500.0)</f>
        <v>96500</v>
      </c>
      <c r="E1534" s="1">
        <f>IFERROR(__xludf.DUMMYFUNCTION("""COMPUTED_VALUE"""),96900.0)</f>
        <v>96900</v>
      </c>
      <c r="F1534" s="1">
        <f>IFERROR(__xludf.DUMMYFUNCTION("""COMPUTED_VALUE"""),3264.0)</f>
        <v>3264</v>
      </c>
    </row>
    <row r="1535">
      <c r="A1535" s="2">
        <f>IFERROR(__xludf.DUMMYFUNCTION("""COMPUTED_VALUE"""),43194.64583333333)</f>
        <v>43194.64583</v>
      </c>
      <c r="B1535" s="1">
        <f>IFERROR(__xludf.DUMMYFUNCTION("""COMPUTED_VALUE"""),96700.0)</f>
        <v>96700</v>
      </c>
      <c r="C1535" s="1">
        <f>IFERROR(__xludf.DUMMYFUNCTION("""COMPUTED_VALUE"""),97000.0)</f>
        <v>97000</v>
      </c>
      <c r="D1535" s="1">
        <f>IFERROR(__xludf.DUMMYFUNCTION("""COMPUTED_VALUE"""),96200.0)</f>
        <v>96200</v>
      </c>
      <c r="E1535" s="1">
        <f>IFERROR(__xludf.DUMMYFUNCTION("""COMPUTED_VALUE"""),96400.0)</f>
        <v>96400</v>
      </c>
      <c r="F1535" s="1">
        <f>IFERROR(__xludf.DUMMYFUNCTION("""COMPUTED_VALUE"""),4364.0)</f>
        <v>4364</v>
      </c>
    </row>
    <row r="1536">
      <c r="A1536" s="2">
        <f>IFERROR(__xludf.DUMMYFUNCTION("""COMPUTED_VALUE"""),43195.64583333333)</f>
        <v>43195.64583</v>
      </c>
      <c r="B1536" s="1">
        <f>IFERROR(__xludf.DUMMYFUNCTION("""COMPUTED_VALUE"""),96400.0)</f>
        <v>96400</v>
      </c>
      <c r="C1536" s="1">
        <f>IFERROR(__xludf.DUMMYFUNCTION("""COMPUTED_VALUE"""),96500.0)</f>
        <v>96500</v>
      </c>
      <c r="D1536" s="1">
        <f>IFERROR(__xludf.DUMMYFUNCTION("""COMPUTED_VALUE"""),96000.0)</f>
        <v>96000</v>
      </c>
      <c r="E1536" s="1">
        <f>IFERROR(__xludf.DUMMYFUNCTION("""COMPUTED_VALUE"""),96300.0)</f>
        <v>96300</v>
      </c>
      <c r="F1536" s="1">
        <f>IFERROR(__xludf.DUMMYFUNCTION("""COMPUTED_VALUE"""),7195.0)</f>
        <v>7195</v>
      </c>
    </row>
    <row r="1537">
      <c r="A1537" s="2">
        <f>IFERROR(__xludf.DUMMYFUNCTION("""COMPUTED_VALUE"""),43196.64583333333)</f>
        <v>43196.64583</v>
      </c>
      <c r="B1537" s="1">
        <f>IFERROR(__xludf.DUMMYFUNCTION("""COMPUTED_VALUE"""),96000.0)</f>
        <v>96000</v>
      </c>
      <c r="C1537" s="1">
        <f>IFERROR(__xludf.DUMMYFUNCTION("""COMPUTED_VALUE"""),96800.0)</f>
        <v>96800</v>
      </c>
      <c r="D1537" s="1">
        <f>IFERROR(__xludf.DUMMYFUNCTION("""COMPUTED_VALUE"""),95600.0)</f>
        <v>95600</v>
      </c>
      <c r="E1537" s="1">
        <f>IFERROR(__xludf.DUMMYFUNCTION("""COMPUTED_VALUE"""),96200.0)</f>
        <v>96200</v>
      </c>
      <c r="F1537" s="1">
        <f>IFERROR(__xludf.DUMMYFUNCTION("""COMPUTED_VALUE"""),3478.0)</f>
        <v>3478</v>
      </c>
    </row>
    <row r="1538">
      <c r="A1538" s="2">
        <f>IFERROR(__xludf.DUMMYFUNCTION("""COMPUTED_VALUE"""),43199.64583333333)</f>
        <v>43199.64583</v>
      </c>
      <c r="B1538" s="1">
        <f>IFERROR(__xludf.DUMMYFUNCTION("""COMPUTED_VALUE"""),96300.0)</f>
        <v>96300</v>
      </c>
      <c r="C1538" s="1">
        <f>IFERROR(__xludf.DUMMYFUNCTION("""COMPUTED_VALUE"""),96400.0)</f>
        <v>96400</v>
      </c>
      <c r="D1538" s="1">
        <f>IFERROR(__xludf.DUMMYFUNCTION("""COMPUTED_VALUE"""),95000.0)</f>
        <v>95000</v>
      </c>
      <c r="E1538" s="1">
        <f>IFERROR(__xludf.DUMMYFUNCTION("""COMPUTED_VALUE"""),95600.0)</f>
        <v>95600</v>
      </c>
      <c r="F1538" s="1">
        <f>IFERROR(__xludf.DUMMYFUNCTION("""COMPUTED_VALUE"""),5719.0)</f>
        <v>5719</v>
      </c>
    </row>
    <row r="1539">
      <c r="A1539" s="2">
        <f>IFERROR(__xludf.DUMMYFUNCTION("""COMPUTED_VALUE"""),43200.64583333333)</f>
        <v>43200.64583</v>
      </c>
      <c r="B1539" s="1">
        <f>IFERROR(__xludf.DUMMYFUNCTION("""COMPUTED_VALUE"""),95600.0)</f>
        <v>95600</v>
      </c>
      <c r="C1539" s="1">
        <f>IFERROR(__xludf.DUMMYFUNCTION("""COMPUTED_VALUE"""),95700.0)</f>
        <v>95700</v>
      </c>
      <c r="D1539" s="1">
        <f>IFERROR(__xludf.DUMMYFUNCTION("""COMPUTED_VALUE"""),94500.0)</f>
        <v>94500</v>
      </c>
      <c r="E1539" s="1">
        <f>IFERROR(__xludf.DUMMYFUNCTION("""COMPUTED_VALUE"""),94800.0)</f>
        <v>94800</v>
      </c>
      <c r="F1539" s="1">
        <f>IFERROR(__xludf.DUMMYFUNCTION("""COMPUTED_VALUE"""),7774.0)</f>
        <v>7774</v>
      </c>
    </row>
    <row r="1540">
      <c r="A1540" s="2">
        <f>IFERROR(__xludf.DUMMYFUNCTION("""COMPUTED_VALUE"""),43201.64583333333)</f>
        <v>43201.64583</v>
      </c>
      <c r="B1540" s="1">
        <f>IFERROR(__xludf.DUMMYFUNCTION("""COMPUTED_VALUE"""),95300.0)</f>
        <v>95300</v>
      </c>
      <c r="C1540" s="1">
        <f>IFERROR(__xludf.DUMMYFUNCTION("""COMPUTED_VALUE"""),95700.0)</f>
        <v>95700</v>
      </c>
      <c r="D1540" s="1">
        <f>IFERROR(__xludf.DUMMYFUNCTION("""COMPUTED_VALUE"""),94400.0)</f>
        <v>94400</v>
      </c>
      <c r="E1540" s="1">
        <f>IFERROR(__xludf.DUMMYFUNCTION("""COMPUTED_VALUE"""),94900.0)</f>
        <v>94900</v>
      </c>
      <c r="F1540" s="1">
        <f>IFERROR(__xludf.DUMMYFUNCTION("""COMPUTED_VALUE"""),8713.0)</f>
        <v>8713</v>
      </c>
    </row>
    <row r="1541">
      <c r="A1541" s="2">
        <f>IFERROR(__xludf.DUMMYFUNCTION("""COMPUTED_VALUE"""),43202.64583333333)</f>
        <v>43202.64583</v>
      </c>
      <c r="B1541" s="1">
        <f>IFERROR(__xludf.DUMMYFUNCTION("""COMPUTED_VALUE"""),95500.0)</f>
        <v>95500</v>
      </c>
      <c r="C1541" s="1">
        <f>IFERROR(__xludf.DUMMYFUNCTION("""COMPUTED_VALUE"""),96900.0)</f>
        <v>96900</v>
      </c>
      <c r="D1541" s="1">
        <f>IFERROR(__xludf.DUMMYFUNCTION("""COMPUTED_VALUE"""),94900.0)</f>
        <v>94900</v>
      </c>
      <c r="E1541" s="1">
        <f>IFERROR(__xludf.DUMMYFUNCTION("""COMPUTED_VALUE"""),96900.0)</f>
        <v>96900</v>
      </c>
      <c r="F1541" s="1">
        <f>IFERROR(__xludf.DUMMYFUNCTION("""COMPUTED_VALUE"""),4666.0)</f>
        <v>4666</v>
      </c>
    </row>
    <row r="1542">
      <c r="A1542" s="2">
        <f>IFERROR(__xludf.DUMMYFUNCTION("""COMPUTED_VALUE"""),43203.64583333333)</f>
        <v>43203.64583</v>
      </c>
      <c r="B1542" s="1">
        <f>IFERROR(__xludf.DUMMYFUNCTION("""COMPUTED_VALUE"""),96500.0)</f>
        <v>96500</v>
      </c>
      <c r="C1542" s="1">
        <f>IFERROR(__xludf.DUMMYFUNCTION("""COMPUTED_VALUE"""),97000.0)</f>
        <v>97000</v>
      </c>
      <c r="D1542" s="1">
        <f>IFERROR(__xludf.DUMMYFUNCTION("""COMPUTED_VALUE"""),96000.0)</f>
        <v>96000</v>
      </c>
      <c r="E1542" s="1">
        <f>IFERROR(__xludf.DUMMYFUNCTION("""COMPUTED_VALUE"""),96800.0)</f>
        <v>96800</v>
      </c>
      <c r="F1542" s="1">
        <f>IFERROR(__xludf.DUMMYFUNCTION("""COMPUTED_VALUE"""),4061.0)</f>
        <v>4061</v>
      </c>
    </row>
    <row r="1543">
      <c r="A1543" s="2">
        <f>IFERROR(__xludf.DUMMYFUNCTION("""COMPUTED_VALUE"""),43206.64583333333)</f>
        <v>43206.64583</v>
      </c>
      <c r="B1543" s="1">
        <f>IFERROR(__xludf.DUMMYFUNCTION("""COMPUTED_VALUE"""),96800.0)</f>
        <v>96800</v>
      </c>
      <c r="C1543" s="1">
        <f>IFERROR(__xludf.DUMMYFUNCTION("""COMPUTED_VALUE"""),97400.0)</f>
        <v>97400</v>
      </c>
      <c r="D1543" s="1">
        <f>IFERROR(__xludf.DUMMYFUNCTION("""COMPUTED_VALUE"""),96200.0)</f>
        <v>96200</v>
      </c>
      <c r="E1543" s="1">
        <f>IFERROR(__xludf.DUMMYFUNCTION("""COMPUTED_VALUE"""),96600.0)</f>
        <v>96600</v>
      </c>
      <c r="F1543" s="1">
        <f>IFERROR(__xludf.DUMMYFUNCTION("""COMPUTED_VALUE"""),3077.0)</f>
        <v>3077</v>
      </c>
    </row>
    <row r="1544">
      <c r="A1544" s="2">
        <f>IFERROR(__xludf.DUMMYFUNCTION("""COMPUTED_VALUE"""),43207.64583333333)</f>
        <v>43207.64583</v>
      </c>
      <c r="B1544" s="1">
        <f>IFERROR(__xludf.DUMMYFUNCTION("""COMPUTED_VALUE"""),96600.0)</f>
        <v>96600</v>
      </c>
      <c r="C1544" s="1">
        <f>IFERROR(__xludf.DUMMYFUNCTION("""COMPUTED_VALUE"""),97100.0)</f>
        <v>97100</v>
      </c>
      <c r="D1544" s="1">
        <f>IFERROR(__xludf.DUMMYFUNCTION("""COMPUTED_VALUE"""),95500.0)</f>
        <v>95500</v>
      </c>
      <c r="E1544" s="1">
        <f>IFERROR(__xludf.DUMMYFUNCTION("""COMPUTED_VALUE"""),95900.0)</f>
        <v>95900</v>
      </c>
      <c r="F1544" s="1">
        <f>IFERROR(__xludf.DUMMYFUNCTION("""COMPUTED_VALUE"""),5731.0)</f>
        <v>5731</v>
      </c>
    </row>
    <row r="1545">
      <c r="A1545" s="2">
        <f>IFERROR(__xludf.DUMMYFUNCTION("""COMPUTED_VALUE"""),43208.64583333333)</f>
        <v>43208.64583</v>
      </c>
      <c r="B1545" s="1">
        <f>IFERROR(__xludf.DUMMYFUNCTION("""COMPUTED_VALUE"""),96000.0)</f>
        <v>96000</v>
      </c>
      <c r="C1545" s="1">
        <f>IFERROR(__xludf.DUMMYFUNCTION("""COMPUTED_VALUE"""),96100.0)</f>
        <v>96100</v>
      </c>
      <c r="D1545" s="1">
        <f>IFERROR(__xludf.DUMMYFUNCTION("""COMPUTED_VALUE"""),95200.0)</f>
        <v>95200</v>
      </c>
      <c r="E1545" s="1">
        <f>IFERROR(__xludf.DUMMYFUNCTION("""COMPUTED_VALUE"""),96000.0)</f>
        <v>96000</v>
      </c>
      <c r="F1545" s="1">
        <f>IFERROR(__xludf.DUMMYFUNCTION("""COMPUTED_VALUE"""),3994.0)</f>
        <v>3994</v>
      </c>
    </row>
    <row r="1546">
      <c r="A1546" s="2">
        <f>IFERROR(__xludf.DUMMYFUNCTION("""COMPUTED_VALUE"""),43209.64583333333)</f>
        <v>43209.64583</v>
      </c>
      <c r="B1546" s="1">
        <f>IFERROR(__xludf.DUMMYFUNCTION("""COMPUTED_VALUE"""),95900.0)</f>
        <v>95900</v>
      </c>
      <c r="C1546" s="1">
        <f>IFERROR(__xludf.DUMMYFUNCTION("""COMPUTED_VALUE"""),96600.0)</f>
        <v>96600</v>
      </c>
      <c r="D1546" s="1">
        <f>IFERROR(__xludf.DUMMYFUNCTION("""COMPUTED_VALUE"""),95800.0)</f>
        <v>95800</v>
      </c>
      <c r="E1546" s="1">
        <f>IFERROR(__xludf.DUMMYFUNCTION("""COMPUTED_VALUE"""),96500.0)</f>
        <v>96500</v>
      </c>
      <c r="F1546" s="1">
        <f>IFERROR(__xludf.DUMMYFUNCTION("""COMPUTED_VALUE"""),9501.0)</f>
        <v>9501</v>
      </c>
    </row>
    <row r="1547">
      <c r="A1547" s="2">
        <f>IFERROR(__xludf.DUMMYFUNCTION("""COMPUTED_VALUE"""),43210.64583333333)</f>
        <v>43210.64583</v>
      </c>
      <c r="B1547" s="1">
        <f>IFERROR(__xludf.DUMMYFUNCTION("""COMPUTED_VALUE"""),96400.0)</f>
        <v>96400</v>
      </c>
      <c r="C1547" s="1">
        <f>IFERROR(__xludf.DUMMYFUNCTION("""COMPUTED_VALUE"""),96400.0)</f>
        <v>96400</v>
      </c>
      <c r="D1547" s="1">
        <f>IFERROR(__xludf.DUMMYFUNCTION("""COMPUTED_VALUE"""),96000.0)</f>
        <v>96000</v>
      </c>
      <c r="E1547" s="1">
        <f>IFERROR(__xludf.DUMMYFUNCTION("""COMPUTED_VALUE"""),96400.0)</f>
        <v>96400</v>
      </c>
      <c r="F1547" s="1">
        <f>IFERROR(__xludf.DUMMYFUNCTION("""COMPUTED_VALUE"""),2220.0)</f>
        <v>2220</v>
      </c>
    </row>
    <row r="1548">
      <c r="A1548" s="2">
        <f>IFERROR(__xludf.DUMMYFUNCTION("""COMPUTED_VALUE"""),43213.64583333333)</f>
        <v>43213.64583</v>
      </c>
      <c r="B1548" s="1">
        <f>IFERROR(__xludf.DUMMYFUNCTION("""COMPUTED_VALUE"""),96400.0)</f>
        <v>96400</v>
      </c>
      <c r="C1548" s="1">
        <f>IFERROR(__xludf.DUMMYFUNCTION("""COMPUTED_VALUE"""),96600.0)</f>
        <v>96600</v>
      </c>
      <c r="D1548" s="1">
        <f>IFERROR(__xludf.DUMMYFUNCTION("""COMPUTED_VALUE"""),96000.0)</f>
        <v>96000</v>
      </c>
      <c r="E1548" s="1">
        <f>IFERROR(__xludf.DUMMYFUNCTION("""COMPUTED_VALUE"""),96200.0)</f>
        <v>96200</v>
      </c>
      <c r="F1548" s="1">
        <f>IFERROR(__xludf.DUMMYFUNCTION("""COMPUTED_VALUE"""),6916.0)</f>
        <v>6916</v>
      </c>
    </row>
    <row r="1549">
      <c r="A1549" s="2">
        <f>IFERROR(__xludf.DUMMYFUNCTION("""COMPUTED_VALUE"""),43214.64583333333)</f>
        <v>43214.64583</v>
      </c>
      <c r="B1549" s="1">
        <f>IFERROR(__xludf.DUMMYFUNCTION("""COMPUTED_VALUE"""),96400.0)</f>
        <v>96400</v>
      </c>
      <c r="C1549" s="1">
        <f>IFERROR(__xludf.DUMMYFUNCTION("""COMPUTED_VALUE"""),96400.0)</f>
        <v>96400</v>
      </c>
      <c r="D1549" s="1">
        <f>IFERROR(__xludf.DUMMYFUNCTION("""COMPUTED_VALUE"""),95600.0)</f>
        <v>95600</v>
      </c>
      <c r="E1549" s="1">
        <f>IFERROR(__xludf.DUMMYFUNCTION("""COMPUTED_VALUE"""),96000.0)</f>
        <v>96000</v>
      </c>
      <c r="F1549" s="1">
        <f>IFERROR(__xludf.DUMMYFUNCTION("""COMPUTED_VALUE"""),6311.0)</f>
        <v>6311</v>
      </c>
    </row>
    <row r="1550">
      <c r="A1550" s="2">
        <f>IFERROR(__xludf.DUMMYFUNCTION("""COMPUTED_VALUE"""),43215.64583333333)</f>
        <v>43215.64583</v>
      </c>
      <c r="B1550" s="1">
        <f>IFERROR(__xludf.DUMMYFUNCTION("""COMPUTED_VALUE"""),95700.0)</f>
        <v>95700</v>
      </c>
      <c r="C1550" s="1">
        <f>IFERROR(__xludf.DUMMYFUNCTION("""COMPUTED_VALUE"""),95800.0)</f>
        <v>95800</v>
      </c>
      <c r="D1550" s="1">
        <f>IFERROR(__xludf.DUMMYFUNCTION("""COMPUTED_VALUE"""),93500.0)</f>
        <v>93500</v>
      </c>
      <c r="E1550" s="1">
        <f>IFERROR(__xludf.DUMMYFUNCTION("""COMPUTED_VALUE"""),94100.0)</f>
        <v>94100</v>
      </c>
      <c r="F1550" s="1">
        <f>IFERROR(__xludf.DUMMYFUNCTION("""COMPUTED_VALUE"""),38611.0)</f>
        <v>38611</v>
      </c>
    </row>
    <row r="1551">
      <c r="A1551" s="2">
        <f>IFERROR(__xludf.DUMMYFUNCTION("""COMPUTED_VALUE"""),43216.64583333333)</f>
        <v>43216.64583</v>
      </c>
      <c r="B1551" s="1">
        <f>IFERROR(__xludf.DUMMYFUNCTION("""COMPUTED_VALUE"""),94000.0)</f>
        <v>94000</v>
      </c>
      <c r="C1551" s="1">
        <f>IFERROR(__xludf.DUMMYFUNCTION("""COMPUTED_VALUE"""),94400.0)</f>
        <v>94400</v>
      </c>
      <c r="D1551" s="1">
        <f>IFERROR(__xludf.DUMMYFUNCTION("""COMPUTED_VALUE"""),93500.0)</f>
        <v>93500</v>
      </c>
      <c r="E1551" s="1">
        <f>IFERROR(__xludf.DUMMYFUNCTION("""COMPUTED_VALUE"""),94300.0)</f>
        <v>94300</v>
      </c>
      <c r="F1551" s="1">
        <f>IFERROR(__xludf.DUMMYFUNCTION("""COMPUTED_VALUE"""),20203.0)</f>
        <v>20203</v>
      </c>
    </row>
    <row r="1552">
      <c r="A1552" s="2">
        <f>IFERROR(__xludf.DUMMYFUNCTION("""COMPUTED_VALUE"""),43217.64583333333)</f>
        <v>43217.64583</v>
      </c>
      <c r="B1552" s="1">
        <f>IFERROR(__xludf.DUMMYFUNCTION("""COMPUTED_VALUE"""),94000.0)</f>
        <v>94000</v>
      </c>
      <c r="C1552" s="1">
        <f>IFERROR(__xludf.DUMMYFUNCTION("""COMPUTED_VALUE"""),94800.0)</f>
        <v>94800</v>
      </c>
      <c r="D1552" s="1">
        <f>IFERROR(__xludf.DUMMYFUNCTION("""COMPUTED_VALUE"""),93900.0)</f>
        <v>93900</v>
      </c>
      <c r="E1552" s="1">
        <f>IFERROR(__xludf.DUMMYFUNCTION("""COMPUTED_VALUE"""),93900.0)</f>
        <v>93900</v>
      </c>
      <c r="F1552" s="1">
        <f>IFERROR(__xludf.DUMMYFUNCTION("""COMPUTED_VALUE"""),7751.0)</f>
        <v>7751</v>
      </c>
    </row>
    <row r="1553">
      <c r="A1553" s="2">
        <f>IFERROR(__xludf.DUMMYFUNCTION("""COMPUTED_VALUE"""),43220.64583333333)</f>
        <v>43220.64583</v>
      </c>
      <c r="B1553" s="1">
        <f>IFERROR(__xludf.DUMMYFUNCTION("""COMPUTED_VALUE"""),94300.0)</f>
        <v>94300</v>
      </c>
      <c r="C1553" s="1">
        <f>IFERROR(__xludf.DUMMYFUNCTION("""COMPUTED_VALUE"""),94600.0)</f>
        <v>94600</v>
      </c>
      <c r="D1553" s="1">
        <f>IFERROR(__xludf.DUMMYFUNCTION("""COMPUTED_VALUE"""),94100.0)</f>
        <v>94100</v>
      </c>
      <c r="E1553" s="1">
        <f>IFERROR(__xludf.DUMMYFUNCTION("""COMPUTED_VALUE"""),94600.0)</f>
        <v>94600</v>
      </c>
      <c r="F1553" s="1">
        <f>IFERROR(__xludf.DUMMYFUNCTION("""COMPUTED_VALUE"""),5392.0)</f>
        <v>5392</v>
      </c>
    </row>
    <row r="1554">
      <c r="A1554" s="2">
        <f>IFERROR(__xludf.DUMMYFUNCTION("""COMPUTED_VALUE"""),43222.64583333333)</f>
        <v>43222.64583</v>
      </c>
      <c r="B1554" s="1">
        <f>IFERROR(__xludf.DUMMYFUNCTION("""COMPUTED_VALUE"""),94600.0)</f>
        <v>94600</v>
      </c>
      <c r="C1554" s="1">
        <f>IFERROR(__xludf.DUMMYFUNCTION("""COMPUTED_VALUE"""),95000.0)</f>
        <v>95000</v>
      </c>
      <c r="D1554" s="1">
        <f>IFERROR(__xludf.DUMMYFUNCTION("""COMPUTED_VALUE"""),94000.0)</f>
        <v>94000</v>
      </c>
      <c r="E1554" s="1">
        <f>IFERROR(__xludf.DUMMYFUNCTION("""COMPUTED_VALUE"""),94400.0)</f>
        <v>94400</v>
      </c>
      <c r="F1554" s="1">
        <f>IFERROR(__xludf.DUMMYFUNCTION("""COMPUTED_VALUE"""),8111.0)</f>
        <v>8111</v>
      </c>
    </row>
    <row r="1555">
      <c r="A1555" s="2">
        <f>IFERROR(__xludf.DUMMYFUNCTION("""COMPUTED_VALUE"""),43223.64583333333)</f>
        <v>43223.64583</v>
      </c>
      <c r="B1555" s="1">
        <f>IFERROR(__xludf.DUMMYFUNCTION("""COMPUTED_VALUE"""),94500.0)</f>
        <v>94500</v>
      </c>
      <c r="C1555" s="1">
        <f>IFERROR(__xludf.DUMMYFUNCTION("""COMPUTED_VALUE"""),95500.0)</f>
        <v>95500</v>
      </c>
      <c r="D1555" s="1">
        <f>IFERROR(__xludf.DUMMYFUNCTION("""COMPUTED_VALUE"""),94300.0)</f>
        <v>94300</v>
      </c>
      <c r="E1555" s="1">
        <f>IFERROR(__xludf.DUMMYFUNCTION("""COMPUTED_VALUE"""),95200.0)</f>
        <v>95200</v>
      </c>
      <c r="F1555" s="1">
        <f>IFERROR(__xludf.DUMMYFUNCTION("""COMPUTED_VALUE"""),9894.0)</f>
        <v>9894</v>
      </c>
    </row>
    <row r="1556">
      <c r="A1556" s="2">
        <f>IFERROR(__xludf.DUMMYFUNCTION("""COMPUTED_VALUE"""),43224.64583333333)</f>
        <v>43224.64583</v>
      </c>
      <c r="B1556" s="1">
        <f>IFERROR(__xludf.DUMMYFUNCTION("""COMPUTED_VALUE"""),95300.0)</f>
        <v>95300</v>
      </c>
      <c r="C1556" s="1">
        <f>IFERROR(__xludf.DUMMYFUNCTION("""COMPUTED_VALUE"""),95300.0)</f>
        <v>95300</v>
      </c>
      <c r="D1556" s="1">
        <f>IFERROR(__xludf.DUMMYFUNCTION("""COMPUTED_VALUE"""),94000.0)</f>
        <v>94000</v>
      </c>
      <c r="E1556" s="1">
        <f>IFERROR(__xludf.DUMMYFUNCTION("""COMPUTED_VALUE"""),94200.0)</f>
        <v>94200</v>
      </c>
      <c r="F1556" s="1">
        <f>IFERROR(__xludf.DUMMYFUNCTION("""COMPUTED_VALUE"""),5636.0)</f>
        <v>5636</v>
      </c>
    </row>
    <row r="1557">
      <c r="A1557" s="2">
        <f>IFERROR(__xludf.DUMMYFUNCTION("""COMPUTED_VALUE"""),43228.64583333333)</f>
        <v>43228.64583</v>
      </c>
      <c r="B1557" s="1">
        <f>IFERROR(__xludf.DUMMYFUNCTION("""COMPUTED_VALUE"""),94500.0)</f>
        <v>94500</v>
      </c>
      <c r="C1557" s="1">
        <f>IFERROR(__xludf.DUMMYFUNCTION("""COMPUTED_VALUE"""),94500.0)</f>
        <v>94500</v>
      </c>
      <c r="D1557" s="1">
        <f>IFERROR(__xludf.DUMMYFUNCTION("""COMPUTED_VALUE"""),93100.0)</f>
        <v>93100</v>
      </c>
      <c r="E1557" s="1">
        <f>IFERROR(__xludf.DUMMYFUNCTION("""COMPUTED_VALUE"""),93100.0)</f>
        <v>93100</v>
      </c>
      <c r="F1557" s="1">
        <f>IFERROR(__xludf.DUMMYFUNCTION("""COMPUTED_VALUE"""),10640.0)</f>
        <v>10640</v>
      </c>
    </row>
    <row r="1558">
      <c r="A1558" s="2">
        <f>IFERROR(__xludf.DUMMYFUNCTION("""COMPUTED_VALUE"""),43229.64583333333)</f>
        <v>43229.64583</v>
      </c>
      <c r="B1558" s="1">
        <f>IFERROR(__xludf.DUMMYFUNCTION("""COMPUTED_VALUE"""),93400.0)</f>
        <v>93400</v>
      </c>
      <c r="C1558" s="1">
        <f>IFERROR(__xludf.DUMMYFUNCTION("""COMPUTED_VALUE"""),94400.0)</f>
        <v>94400</v>
      </c>
      <c r="D1558" s="1">
        <f>IFERROR(__xludf.DUMMYFUNCTION("""COMPUTED_VALUE"""),93000.0)</f>
        <v>93000</v>
      </c>
      <c r="E1558" s="1">
        <f>IFERROR(__xludf.DUMMYFUNCTION("""COMPUTED_VALUE"""),93300.0)</f>
        <v>93300</v>
      </c>
      <c r="F1558" s="1">
        <f>IFERROR(__xludf.DUMMYFUNCTION("""COMPUTED_VALUE"""),8037.0)</f>
        <v>8037</v>
      </c>
    </row>
    <row r="1559">
      <c r="A1559" s="2">
        <f>IFERROR(__xludf.DUMMYFUNCTION("""COMPUTED_VALUE"""),43230.64583333333)</f>
        <v>43230.64583</v>
      </c>
      <c r="B1559" s="1">
        <f>IFERROR(__xludf.DUMMYFUNCTION("""COMPUTED_VALUE"""),93000.0)</f>
        <v>93000</v>
      </c>
      <c r="C1559" s="1">
        <f>IFERROR(__xludf.DUMMYFUNCTION("""COMPUTED_VALUE"""),94100.0)</f>
        <v>94100</v>
      </c>
      <c r="D1559" s="1">
        <f>IFERROR(__xludf.DUMMYFUNCTION("""COMPUTED_VALUE"""),93000.0)</f>
        <v>93000</v>
      </c>
      <c r="E1559" s="1">
        <f>IFERROR(__xludf.DUMMYFUNCTION("""COMPUTED_VALUE"""),93400.0)</f>
        <v>93400</v>
      </c>
      <c r="F1559" s="1">
        <f>IFERROR(__xludf.DUMMYFUNCTION("""COMPUTED_VALUE"""),7859.0)</f>
        <v>7859</v>
      </c>
    </row>
    <row r="1560">
      <c r="A1560" s="2">
        <f>IFERROR(__xludf.DUMMYFUNCTION("""COMPUTED_VALUE"""),43231.64583333333)</f>
        <v>43231.64583</v>
      </c>
      <c r="B1560" s="1">
        <f>IFERROR(__xludf.DUMMYFUNCTION("""COMPUTED_VALUE"""),94000.0)</f>
        <v>94000</v>
      </c>
      <c r="C1560" s="1">
        <f>IFERROR(__xludf.DUMMYFUNCTION("""COMPUTED_VALUE"""),94000.0)</f>
        <v>94000</v>
      </c>
      <c r="D1560" s="1">
        <f>IFERROR(__xludf.DUMMYFUNCTION("""COMPUTED_VALUE"""),93300.0)</f>
        <v>93300</v>
      </c>
      <c r="E1560" s="1">
        <f>IFERROR(__xludf.DUMMYFUNCTION("""COMPUTED_VALUE"""),93500.0)</f>
        <v>93500</v>
      </c>
      <c r="F1560" s="1">
        <f>IFERROR(__xludf.DUMMYFUNCTION("""COMPUTED_VALUE"""),6559.0)</f>
        <v>6559</v>
      </c>
    </row>
    <row r="1561">
      <c r="A1561" s="2">
        <f>IFERROR(__xludf.DUMMYFUNCTION("""COMPUTED_VALUE"""),43234.64583333333)</f>
        <v>43234.64583</v>
      </c>
      <c r="B1561" s="1">
        <f>IFERROR(__xludf.DUMMYFUNCTION("""COMPUTED_VALUE"""),93500.0)</f>
        <v>93500</v>
      </c>
      <c r="C1561" s="1">
        <f>IFERROR(__xludf.DUMMYFUNCTION("""COMPUTED_VALUE"""),94600.0)</f>
        <v>94600</v>
      </c>
      <c r="D1561" s="1">
        <f>IFERROR(__xludf.DUMMYFUNCTION("""COMPUTED_VALUE"""),92900.0)</f>
        <v>92900</v>
      </c>
      <c r="E1561" s="1">
        <f>IFERROR(__xludf.DUMMYFUNCTION("""COMPUTED_VALUE"""),93500.0)</f>
        <v>93500</v>
      </c>
      <c r="F1561" s="1">
        <f>IFERROR(__xludf.DUMMYFUNCTION("""COMPUTED_VALUE"""),16296.0)</f>
        <v>16296</v>
      </c>
    </row>
    <row r="1562">
      <c r="A1562" s="2">
        <f>IFERROR(__xludf.DUMMYFUNCTION("""COMPUTED_VALUE"""),43235.64583333333)</f>
        <v>43235.64583</v>
      </c>
      <c r="B1562" s="1">
        <f>IFERROR(__xludf.DUMMYFUNCTION("""COMPUTED_VALUE"""),93800.0)</f>
        <v>93800</v>
      </c>
      <c r="C1562" s="1">
        <f>IFERROR(__xludf.DUMMYFUNCTION("""COMPUTED_VALUE"""),93800.0)</f>
        <v>93800</v>
      </c>
      <c r="D1562" s="1">
        <f>IFERROR(__xludf.DUMMYFUNCTION("""COMPUTED_VALUE"""),92900.0)</f>
        <v>92900</v>
      </c>
      <c r="E1562" s="1">
        <f>IFERROR(__xludf.DUMMYFUNCTION("""COMPUTED_VALUE"""),93000.0)</f>
        <v>93000</v>
      </c>
      <c r="F1562" s="1">
        <f>IFERROR(__xludf.DUMMYFUNCTION("""COMPUTED_VALUE"""),6645.0)</f>
        <v>6645</v>
      </c>
    </row>
    <row r="1563">
      <c r="A1563" s="2">
        <f>IFERROR(__xludf.DUMMYFUNCTION("""COMPUTED_VALUE"""),43236.64583333333)</f>
        <v>43236.64583</v>
      </c>
      <c r="B1563" s="1">
        <f>IFERROR(__xludf.DUMMYFUNCTION("""COMPUTED_VALUE"""),94000.0)</f>
        <v>94000</v>
      </c>
      <c r="C1563" s="1">
        <f>IFERROR(__xludf.DUMMYFUNCTION("""COMPUTED_VALUE"""),94000.0)</f>
        <v>94000</v>
      </c>
      <c r="D1563" s="1">
        <f>IFERROR(__xludf.DUMMYFUNCTION("""COMPUTED_VALUE"""),91600.0)</f>
        <v>91600</v>
      </c>
      <c r="E1563" s="1">
        <f>IFERROR(__xludf.DUMMYFUNCTION("""COMPUTED_VALUE"""),92300.0)</f>
        <v>92300</v>
      </c>
      <c r="F1563" s="1">
        <f>IFERROR(__xludf.DUMMYFUNCTION("""COMPUTED_VALUE"""),19819.0)</f>
        <v>19819</v>
      </c>
    </row>
    <row r="1564">
      <c r="A1564" s="2">
        <f>IFERROR(__xludf.DUMMYFUNCTION("""COMPUTED_VALUE"""),43237.64583333333)</f>
        <v>43237.64583</v>
      </c>
      <c r="B1564" s="1">
        <f>IFERROR(__xludf.DUMMYFUNCTION("""COMPUTED_VALUE"""),92300.0)</f>
        <v>92300</v>
      </c>
      <c r="C1564" s="1">
        <f>IFERROR(__xludf.DUMMYFUNCTION("""COMPUTED_VALUE"""),93300.0)</f>
        <v>93300</v>
      </c>
      <c r="D1564" s="1">
        <f>IFERROR(__xludf.DUMMYFUNCTION("""COMPUTED_VALUE"""),91700.0)</f>
        <v>91700</v>
      </c>
      <c r="E1564" s="1">
        <f>IFERROR(__xludf.DUMMYFUNCTION("""COMPUTED_VALUE"""),92500.0)</f>
        <v>92500</v>
      </c>
      <c r="F1564" s="1">
        <f>IFERROR(__xludf.DUMMYFUNCTION("""COMPUTED_VALUE"""),11026.0)</f>
        <v>11026</v>
      </c>
    </row>
    <row r="1565">
      <c r="A1565" s="2">
        <f>IFERROR(__xludf.DUMMYFUNCTION("""COMPUTED_VALUE"""),43238.64583333333)</f>
        <v>43238.64583</v>
      </c>
      <c r="B1565" s="1">
        <f>IFERROR(__xludf.DUMMYFUNCTION("""COMPUTED_VALUE"""),93000.0)</f>
        <v>93000</v>
      </c>
      <c r="C1565" s="1">
        <f>IFERROR(__xludf.DUMMYFUNCTION("""COMPUTED_VALUE"""),94500.0)</f>
        <v>94500</v>
      </c>
      <c r="D1565" s="1">
        <f>IFERROR(__xludf.DUMMYFUNCTION("""COMPUTED_VALUE"""),92500.0)</f>
        <v>92500</v>
      </c>
      <c r="E1565" s="1">
        <f>IFERROR(__xludf.DUMMYFUNCTION("""COMPUTED_VALUE"""),94500.0)</f>
        <v>94500</v>
      </c>
      <c r="F1565" s="1">
        <f>IFERROR(__xludf.DUMMYFUNCTION("""COMPUTED_VALUE"""),11617.0)</f>
        <v>11617</v>
      </c>
    </row>
    <row r="1566">
      <c r="A1566" s="2">
        <f>IFERROR(__xludf.DUMMYFUNCTION("""COMPUTED_VALUE"""),43241.64583333333)</f>
        <v>43241.64583</v>
      </c>
      <c r="B1566" s="1">
        <f>IFERROR(__xludf.DUMMYFUNCTION("""COMPUTED_VALUE"""),94800.0)</f>
        <v>94800</v>
      </c>
      <c r="C1566" s="1">
        <f>IFERROR(__xludf.DUMMYFUNCTION("""COMPUTED_VALUE"""),95300.0)</f>
        <v>95300</v>
      </c>
      <c r="D1566" s="1">
        <f>IFERROR(__xludf.DUMMYFUNCTION("""COMPUTED_VALUE"""),94000.0)</f>
        <v>94000</v>
      </c>
      <c r="E1566" s="1">
        <f>IFERROR(__xludf.DUMMYFUNCTION("""COMPUTED_VALUE"""),95000.0)</f>
        <v>95000</v>
      </c>
      <c r="F1566" s="1">
        <f>IFERROR(__xludf.DUMMYFUNCTION("""COMPUTED_VALUE"""),12149.0)</f>
        <v>12149</v>
      </c>
    </row>
    <row r="1567">
      <c r="A1567" s="2">
        <f>IFERROR(__xludf.DUMMYFUNCTION("""COMPUTED_VALUE"""),43243.64583333333)</f>
        <v>43243.64583</v>
      </c>
      <c r="B1567" s="1">
        <f>IFERROR(__xludf.DUMMYFUNCTION("""COMPUTED_VALUE"""),95100.0)</f>
        <v>95100</v>
      </c>
      <c r="C1567" s="1">
        <f>IFERROR(__xludf.DUMMYFUNCTION("""COMPUTED_VALUE"""),95300.0)</f>
        <v>95300</v>
      </c>
      <c r="D1567" s="1">
        <f>IFERROR(__xludf.DUMMYFUNCTION("""COMPUTED_VALUE"""),94600.0)</f>
        <v>94600</v>
      </c>
      <c r="E1567" s="1">
        <f>IFERROR(__xludf.DUMMYFUNCTION("""COMPUTED_VALUE"""),94600.0)</f>
        <v>94600</v>
      </c>
      <c r="F1567" s="1">
        <f>IFERROR(__xludf.DUMMYFUNCTION("""COMPUTED_VALUE"""),10763.0)</f>
        <v>10763</v>
      </c>
    </row>
    <row r="1568">
      <c r="A1568" s="2">
        <f>IFERROR(__xludf.DUMMYFUNCTION("""COMPUTED_VALUE"""),43244.64583333333)</f>
        <v>43244.64583</v>
      </c>
      <c r="B1568" s="1">
        <f>IFERROR(__xludf.DUMMYFUNCTION("""COMPUTED_VALUE"""),94600.0)</f>
        <v>94600</v>
      </c>
      <c r="C1568" s="1">
        <f>IFERROR(__xludf.DUMMYFUNCTION("""COMPUTED_VALUE"""),95200.0)</f>
        <v>95200</v>
      </c>
      <c r="D1568" s="1">
        <f>IFERROR(__xludf.DUMMYFUNCTION("""COMPUTED_VALUE"""),94400.0)</f>
        <v>94400</v>
      </c>
      <c r="E1568" s="1">
        <f>IFERROR(__xludf.DUMMYFUNCTION("""COMPUTED_VALUE"""),94800.0)</f>
        <v>94800</v>
      </c>
      <c r="F1568" s="1">
        <f>IFERROR(__xludf.DUMMYFUNCTION("""COMPUTED_VALUE"""),6318.0)</f>
        <v>6318</v>
      </c>
    </row>
    <row r="1569">
      <c r="A1569" s="2">
        <f>IFERROR(__xludf.DUMMYFUNCTION("""COMPUTED_VALUE"""),43245.64583333333)</f>
        <v>43245.64583</v>
      </c>
      <c r="B1569" s="1">
        <f>IFERROR(__xludf.DUMMYFUNCTION("""COMPUTED_VALUE"""),95200.0)</f>
        <v>95200</v>
      </c>
      <c r="C1569" s="1">
        <f>IFERROR(__xludf.DUMMYFUNCTION("""COMPUTED_VALUE"""),95200.0)</f>
        <v>95200</v>
      </c>
      <c r="D1569" s="1">
        <f>IFERROR(__xludf.DUMMYFUNCTION("""COMPUTED_VALUE"""),93300.0)</f>
        <v>93300</v>
      </c>
      <c r="E1569" s="1">
        <f>IFERROR(__xludf.DUMMYFUNCTION("""COMPUTED_VALUE"""),94000.0)</f>
        <v>94000</v>
      </c>
      <c r="F1569" s="1">
        <f>IFERROR(__xludf.DUMMYFUNCTION("""COMPUTED_VALUE"""),7459.0)</f>
        <v>7459</v>
      </c>
    </row>
    <row r="1570">
      <c r="A1570" s="2">
        <f>IFERROR(__xludf.DUMMYFUNCTION("""COMPUTED_VALUE"""),43248.64583333333)</f>
        <v>43248.64583</v>
      </c>
      <c r="B1570" s="1">
        <f>IFERROR(__xludf.DUMMYFUNCTION("""COMPUTED_VALUE"""),94900.0)</f>
        <v>94900</v>
      </c>
      <c r="C1570" s="1">
        <f>IFERROR(__xludf.DUMMYFUNCTION("""COMPUTED_VALUE"""),94900.0)</f>
        <v>94900</v>
      </c>
      <c r="D1570" s="1">
        <f>IFERROR(__xludf.DUMMYFUNCTION("""COMPUTED_VALUE"""),92900.0)</f>
        <v>92900</v>
      </c>
      <c r="E1570" s="1">
        <f>IFERROR(__xludf.DUMMYFUNCTION("""COMPUTED_VALUE"""),94200.0)</f>
        <v>94200</v>
      </c>
      <c r="F1570" s="1">
        <f>IFERROR(__xludf.DUMMYFUNCTION("""COMPUTED_VALUE"""),9241.0)</f>
        <v>9241</v>
      </c>
    </row>
    <row r="1571">
      <c r="A1571" s="2">
        <f>IFERROR(__xludf.DUMMYFUNCTION("""COMPUTED_VALUE"""),43249.64583333333)</f>
        <v>43249.64583</v>
      </c>
      <c r="B1571" s="1">
        <f>IFERROR(__xludf.DUMMYFUNCTION("""COMPUTED_VALUE"""),93800.0)</f>
        <v>93800</v>
      </c>
      <c r="C1571" s="1">
        <f>IFERROR(__xludf.DUMMYFUNCTION("""COMPUTED_VALUE"""),94700.0)</f>
        <v>94700</v>
      </c>
      <c r="D1571" s="1">
        <f>IFERROR(__xludf.DUMMYFUNCTION("""COMPUTED_VALUE"""),93800.0)</f>
        <v>93800</v>
      </c>
      <c r="E1571" s="1">
        <f>IFERROR(__xludf.DUMMYFUNCTION("""COMPUTED_VALUE"""),94700.0)</f>
        <v>94700</v>
      </c>
      <c r="F1571" s="1">
        <f>IFERROR(__xludf.DUMMYFUNCTION("""COMPUTED_VALUE"""),4961.0)</f>
        <v>4961</v>
      </c>
    </row>
    <row r="1572">
      <c r="A1572" s="2">
        <f>IFERROR(__xludf.DUMMYFUNCTION("""COMPUTED_VALUE"""),43250.64583333333)</f>
        <v>43250.64583</v>
      </c>
      <c r="B1572" s="1">
        <f>IFERROR(__xludf.DUMMYFUNCTION("""COMPUTED_VALUE"""),94700.0)</f>
        <v>94700</v>
      </c>
      <c r="C1572" s="1">
        <f>IFERROR(__xludf.DUMMYFUNCTION("""COMPUTED_VALUE"""),94700.0)</f>
        <v>94700</v>
      </c>
      <c r="D1572" s="1">
        <f>IFERROR(__xludf.DUMMYFUNCTION("""COMPUTED_VALUE"""),92700.0)</f>
        <v>92700</v>
      </c>
      <c r="E1572" s="1">
        <f>IFERROR(__xludf.DUMMYFUNCTION("""COMPUTED_VALUE"""),93400.0)</f>
        <v>93400</v>
      </c>
      <c r="F1572" s="1">
        <f>IFERROR(__xludf.DUMMYFUNCTION("""COMPUTED_VALUE"""),9683.0)</f>
        <v>9683</v>
      </c>
    </row>
    <row r="1573">
      <c r="A1573" s="2">
        <f>IFERROR(__xludf.DUMMYFUNCTION("""COMPUTED_VALUE"""),43251.64583333333)</f>
        <v>43251.64583</v>
      </c>
      <c r="B1573" s="1">
        <f>IFERROR(__xludf.DUMMYFUNCTION("""COMPUTED_VALUE"""),93900.0)</f>
        <v>93900</v>
      </c>
      <c r="C1573" s="1">
        <f>IFERROR(__xludf.DUMMYFUNCTION("""COMPUTED_VALUE"""),93900.0)</f>
        <v>93900</v>
      </c>
      <c r="D1573" s="1">
        <f>IFERROR(__xludf.DUMMYFUNCTION("""COMPUTED_VALUE"""),93100.0)</f>
        <v>93100</v>
      </c>
      <c r="E1573" s="1">
        <f>IFERROR(__xludf.DUMMYFUNCTION("""COMPUTED_VALUE"""),93400.0)</f>
        <v>93400</v>
      </c>
      <c r="F1573" s="1">
        <f>IFERROR(__xludf.DUMMYFUNCTION("""COMPUTED_VALUE"""),5097.0)</f>
        <v>5097</v>
      </c>
    </row>
    <row r="1574">
      <c r="A1574" s="2">
        <f>IFERROR(__xludf.DUMMYFUNCTION("""COMPUTED_VALUE"""),43252.64583333333)</f>
        <v>43252.64583</v>
      </c>
      <c r="B1574" s="1">
        <f>IFERROR(__xludf.DUMMYFUNCTION("""COMPUTED_VALUE"""),93800.0)</f>
        <v>93800</v>
      </c>
      <c r="C1574" s="1">
        <f>IFERROR(__xludf.DUMMYFUNCTION("""COMPUTED_VALUE"""),93800.0)</f>
        <v>93800</v>
      </c>
      <c r="D1574" s="1">
        <f>IFERROR(__xludf.DUMMYFUNCTION("""COMPUTED_VALUE"""),92500.0)</f>
        <v>92500</v>
      </c>
      <c r="E1574" s="1">
        <f>IFERROR(__xludf.DUMMYFUNCTION("""COMPUTED_VALUE"""),92500.0)</f>
        <v>92500</v>
      </c>
      <c r="F1574" s="1">
        <f>IFERROR(__xludf.DUMMYFUNCTION("""COMPUTED_VALUE"""),6516.0)</f>
        <v>6516</v>
      </c>
    </row>
    <row r="1575">
      <c r="A1575" s="2">
        <f>IFERROR(__xludf.DUMMYFUNCTION("""COMPUTED_VALUE"""),43255.64583333333)</f>
        <v>43255.64583</v>
      </c>
      <c r="B1575" s="1">
        <f>IFERROR(__xludf.DUMMYFUNCTION("""COMPUTED_VALUE"""),93100.0)</f>
        <v>93100</v>
      </c>
      <c r="C1575" s="1">
        <f>IFERROR(__xludf.DUMMYFUNCTION("""COMPUTED_VALUE"""),93300.0)</f>
        <v>93300</v>
      </c>
      <c r="D1575" s="1">
        <f>IFERROR(__xludf.DUMMYFUNCTION("""COMPUTED_VALUE"""),92400.0)</f>
        <v>92400</v>
      </c>
      <c r="E1575" s="1">
        <f>IFERROR(__xludf.DUMMYFUNCTION("""COMPUTED_VALUE"""),93200.0)</f>
        <v>93200</v>
      </c>
      <c r="F1575" s="1">
        <f>IFERROR(__xludf.DUMMYFUNCTION("""COMPUTED_VALUE"""),2812.0)</f>
        <v>2812</v>
      </c>
    </row>
    <row r="1576">
      <c r="A1576" s="2">
        <f>IFERROR(__xludf.DUMMYFUNCTION("""COMPUTED_VALUE"""),43256.64583333333)</f>
        <v>43256.64583</v>
      </c>
      <c r="B1576" s="1">
        <f>IFERROR(__xludf.DUMMYFUNCTION("""COMPUTED_VALUE"""),92800.0)</f>
        <v>92800</v>
      </c>
      <c r="C1576" s="1">
        <f>IFERROR(__xludf.DUMMYFUNCTION("""COMPUTED_VALUE"""),93400.0)</f>
        <v>93400</v>
      </c>
      <c r="D1576" s="1">
        <f>IFERROR(__xludf.DUMMYFUNCTION("""COMPUTED_VALUE"""),92600.0)</f>
        <v>92600</v>
      </c>
      <c r="E1576" s="1">
        <f>IFERROR(__xludf.DUMMYFUNCTION("""COMPUTED_VALUE"""),93400.0)</f>
        <v>93400</v>
      </c>
      <c r="F1576" s="1">
        <f>IFERROR(__xludf.DUMMYFUNCTION("""COMPUTED_VALUE"""),2430.0)</f>
        <v>2430</v>
      </c>
    </row>
    <row r="1577">
      <c r="A1577" s="2">
        <f>IFERROR(__xludf.DUMMYFUNCTION("""COMPUTED_VALUE"""),43259.64583333333)</f>
        <v>43259.64583</v>
      </c>
      <c r="B1577" s="1">
        <f>IFERROR(__xludf.DUMMYFUNCTION("""COMPUTED_VALUE"""),95400.0)</f>
        <v>95400</v>
      </c>
      <c r="C1577" s="1">
        <f>IFERROR(__xludf.DUMMYFUNCTION("""COMPUTED_VALUE"""),95400.0)</f>
        <v>95400</v>
      </c>
      <c r="D1577" s="1">
        <f>IFERROR(__xludf.DUMMYFUNCTION("""COMPUTED_VALUE"""),94300.0)</f>
        <v>94300</v>
      </c>
      <c r="E1577" s="1">
        <f>IFERROR(__xludf.DUMMYFUNCTION("""COMPUTED_VALUE"""),95000.0)</f>
        <v>95000</v>
      </c>
      <c r="F1577" s="1">
        <f>IFERROR(__xludf.DUMMYFUNCTION("""COMPUTED_VALUE"""),2802.0)</f>
        <v>2802</v>
      </c>
    </row>
    <row r="1578">
      <c r="A1578" s="2">
        <f>IFERROR(__xludf.DUMMYFUNCTION("""COMPUTED_VALUE"""),43262.64583333333)</f>
        <v>43262.64583</v>
      </c>
      <c r="B1578" s="1">
        <f>IFERROR(__xludf.DUMMYFUNCTION("""COMPUTED_VALUE"""),95400.0)</f>
        <v>95400</v>
      </c>
      <c r="C1578" s="1">
        <f>IFERROR(__xludf.DUMMYFUNCTION("""COMPUTED_VALUE"""),95400.0)</f>
        <v>95400</v>
      </c>
      <c r="D1578" s="1">
        <f>IFERROR(__xludf.DUMMYFUNCTION("""COMPUTED_VALUE"""),94400.0)</f>
        <v>94400</v>
      </c>
      <c r="E1578" s="1">
        <f>IFERROR(__xludf.DUMMYFUNCTION("""COMPUTED_VALUE"""),95200.0)</f>
        <v>95200</v>
      </c>
      <c r="F1578" s="1">
        <f>IFERROR(__xludf.DUMMYFUNCTION("""COMPUTED_VALUE"""),4251.0)</f>
        <v>4251</v>
      </c>
    </row>
    <row r="1579">
      <c r="A1579" s="2">
        <f>IFERROR(__xludf.DUMMYFUNCTION("""COMPUTED_VALUE"""),43263.64583333333)</f>
        <v>43263.64583</v>
      </c>
      <c r="B1579" s="1">
        <f>IFERROR(__xludf.DUMMYFUNCTION("""COMPUTED_VALUE"""),95400.0)</f>
        <v>95400</v>
      </c>
      <c r="C1579" s="1">
        <f>IFERROR(__xludf.DUMMYFUNCTION("""COMPUTED_VALUE"""),95600.0)</f>
        <v>95600</v>
      </c>
      <c r="D1579" s="1">
        <f>IFERROR(__xludf.DUMMYFUNCTION("""COMPUTED_VALUE"""),95000.0)</f>
        <v>95000</v>
      </c>
      <c r="E1579" s="1">
        <f>IFERROR(__xludf.DUMMYFUNCTION("""COMPUTED_VALUE"""),95500.0)</f>
        <v>95500</v>
      </c>
      <c r="F1579" s="1">
        <f>IFERROR(__xludf.DUMMYFUNCTION("""COMPUTED_VALUE"""),4528.0)</f>
        <v>4528</v>
      </c>
    </row>
    <row r="1580">
      <c r="A1580" s="2">
        <f>IFERROR(__xludf.DUMMYFUNCTION("""COMPUTED_VALUE"""),43266.64583333333)</f>
        <v>43266.64583</v>
      </c>
      <c r="B1580" s="1">
        <f>IFERROR(__xludf.DUMMYFUNCTION("""COMPUTED_VALUE"""),95800.0)</f>
        <v>95800</v>
      </c>
      <c r="C1580" s="1">
        <f>IFERROR(__xludf.DUMMYFUNCTION("""COMPUTED_VALUE"""),95800.0)</f>
        <v>95800</v>
      </c>
      <c r="D1580" s="1">
        <f>IFERROR(__xludf.DUMMYFUNCTION("""COMPUTED_VALUE"""),93800.0)</f>
        <v>93800</v>
      </c>
      <c r="E1580" s="1">
        <f>IFERROR(__xludf.DUMMYFUNCTION("""COMPUTED_VALUE"""),94100.0)</f>
        <v>94100</v>
      </c>
      <c r="F1580" s="1">
        <f>IFERROR(__xludf.DUMMYFUNCTION("""COMPUTED_VALUE"""),22512.0)</f>
        <v>22512</v>
      </c>
    </row>
    <row r="1581">
      <c r="A1581" s="2">
        <f>IFERROR(__xludf.DUMMYFUNCTION("""COMPUTED_VALUE"""),43269.64583333333)</f>
        <v>43269.64583</v>
      </c>
      <c r="B1581" s="1">
        <f>IFERROR(__xludf.DUMMYFUNCTION("""COMPUTED_VALUE"""),94500.0)</f>
        <v>94500</v>
      </c>
      <c r="C1581" s="1">
        <f>IFERROR(__xludf.DUMMYFUNCTION("""COMPUTED_VALUE"""),96000.0)</f>
        <v>96000</v>
      </c>
      <c r="D1581" s="1">
        <f>IFERROR(__xludf.DUMMYFUNCTION("""COMPUTED_VALUE"""),94000.0)</f>
        <v>94000</v>
      </c>
      <c r="E1581" s="1">
        <f>IFERROR(__xludf.DUMMYFUNCTION("""COMPUTED_VALUE"""),95000.0)</f>
        <v>95000</v>
      </c>
      <c r="F1581" s="1">
        <f>IFERROR(__xludf.DUMMYFUNCTION("""COMPUTED_VALUE"""),8746.0)</f>
        <v>8746</v>
      </c>
    </row>
    <row r="1582">
      <c r="A1582" s="2">
        <f>IFERROR(__xludf.DUMMYFUNCTION("""COMPUTED_VALUE"""),43270.64583333333)</f>
        <v>43270.64583</v>
      </c>
      <c r="B1582" s="1">
        <f>IFERROR(__xludf.DUMMYFUNCTION("""COMPUTED_VALUE"""),95700.0)</f>
        <v>95700</v>
      </c>
      <c r="C1582" s="1">
        <f>IFERROR(__xludf.DUMMYFUNCTION("""COMPUTED_VALUE"""),95700.0)</f>
        <v>95700</v>
      </c>
      <c r="D1582" s="1">
        <f>IFERROR(__xludf.DUMMYFUNCTION("""COMPUTED_VALUE"""),94400.0)</f>
        <v>94400</v>
      </c>
      <c r="E1582" s="1">
        <f>IFERROR(__xludf.DUMMYFUNCTION("""COMPUTED_VALUE"""),94800.0)</f>
        <v>94800</v>
      </c>
      <c r="F1582" s="1">
        <f>IFERROR(__xludf.DUMMYFUNCTION("""COMPUTED_VALUE"""),8674.0)</f>
        <v>8674</v>
      </c>
    </row>
    <row r="1583">
      <c r="A1583" s="2">
        <f>IFERROR(__xludf.DUMMYFUNCTION("""COMPUTED_VALUE"""),43271.64583333333)</f>
        <v>43271.64583</v>
      </c>
      <c r="B1583" s="1">
        <f>IFERROR(__xludf.DUMMYFUNCTION("""COMPUTED_VALUE"""),94800.0)</f>
        <v>94800</v>
      </c>
      <c r="C1583" s="1">
        <f>IFERROR(__xludf.DUMMYFUNCTION("""COMPUTED_VALUE"""),95400.0)</f>
        <v>95400</v>
      </c>
      <c r="D1583" s="1">
        <f>IFERROR(__xludf.DUMMYFUNCTION("""COMPUTED_VALUE"""),94400.0)</f>
        <v>94400</v>
      </c>
      <c r="E1583" s="1">
        <f>IFERROR(__xludf.DUMMYFUNCTION("""COMPUTED_VALUE"""),95400.0)</f>
        <v>95400</v>
      </c>
      <c r="F1583" s="1">
        <f>IFERROR(__xludf.DUMMYFUNCTION("""COMPUTED_VALUE"""),4582.0)</f>
        <v>4582</v>
      </c>
    </row>
    <row r="1584">
      <c r="A1584" s="2">
        <f>IFERROR(__xludf.DUMMYFUNCTION("""COMPUTED_VALUE"""),43272.64583333333)</f>
        <v>43272.64583</v>
      </c>
      <c r="B1584" s="1">
        <f>IFERROR(__xludf.DUMMYFUNCTION("""COMPUTED_VALUE"""),95400.0)</f>
        <v>95400</v>
      </c>
      <c r="C1584" s="1">
        <f>IFERROR(__xludf.DUMMYFUNCTION("""COMPUTED_VALUE"""),95600.0)</f>
        <v>95600</v>
      </c>
      <c r="D1584" s="1">
        <f>IFERROR(__xludf.DUMMYFUNCTION("""COMPUTED_VALUE"""),94600.0)</f>
        <v>94600</v>
      </c>
      <c r="E1584" s="1">
        <f>IFERROR(__xludf.DUMMYFUNCTION("""COMPUTED_VALUE"""),95000.0)</f>
        <v>95000</v>
      </c>
      <c r="F1584" s="1">
        <f>IFERROR(__xludf.DUMMYFUNCTION("""COMPUTED_VALUE"""),3777.0)</f>
        <v>3777</v>
      </c>
    </row>
    <row r="1585">
      <c r="A1585" s="2">
        <f>IFERROR(__xludf.DUMMYFUNCTION("""COMPUTED_VALUE"""),43273.64583333333)</f>
        <v>43273.64583</v>
      </c>
      <c r="B1585" s="1">
        <f>IFERROR(__xludf.DUMMYFUNCTION("""COMPUTED_VALUE"""),94800.0)</f>
        <v>94800</v>
      </c>
      <c r="C1585" s="1">
        <f>IFERROR(__xludf.DUMMYFUNCTION("""COMPUTED_VALUE"""),95000.0)</f>
        <v>95000</v>
      </c>
      <c r="D1585" s="1">
        <f>IFERROR(__xludf.DUMMYFUNCTION("""COMPUTED_VALUE"""),94300.0)</f>
        <v>94300</v>
      </c>
      <c r="E1585" s="1">
        <f>IFERROR(__xludf.DUMMYFUNCTION("""COMPUTED_VALUE"""),95000.0)</f>
        <v>95000</v>
      </c>
      <c r="F1585" s="1">
        <f>IFERROR(__xludf.DUMMYFUNCTION("""COMPUTED_VALUE"""),4660.0)</f>
        <v>4660</v>
      </c>
    </row>
    <row r="1586">
      <c r="A1586" s="2">
        <f>IFERROR(__xludf.DUMMYFUNCTION("""COMPUTED_VALUE"""),43276.64583333333)</f>
        <v>43276.64583</v>
      </c>
      <c r="B1586" s="1">
        <f>IFERROR(__xludf.DUMMYFUNCTION("""COMPUTED_VALUE"""),95200.0)</f>
        <v>95200</v>
      </c>
      <c r="C1586" s="1">
        <f>IFERROR(__xludf.DUMMYFUNCTION("""COMPUTED_VALUE"""),95400.0)</f>
        <v>95400</v>
      </c>
      <c r="D1586" s="1">
        <f>IFERROR(__xludf.DUMMYFUNCTION("""COMPUTED_VALUE"""),94700.0)</f>
        <v>94700</v>
      </c>
      <c r="E1586" s="1">
        <f>IFERROR(__xludf.DUMMYFUNCTION("""COMPUTED_VALUE"""),95400.0)</f>
        <v>95400</v>
      </c>
      <c r="F1586" s="1">
        <f>IFERROR(__xludf.DUMMYFUNCTION("""COMPUTED_VALUE"""),7352.0)</f>
        <v>7352</v>
      </c>
    </row>
    <row r="1587">
      <c r="A1587" s="2">
        <f>IFERROR(__xludf.DUMMYFUNCTION("""COMPUTED_VALUE"""),43277.64583333333)</f>
        <v>43277.64583</v>
      </c>
      <c r="B1587" s="1">
        <f>IFERROR(__xludf.DUMMYFUNCTION("""COMPUTED_VALUE"""),95000.0)</f>
        <v>95000</v>
      </c>
      <c r="C1587" s="1">
        <f>IFERROR(__xludf.DUMMYFUNCTION("""COMPUTED_VALUE"""),97700.0)</f>
        <v>97700</v>
      </c>
      <c r="D1587" s="1">
        <f>IFERROR(__xludf.DUMMYFUNCTION("""COMPUTED_VALUE"""),95000.0)</f>
        <v>95000</v>
      </c>
      <c r="E1587" s="1">
        <f>IFERROR(__xludf.DUMMYFUNCTION("""COMPUTED_VALUE"""),96900.0)</f>
        <v>96900</v>
      </c>
      <c r="F1587" s="1">
        <f>IFERROR(__xludf.DUMMYFUNCTION("""COMPUTED_VALUE"""),18851.0)</f>
        <v>18851</v>
      </c>
    </row>
    <row r="1588">
      <c r="A1588" s="2">
        <f>IFERROR(__xludf.DUMMYFUNCTION("""COMPUTED_VALUE"""),43278.64583333333)</f>
        <v>43278.64583</v>
      </c>
      <c r="B1588" s="1">
        <f>IFERROR(__xludf.DUMMYFUNCTION("""COMPUTED_VALUE"""),97500.0)</f>
        <v>97500</v>
      </c>
      <c r="C1588" s="1">
        <f>IFERROR(__xludf.DUMMYFUNCTION("""COMPUTED_VALUE"""),97500.0)</f>
        <v>97500</v>
      </c>
      <c r="D1588" s="1">
        <f>IFERROR(__xludf.DUMMYFUNCTION("""COMPUTED_VALUE"""),96300.0)</f>
        <v>96300</v>
      </c>
      <c r="E1588" s="1">
        <f>IFERROR(__xludf.DUMMYFUNCTION("""COMPUTED_VALUE"""),96800.0)</f>
        <v>96800</v>
      </c>
      <c r="F1588" s="1">
        <f>IFERROR(__xludf.DUMMYFUNCTION("""COMPUTED_VALUE"""),16919.0)</f>
        <v>16919</v>
      </c>
    </row>
    <row r="1589">
      <c r="A1589" s="2">
        <f>IFERROR(__xludf.DUMMYFUNCTION("""COMPUTED_VALUE"""),43279.64583333333)</f>
        <v>43279.64583</v>
      </c>
      <c r="B1589" s="1">
        <f>IFERROR(__xludf.DUMMYFUNCTION("""COMPUTED_VALUE"""),95900.0)</f>
        <v>95900</v>
      </c>
      <c r="C1589" s="1">
        <f>IFERROR(__xludf.DUMMYFUNCTION("""COMPUTED_VALUE"""),95900.0)</f>
        <v>95900</v>
      </c>
      <c r="D1589" s="1">
        <f>IFERROR(__xludf.DUMMYFUNCTION("""COMPUTED_VALUE"""),93600.0)</f>
        <v>93600</v>
      </c>
      <c r="E1589" s="1">
        <f>IFERROR(__xludf.DUMMYFUNCTION("""COMPUTED_VALUE"""),95100.0)</f>
        <v>95100</v>
      </c>
      <c r="F1589" s="1">
        <f>IFERROR(__xludf.DUMMYFUNCTION("""COMPUTED_VALUE"""),6419.0)</f>
        <v>6419</v>
      </c>
    </row>
    <row r="1590">
      <c r="A1590" s="2">
        <f>IFERROR(__xludf.DUMMYFUNCTION("""COMPUTED_VALUE"""),43280.64583333333)</f>
        <v>43280.64583</v>
      </c>
      <c r="B1590" s="1">
        <f>IFERROR(__xludf.DUMMYFUNCTION("""COMPUTED_VALUE"""),94600.0)</f>
        <v>94600</v>
      </c>
      <c r="C1590" s="1">
        <f>IFERROR(__xludf.DUMMYFUNCTION("""COMPUTED_VALUE"""),95200.0)</f>
        <v>95200</v>
      </c>
      <c r="D1590" s="1">
        <f>IFERROR(__xludf.DUMMYFUNCTION("""COMPUTED_VALUE"""),93200.0)</f>
        <v>93200</v>
      </c>
      <c r="E1590" s="1">
        <f>IFERROR(__xludf.DUMMYFUNCTION("""COMPUTED_VALUE"""),94200.0)</f>
        <v>94200</v>
      </c>
      <c r="F1590" s="1">
        <f>IFERROR(__xludf.DUMMYFUNCTION("""COMPUTED_VALUE"""),5181.0)</f>
        <v>5181</v>
      </c>
    </row>
    <row r="1591">
      <c r="A1591" s="2">
        <f>IFERROR(__xludf.DUMMYFUNCTION("""COMPUTED_VALUE"""),43283.64583333333)</f>
        <v>43283.64583</v>
      </c>
      <c r="B1591" s="1">
        <f>IFERROR(__xludf.DUMMYFUNCTION("""COMPUTED_VALUE"""),94800.0)</f>
        <v>94800</v>
      </c>
      <c r="C1591" s="1">
        <f>IFERROR(__xludf.DUMMYFUNCTION("""COMPUTED_VALUE"""),94800.0)</f>
        <v>94800</v>
      </c>
      <c r="D1591" s="1">
        <f>IFERROR(__xludf.DUMMYFUNCTION("""COMPUTED_VALUE"""),88000.0)</f>
        <v>88000</v>
      </c>
      <c r="E1591" s="1">
        <f>IFERROR(__xludf.DUMMYFUNCTION("""COMPUTED_VALUE"""),89400.0)</f>
        <v>89400</v>
      </c>
      <c r="F1591" s="1">
        <f>IFERROR(__xludf.DUMMYFUNCTION("""COMPUTED_VALUE"""),18190.0)</f>
        <v>18190</v>
      </c>
    </row>
    <row r="1592">
      <c r="A1592" s="2">
        <f>IFERROR(__xludf.DUMMYFUNCTION("""COMPUTED_VALUE"""),43284.64583333333)</f>
        <v>43284.64583</v>
      </c>
      <c r="B1592" s="1">
        <f>IFERROR(__xludf.DUMMYFUNCTION("""COMPUTED_VALUE"""),89400.0)</f>
        <v>89400</v>
      </c>
      <c r="C1592" s="1">
        <f>IFERROR(__xludf.DUMMYFUNCTION("""COMPUTED_VALUE"""),91500.0)</f>
        <v>91500</v>
      </c>
      <c r="D1592" s="1">
        <f>IFERROR(__xludf.DUMMYFUNCTION("""COMPUTED_VALUE"""),88600.0)</f>
        <v>88600</v>
      </c>
      <c r="E1592" s="1">
        <f>IFERROR(__xludf.DUMMYFUNCTION("""COMPUTED_VALUE"""),90200.0)</f>
        <v>90200</v>
      </c>
      <c r="F1592" s="1">
        <f>IFERROR(__xludf.DUMMYFUNCTION("""COMPUTED_VALUE"""),6508.0)</f>
        <v>6508</v>
      </c>
    </row>
    <row r="1593">
      <c r="A1593" s="2">
        <f>IFERROR(__xludf.DUMMYFUNCTION("""COMPUTED_VALUE"""),43285.64583333333)</f>
        <v>43285.64583</v>
      </c>
      <c r="B1593" s="1">
        <f>IFERROR(__xludf.DUMMYFUNCTION("""COMPUTED_VALUE"""),91600.0)</f>
        <v>91600</v>
      </c>
      <c r="C1593" s="1">
        <f>IFERROR(__xludf.DUMMYFUNCTION("""COMPUTED_VALUE"""),91600.0)</f>
        <v>91600</v>
      </c>
      <c r="D1593" s="1">
        <f>IFERROR(__xludf.DUMMYFUNCTION("""COMPUTED_VALUE"""),88500.0)</f>
        <v>88500</v>
      </c>
      <c r="E1593" s="1">
        <f>IFERROR(__xludf.DUMMYFUNCTION("""COMPUTED_VALUE"""),89600.0)</f>
        <v>89600</v>
      </c>
      <c r="F1593" s="1">
        <f>IFERROR(__xludf.DUMMYFUNCTION("""COMPUTED_VALUE"""),6661.0)</f>
        <v>6661</v>
      </c>
    </row>
    <row r="1594">
      <c r="A1594" s="2">
        <f>IFERROR(__xludf.DUMMYFUNCTION("""COMPUTED_VALUE"""),43286.64583333333)</f>
        <v>43286.64583</v>
      </c>
      <c r="B1594" s="1">
        <f>IFERROR(__xludf.DUMMYFUNCTION("""COMPUTED_VALUE"""),89700.0)</f>
        <v>89700</v>
      </c>
      <c r="C1594" s="1">
        <f>IFERROR(__xludf.DUMMYFUNCTION("""COMPUTED_VALUE"""),90200.0)</f>
        <v>90200</v>
      </c>
      <c r="D1594" s="1">
        <f>IFERROR(__xludf.DUMMYFUNCTION("""COMPUTED_VALUE"""),88300.0)</f>
        <v>88300</v>
      </c>
      <c r="E1594" s="1">
        <f>IFERROR(__xludf.DUMMYFUNCTION("""COMPUTED_VALUE"""),89500.0)</f>
        <v>89500</v>
      </c>
      <c r="F1594" s="1">
        <f>IFERROR(__xludf.DUMMYFUNCTION("""COMPUTED_VALUE"""),4112.0)</f>
        <v>4112</v>
      </c>
    </row>
    <row r="1595">
      <c r="A1595" s="2">
        <f>IFERROR(__xludf.DUMMYFUNCTION("""COMPUTED_VALUE"""),43287.64583333333)</f>
        <v>43287.64583</v>
      </c>
      <c r="B1595" s="1">
        <f>IFERROR(__xludf.DUMMYFUNCTION("""COMPUTED_VALUE"""),89600.0)</f>
        <v>89600</v>
      </c>
      <c r="C1595" s="1">
        <f>IFERROR(__xludf.DUMMYFUNCTION("""COMPUTED_VALUE"""),90600.0)</f>
        <v>90600</v>
      </c>
      <c r="D1595" s="1">
        <f>IFERROR(__xludf.DUMMYFUNCTION("""COMPUTED_VALUE"""),89100.0)</f>
        <v>89100</v>
      </c>
      <c r="E1595" s="1">
        <f>IFERROR(__xludf.DUMMYFUNCTION("""COMPUTED_VALUE"""),89900.0)</f>
        <v>89900</v>
      </c>
      <c r="F1595" s="1">
        <f>IFERROR(__xludf.DUMMYFUNCTION("""COMPUTED_VALUE"""),4339.0)</f>
        <v>4339</v>
      </c>
    </row>
    <row r="1596">
      <c r="A1596" s="2">
        <f>IFERROR(__xludf.DUMMYFUNCTION("""COMPUTED_VALUE"""),43290.64583333333)</f>
        <v>43290.64583</v>
      </c>
      <c r="B1596" s="1">
        <f>IFERROR(__xludf.DUMMYFUNCTION("""COMPUTED_VALUE"""),89700.0)</f>
        <v>89700</v>
      </c>
      <c r="C1596" s="1">
        <f>IFERROR(__xludf.DUMMYFUNCTION("""COMPUTED_VALUE"""),90000.0)</f>
        <v>90000</v>
      </c>
      <c r="D1596" s="1">
        <f>IFERROR(__xludf.DUMMYFUNCTION("""COMPUTED_VALUE"""),89400.0)</f>
        <v>89400</v>
      </c>
      <c r="E1596" s="1">
        <f>IFERROR(__xludf.DUMMYFUNCTION("""COMPUTED_VALUE"""),89400.0)</f>
        <v>89400</v>
      </c>
      <c r="F1596" s="1">
        <f>IFERROR(__xludf.DUMMYFUNCTION("""COMPUTED_VALUE"""),2712.0)</f>
        <v>2712</v>
      </c>
    </row>
    <row r="1597">
      <c r="A1597" s="2">
        <f>IFERROR(__xludf.DUMMYFUNCTION("""COMPUTED_VALUE"""),43291.64583333333)</f>
        <v>43291.64583</v>
      </c>
      <c r="B1597" s="1">
        <f>IFERROR(__xludf.DUMMYFUNCTION("""COMPUTED_VALUE"""),89900.0)</f>
        <v>89900</v>
      </c>
      <c r="C1597" s="1">
        <f>IFERROR(__xludf.DUMMYFUNCTION("""COMPUTED_VALUE"""),90400.0)</f>
        <v>90400</v>
      </c>
      <c r="D1597" s="1">
        <f>IFERROR(__xludf.DUMMYFUNCTION("""COMPUTED_VALUE"""),89600.0)</f>
        <v>89600</v>
      </c>
      <c r="E1597" s="1">
        <f>IFERROR(__xludf.DUMMYFUNCTION("""COMPUTED_VALUE"""),90100.0)</f>
        <v>90100</v>
      </c>
      <c r="F1597" s="1">
        <f>IFERROR(__xludf.DUMMYFUNCTION("""COMPUTED_VALUE"""),5027.0)</f>
        <v>5027</v>
      </c>
    </row>
    <row r="1598">
      <c r="A1598" s="2">
        <f>IFERROR(__xludf.DUMMYFUNCTION("""COMPUTED_VALUE"""),43292.64583333333)</f>
        <v>43292.64583</v>
      </c>
      <c r="B1598" s="1">
        <f>IFERROR(__xludf.DUMMYFUNCTION("""COMPUTED_VALUE"""),90000.0)</f>
        <v>90000</v>
      </c>
      <c r="C1598" s="1">
        <f>IFERROR(__xludf.DUMMYFUNCTION("""COMPUTED_VALUE"""),90200.0)</f>
        <v>90200</v>
      </c>
      <c r="D1598" s="1">
        <f>IFERROR(__xludf.DUMMYFUNCTION("""COMPUTED_VALUE"""),89200.0)</f>
        <v>89200</v>
      </c>
      <c r="E1598" s="1">
        <f>IFERROR(__xludf.DUMMYFUNCTION("""COMPUTED_VALUE"""),90200.0)</f>
        <v>90200</v>
      </c>
      <c r="F1598" s="1">
        <f>IFERROR(__xludf.DUMMYFUNCTION("""COMPUTED_VALUE"""),3649.0)</f>
        <v>3649</v>
      </c>
    </row>
    <row r="1599">
      <c r="A1599" s="2">
        <f>IFERROR(__xludf.DUMMYFUNCTION("""COMPUTED_VALUE"""),43293.64583333333)</f>
        <v>43293.64583</v>
      </c>
      <c r="B1599" s="1">
        <f>IFERROR(__xludf.DUMMYFUNCTION("""COMPUTED_VALUE"""),90200.0)</f>
        <v>90200</v>
      </c>
      <c r="C1599" s="1">
        <f>IFERROR(__xludf.DUMMYFUNCTION("""COMPUTED_VALUE"""),90200.0)</f>
        <v>90200</v>
      </c>
      <c r="D1599" s="1">
        <f>IFERROR(__xludf.DUMMYFUNCTION("""COMPUTED_VALUE"""),89200.0)</f>
        <v>89200</v>
      </c>
      <c r="E1599" s="1">
        <f>IFERROR(__xludf.DUMMYFUNCTION("""COMPUTED_VALUE"""),89800.0)</f>
        <v>89800</v>
      </c>
      <c r="F1599" s="1">
        <f>IFERROR(__xludf.DUMMYFUNCTION("""COMPUTED_VALUE"""),2255.0)</f>
        <v>2255</v>
      </c>
    </row>
    <row r="1600">
      <c r="A1600" s="2">
        <f>IFERROR(__xludf.DUMMYFUNCTION("""COMPUTED_VALUE"""),43294.64583333333)</f>
        <v>43294.64583</v>
      </c>
      <c r="B1600" s="1">
        <f>IFERROR(__xludf.DUMMYFUNCTION("""COMPUTED_VALUE"""),90600.0)</f>
        <v>90600</v>
      </c>
      <c r="C1600" s="1">
        <f>IFERROR(__xludf.DUMMYFUNCTION("""COMPUTED_VALUE"""),92000.0)</f>
        <v>92000</v>
      </c>
      <c r="D1600" s="1">
        <f>IFERROR(__xludf.DUMMYFUNCTION("""COMPUTED_VALUE"""),89600.0)</f>
        <v>89600</v>
      </c>
      <c r="E1600" s="1">
        <f>IFERROR(__xludf.DUMMYFUNCTION("""COMPUTED_VALUE"""),92000.0)</f>
        <v>92000</v>
      </c>
      <c r="F1600" s="1">
        <f>IFERROR(__xludf.DUMMYFUNCTION("""COMPUTED_VALUE"""),5470.0)</f>
        <v>5470</v>
      </c>
    </row>
    <row r="1601">
      <c r="A1601" s="2">
        <f>IFERROR(__xludf.DUMMYFUNCTION("""COMPUTED_VALUE"""),43297.64583333333)</f>
        <v>43297.64583</v>
      </c>
      <c r="B1601" s="1">
        <f>IFERROR(__xludf.DUMMYFUNCTION("""COMPUTED_VALUE"""),92200.0)</f>
        <v>92200</v>
      </c>
      <c r="C1601" s="1">
        <f>IFERROR(__xludf.DUMMYFUNCTION("""COMPUTED_VALUE"""),95000.0)</f>
        <v>95000</v>
      </c>
      <c r="D1601" s="1">
        <f>IFERROR(__xludf.DUMMYFUNCTION("""COMPUTED_VALUE"""),92000.0)</f>
        <v>92000</v>
      </c>
      <c r="E1601" s="1">
        <f>IFERROR(__xludf.DUMMYFUNCTION("""COMPUTED_VALUE"""),94400.0)</f>
        <v>94400</v>
      </c>
      <c r="F1601" s="1">
        <f>IFERROR(__xludf.DUMMYFUNCTION("""COMPUTED_VALUE"""),16447.0)</f>
        <v>16447</v>
      </c>
    </row>
    <row r="1602">
      <c r="A1602" s="2">
        <f>IFERROR(__xludf.DUMMYFUNCTION("""COMPUTED_VALUE"""),43298.64583333333)</f>
        <v>43298.64583</v>
      </c>
      <c r="B1602" s="1">
        <f>IFERROR(__xludf.DUMMYFUNCTION("""COMPUTED_VALUE"""),93500.0)</f>
        <v>93500</v>
      </c>
      <c r="C1602" s="1">
        <f>IFERROR(__xludf.DUMMYFUNCTION("""COMPUTED_VALUE"""),94600.0)</f>
        <v>94600</v>
      </c>
      <c r="D1602" s="1">
        <f>IFERROR(__xludf.DUMMYFUNCTION("""COMPUTED_VALUE"""),93500.0)</f>
        <v>93500</v>
      </c>
      <c r="E1602" s="1">
        <f>IFERROR(__xludf.DUMMYFUNCTION("""COMPUTED_VALUE"""),93800.0)</f>
        <v>93800</v>
      </c>
      <c r="F1602" s="1">
        <f>IFERROR(__xludf.DUMMYFUNCTION("""COMPUTED_VALUE"""),4150.0)</f>
        <v>4150</v>
      </c>
    </row>
    <row r="1603">
      <c r="A1603" s="2">
        <f>IFERROR(__xludf.DUMMYFUNCTION("""COMPUTED_VALUE"""),43299.64583333333)</f>
        <v>43299.64583</v>
      </c>
      <c r="B1603" s="1">
        <f>IFERROR(__xludf.DUMMYFUNCTION("""COMPUTED_VALUE"""),94600.0)</f>
        <v>94600</v>
      </c>
      <c r="C1603" s="1">
        <f>IFERROR(__xludf.DUMMYFUNCTION("""COMPUTED_VALUE"""),94600.0)</f>
        <v>94600</v>
      </c>
      <c r="D1603" s="1">
        <f>IFERROR(__xludf.DUMMYFUNCTION("""COMPUTED_VALUE"""),92800.0)</f>
        <v>92800</v>
      </c>
      <c r="E1603" s="1">
        <f>IFERROR(__xludf.DUMMYFUNCTION("""COMPUTED_VALUE"""),93600.0)</f>
        <v>93600</v>
      </c>
      <c r="F1603" s="1">
        <f>IFERROR(__xludf.DUMMYFUNCTION("""COMPUTED_VALUE"""),7201.0)</f>
        <v>7201</v>
      </c>
    </row>
    <row r="1604">
      <c r="A1604" s="2">
        <f>IFERROR(__xludf.DUMMYFUNCTION("""COMPUTED_VALUE"""),43300.64583333333)</f>
        <v>43300.64583</v>
      </c>
      <c r="B1604" s="1">
        <f>IFERROR(__xludf.DUMMYFUNCTION("""COMPUTED_VALUE"""),94400.0)</f>
        <v>94400</v>
      </c>
      <c r="C1604" s="1">
        <f>IFERROR(__xludf.DUMMYFUNCTION("""COMPUTED_VALUE"""),94500.0)</f>
        <v>94500</v>
      </c>
      <c r="D1604" s="1">
        <f>IFERROR(__xludf.DUMMYFUNCTION("""COMPUTED_VALUE"""),93200.0)</f>
        <v>93200</v>
      </c>
      <c r="E1604" s="1">
        <f>IFERROR(__xludf.DUMMYFUNCTION("""COMPUTED_VALUE"""),93800.0)</f>
        <v>93800</v>
      </c>
      <c r="F1604" s="1">
        <f>IFERROR(__xludf.DUMMYFUNCTION("""COMPUTED_VALUE"""),16577.0)</f>
        <v>16577</v>
      </c>
    </row>
    <row r="1605">
      <c r="A1605" s="2">
        <f>IFERROR(__xludf.DUMMYFUNCTION("""COMPUTED_VALUE"""),43301.64583333333)</f>
        <v>43301.64583</v>
      </c>
      <c r="B1605" s="1">
        <f>IFERROR(__xludf.DUMMYFUNCTION("""COMPUTED_VALUE"""),94000.0)</f>
        <v>94000</v>
      </c>
      <c r="C1605" s="1">
        <f>IFERROR(__xludf.DUMMYFUNCTION("""COMPUTED_VALUE"""),94000.0)</f>
        <v>94000</v>
      </c>
      <c r="D1605" s="1">
        <f>IFERROR(__xludf.DUMMYFUNCTION("""COMPUTED_VALUE"""),92200.0)</f>
        <v>92200</v>
      </c>
      <c r="E1605" s="1">
        <f>IFERROR(__xludf.DUMMYFUNCTION("""COMPUTED_VALUE"""),92900.0)</f>
        <v>92900</v>
      </c>
      <c r="F1605" s="1">
        <f>IFERROR(__xludf.DUMMYFUNCTION("""COMPUTED_VALUE"""),5712.0)</f>
        <v>5712</v>
      </c>
    </row>
    <row r="1606">
      <c r="A1606" s="2">
        <f>IFERROR(__xludf.DUMMYFUNCTION("""COMPUTED_VALUE"""),43304.64583333333)</f>
        <v>43304.64583</v>
      </c>
      <c r="B1606" s="1">
        <f>IFERROR(__xludf.DUMMYFUNCTION("""COMPUTED_VALUE"""),92900.0)</f>
        <v>92900</v>
      </c>
      <c r="C1606" s="1">
        <f>IFERROR(__xludf.DUMMYFUNCTION("""COMPUTED_VALUE"""),93200.0)</f>
        <v>93200</v>
      </c>
      <c r="D1606" s="1">
        <f>IFERROR(__xludf.DUMMYFUNCTION("""COMPUTED_VALUE"""),91600.0)</f>
        <v>91600</v>
      </c>
      <c r="E1606" s="1">
        <f>IFERROR(__xludf.DUMMYFUNCTION("""COMPUTED_VALUE"""),92500.0)</f>
        <v>92500</v>
      </c>
      <c r="F1606" s="1">
        <f>IFERROR(__xludf.DUMMYFUNCTION("""COMPUTED_VALUE"""),4585.0)</f>
        <v>4585</v>
      </c>
    </row>
    <row r="1607">
      <c r="A1607" s="2">
        <f>IFERROR(__xludf.DUMMYFUNCTION("""COMPUTED_VALUE"""),43305.64583333333)</f>
        <v>43305.64583</v>
      </c>
      <c r="B1607" s="1">
        <f>IFERROR(__xludf.DUMMYFUNCTION("""COMPUTED_VALUE"""),92600.0)</f>
        <v>92600</v>
      </c>
      <c r="C1607" s="1">
        <f>IFERROR(__xludf.DUMMYFUNCTION("""COMPUTED_VALUE"""),92600.0)</f>
        <v>92600</v>
      </c>
      <c r="D1607" s="1">
        <f>IFERROR(__xludf.DUMMYFUNCTION("""COMPUTED_VALUE"""),91400.0)</f>
        <v>91400</v>
      </c>
      <c r="E1607" s="1">
        <f>IFERROR(__xludf.DUMMYFUNCTION("""COMPUTED_VALUE"""),92400.0)</f>
        <v>92400</v>
      </c>
      <c r="F1607" s="1">
        <f>IFERROR(__xludf.DUMMYFUNCTION("""COMPUTED_VALUE"""),4699.0)</f>
        <v>4699</v>
      </c>
    </row>
    <row r="1608">
      <c r="A1608" s="2">
        <f>IFERROR(__xludf.DUMMYFUNCTION("""COMPUTED_VALUE"""),43306.64583333333)</f>
        <v>43306.64583</v>
      </c>
      <c r="B1608" s="1">
        <f>IFERROR(__xludf.DUMMYFUNCTION("""COMPUTED_VALUE"""),92400.0)</f>
        <v>92400</v>
      </c>
      <c r="C1608" s="1">
        <f>IFERROR(__xludf.DUMMYFUNCTION("""COMPUTED_VALUE"""),93400.0)</f>
        <v>93400</v>
      </c>
      <c r="D1608" s="1">
        <f>IFERROR(__xludf.DUMMYFUNCTION("""COMPUTED_VALUE"""),91800.0)</f>
        <v>91800</v>
      </c>
      <c r="E1608" s="1">
        <f>IFERROR(__xludf.DUMMYFUNCTION("""COMPUTED_VALUE"""),92200.0)</f>
        <v>92200</v>
      </c>
      <c r="F1608" s="1">
        <f>IFERROR(__xludf.DUMMYFUNCTION("""COMPUTED_VALUE"""),3573.0)</f>
        <v>3573</v>
      </c>
    </row>
    <row r="1609">
      <c r="A1609" s="2">
        <f>IFERROR(__xludf.DUMMYFUNCTION("""COMPUTED_VALUE"""),43307.64583333333)</f>
        <v>43307.64583</v>
      </c>
      <c r="B1609" s="1">
        <f>IFERROR(__xludf.DUMMYFUNCTION("""COMPUTED_VALUE"""),92100.0)</f>
        <v>92100</v>
      </c>
      <c r="C1609" s="1">
        <f>IFERROR(__xludf.DUMMYFUNCTION("""COMPUTED_VALUE"""),94000.0)</f>
        <v>94000</v>
      </c>
      <c r="D1609" s="1">
        <f>IFERROR(__xludf.DUMMYFUNCTION("""COMPUTED_VALUE"""),91900.0)</f>
        <v>91900</v>
      </c>
      <c r="E1609" s="1">
        <f>IFERROR(__xludf.DUMMYFUNCTION("""COMPUTED_VALUE"""),94000.0)</f>
        <v>94000</v>
      </c>
      <c r="F1609" s="1">
        <f>IFERROR(__xludf.DUMMYFUNCTION("""COMPUTED_VALUE"""),11392.0)</f>
        <v>11392</v>
      </c>
    </row>
    <row r="1610">
      <c r="A1610" s="2">
        <f>IFERROR(__xludf.DUMMYFUNCTION("""COMPUTED_VALUE"""),43308.64583333333)</f>
        <v>43308.64583</v>
      </c>
      <c r="B1610" s="1">
        <f>IFERROR(__xludf.DUMMYFUNCTION("""COMPUTED_VALUE"""),93900.0)</f>
        <v>93900</v>
      </c>
      <c r="C1610" s="1">
        <f>IFERROR(__xludf.DUMMYFUNCTION("""COMPUTED_VALUE"""),93900.0)</f>
        <v>93900</v>
      </c>
      <c r="D1610" s="1">
        <f>IFERROR(__xludf.DUMMYFUNCTION("""COMPUTED_VALUE"""),91500.0)</f>
        <v>91500</v>
      </c>
      <c r="E1610" s="1">
        <f>IFERROR(__xludf.DUMMYFUNCTION("""COMPUTED_VALUE"""),92400.0)</f>
        <v>92400</v>
      </c>
      <c r="F1610" s="1">
        <f>IFERROR(__xludf.DUMMYFUNCTION("""COMPUTED_VALUE"""),10127.0)</f>
        <v>10127</v>
      </c>
    </row>
    <row r="1611">
      <c r="A1611" s="2">
        <f>IFERROR(__xludf.DUMMYFUNCTION("""COMPUTED_VALUE"""),43311.64583333333)</f>
        <v>43311.64583</v>
      </c>
      <c r="B1611" s="1">
        <f>IFERROR(__xludf.DUMMYFUNCTION("""COMPUTED_VALUE"""),92200.0)</f>
        <v>92200</v>
      </c>
      <c r="C1611" s="1">
        <f>IFERROR(__xludf.DUMMYFUNCTION("""COMPUTED_VALUE"""),93300.0)</f>
        <v>93300</v>
      </c>
      <c r="D1611" s="1">
        <f>IFERROR(__xludf.DUMMYFUNCTION("""COMPUTED_VALUE"""),92200.0)</f>
        <v>92200</v>
      </c>
      <c r="E1611" s="1">
        <f>IFERROR(__xludf.DUMMYFUNCTION("""COMPUTED_VALUE"""),92800.0)</f>
        <v>92800</v>
      </c>
      <c r="F1611" s="1">
        <f>IFERROR(__xludf.DUMMYFUNCTION("""COMPUTED_VALUE"""),4225.0)</f>
        <v>4225</v>
      </c>
    </row>
    <row r="1612">
      <c r="A1612" s="2">
        <f>IFERROR(__xludf.DUMMYFUNCTION("""COMPUTED_VALUE"""),43312.64583333333)</f>
        <v>43312.64583</v>
      </c>
      <c r="B1612" s="1">
        <f>IFERROR(__xludf.DUMMYFUNCTION("""COMPUTED_VALUE"""),92800.0)</f>
        <v>92800</v>
      </c>
      <c r="C1612" s="1">
        <f>IFERROR(__xludf.DUMMYFUNCTION("""COMPUTED_VALUE"""),93000.0)</f>
        <v>93000</v>
      </c>
      <c r="D1612" s="1">
        <f>IFERROR(__xludf.DUMMYFUNCTION("""COMPUTED_VALUE"""),91100.0)</f>
        <v>91100</v>
      </c>
      <c r="E1612" s="1">
        <f>IFERROR(__xludf.DUMMYFUNCTION("""COMPUTED_VALUE"""),92900.0)</f>
        <v>92900</v>
      </c>
      <c r="F1612" s="1">
        <f>IFERROR(__xludf.DUMMYFUNCTION("""COMPUTED_VALUE"""),8190.0)</f>
        <v>8190</v>
      </c>
    </row>
    <row r="1613">
      <c r="A1613" s="2">
        <f>IFERROR(__xludf.DUMMYFUNCTION("""COMPUTED_VALUE"""),43313.64583333333)</f>
        <v>43313.64583</v>
      </c>
      <c r="B1613" s="1">
        <f>IFERROR(__xludf.DUMMYFUNCTION("""COMPUTED_VALUE"""),92900.0)</f>
        <v>92900</v>
      </c>
      <c r="C1613" s="1">
        <f>IFERROR(__xludf.DUMMYFUNCTION("""COMPUTED_VALUE"""),93000.0)</f>
        <v>93000</v>
      </c>
      <c r="D1613" s="1">
        <f>IFERROR(__xludf.DUMMYFUNCTION("""COMPUTED_VALUE"""),91900.0)</f>
        <v>91900</v>
      </c>
      <c r="E1613" s="1">
        <f>IFERROR(__xludf.DUMMYFUNCTION("""COMPUTED_VALUE"""),91900.0)</f>
        <v>91900</v>
      </c>
      <c r="F1613" s="1">
        <f>IFERROR(__xludf.DUMMYFUNCTION("""COMPUTED_VALUE"""),5066.0)</f>
        <v>5066</v>
      </c>
    </row>
    <row r="1614">
      <c r="A1614" s="2">
        <f>IFERROR(__xludf.DUMMYFUNCTION("""COMPUTED_VALUE"""),43314.64583333333)</f>
        <v>43314.64583</v>
      </c>
      <c r="B1614" s="1">
        <f>IFERROR(__xludf.DUMMYFUNCTION("""COMPUTED_VALUE"""),92400.0)</f>
        <v>92400</v>
      </c>
      <c r="C1614" s="1">
        <f>IFERROR(__xludf.DUMMYFUNCTION("""COMPUTED_VALUE"""),92400.0)</f>
        <v>92400</v>
      </c>
      <c r="D1614" s="1">
        <f>IFERROR(__xludf.DUMMYFUNCTION("""COMPUTED_VALUE"""),90700.0)</f>
        <v>90700</v>
      </c>
      <c r="E1614" s="1">
        <f>IFERROR(__xludf.DUMMYFUNCTION("""COMPUTED_VALUE"""),91600.0)</f>
        <v>91600</v>
      </c>
      <c r="F1614" s="1">
        <f>IFERROR(__xludf.DUMMYFUNCTION("""COMPUTED_VALUE"""),3935.0)</f>
        <v>3935</v>
      </c>
    </row>
    <row r="1615">
      <c r="A1615" s="2">
        <f>IFERROR(__xludf.DUMMYFUNCTION("""COMPUTED_VALUE"""),43315.64583333333)</f>
        <v>43315.64583</v>
      </c>
      <c r="B1615" s="1">
        <f>IFERROR(__xludf.DUMMYFUNCTION("""COMPUTED_VALUE"""),91800.0)</f>
        <v>91800</v>
      </c>
      <c r="C1615" s="1">
        <f>IFERROR(__xludf.DUMMYFUNCTION("""COMPUTED_VALUE"""),92100.0)</f>
        <v>92100</v>
      </c>
      <c r="D1615" s="1">
        <f>IFERROR(__xludf.DUMMYFUNCTION("""COMPUTED_VALUE"""),91200.0)</f>
        <v>91200</v>
      </c>
      <c r="E1615" s="1">
        <f>IFERROR(__xludf.DUMMYFUNCTION("""COMPUTED_VALUE"""),92100.0)</f>
        <v>92100</v>
      </c>
      <c r="F1615" s="1">
        <f>IFERROR(__xludf.DUMMYFUNCTION("""COMPUTED_VALUE"""),2339.0)</f>
        <v>2339</v>
      </c>
    </row>
    <row r="1616">
      <c r="A1616" s="2">
        <f>IFERROR(__xludf.DUMMYFUNCTION("""COMPUTED_VALUE"""),43318.64583333333)</f>
        <v>43318.64583</v>
      </c>
      <c r="B1616" s="1">
        <f>IFERROR(__xludf.DUMMYFUNCTION("""COMPUTED_VALUE"""),92200.0)</f>
        <v>92200</v>
      </c>
      <c r="C1616" s="1">
        <f>IFERROR(__xludf.DUMMYFUNCTION("""COMPUTED_VALUE"""),92400.0)</f>
        <v>92400</v>
      </c>
      <c r="D1616" s="1">
        <f>IFERROR(__xludf.DUMMYFUNCTION("""COMPUTED_VALUE"""),91900.0)</f>
        <v>91900</v>
      </c>
      <c r="E1616" s="1">
        <f>IFERROR(__xludf.DUMMYFUNCTION("""COMPUTED_VALUE"""),91900.0)</f>
        <v>91900</v>
      </c>
      <c r="F1616" s="1">
        <f>IFERROR(__xludf.DUMMYFUNCTION("""COMPUTED_VALUE"""),2551.0)</f>
        <v>2551</v>
      </c>
    </row>
    <row r="1617">
      <c r="A1617" s="2">
        <f>IFERROR(__xludf.DUMMYFUNCTION("""COMPUTED_VALUE"""),43320.64583333333)</f>
        <v>43320.64583</v>
      </c>
      <c r="B1617" s="1">
        <f>IFERROR(__xludf.DUMMYFUNCTION("""COMPUTED_VALUE"""),92400.0)</f>
        <v>92400</v>
      </c>
      <c r="C1617" s="1">
        <f>IFERROR(__xludf.DUMMYFUNCTION("""COMPUTED_VALUE"""),92500.0)</f>
        <v>92500</v>
      </c>
      <c r="D1617" s="1">
        <f>IFERROR(__xludf.DUMMYFUNCTION("""COMPUTED_VALUE"""),91600.0)</f>
        <v>91600</v>
      </c>
      <c r="E1617" s="1">
        <f>IFERROR(__xludf.DUMMYFUNCTION("""COMPUTED_VALUE"""),92100.0)</f>
        <v>92100</v>
      </c>
      <c r="F1617" s="1">
        <f>IFERROR(__xludf.DUMMYFUNCTION("""COMPUTED_VALUE"""),2109.0)</f>
        <v>2109</v>
      </c>
    </row>
    <row r="1618">
      <c r="A1618" s="2">
        <f>IFERROR(__xludf.DUMMYFUNCTION("""COMPUTED_VALUE"""),43321.64583333333)</f>
        <v>43321.64583</v>
      </c>
      <c r="B1618" s="1">
        <f>IFERROR(__xludf.DUMMYFUNCTION("""COMPUTED_VALUE"""),92400.0)</f>
        <v>92400</v>
      </c>
      <c r="C1618" s="1">
        <f>IFERROR(__xludf.DUMMYFUNCTION("""COMPUTED_VALUE"""),92500.0)</f>
        <v>92500</v>
      </c>
      <c r="D1618" s="1">
        <f>IFERROR(__xludf.DUMMYFUNCTION("""COMPUTED_VALUE"""),91200.0)</f>
        <v>91200</v>
      </c>
      <c r="E1618" s="1">
        <f>IFERROR(__xludf.DUMMYFUNCTION("""COMPUTED_VALUE"""),92200.0)</f>
        <v>92200</v>
      </c>
      <c r="F1618" s="1">
        <f>IFERROR(__xludf.DUMMYFUNCTION("""COMPUTED_VALUE"""),7494.0)</f>
        <v>7494</v>
      </c>
    </row>
    <row r="1619">
      <c r="A1619" s="2">
        <f>IFERROR(__xludf.DUMMYFUNCTION("""COMPUTED_VALUE"""),43322.64583333333)</f>
        <v>43322.64583</v>
      </c>
      <c r="B1619" s="1">
        <f>IFERROR(__xludf.DUMMYFUNCTION("""COMPUTED_VALUE"""),91700.0)</f>
        <v>91700</v>
      </c>
      <c r="C1619" s="1">
        <f>IFERROR(__xludf.DUMMYFUNCTION("""COMPUTED_VALUE"""),92400.0)</f>
        <v>92400</v>
      </c>
      <c r="D1619" s="1">
        <f>IFERROR(__xludf.DUMMYFUNCTION("""COMPUTED_VALUE"""),91000.0)</f>
        <v>91000</v>
      </c>
      <c r="E1619" s="1">
        <f>IFERROR(__xludf.DUMMYFUNCTION("""COMPUTED_VALUE"""),91200.0)</f>
        <v>91200</v>
      </c>
      <c r="F1619" s="1">
        <f>IFERROR(__xludf.DUMMYFUNCTION("""COMPUTED_VALUE"""),7325.0)</f>
        <v>7325</v>
      </c>
    </row>
    <row r="1620">
      <c r="A1620" s="2">
        <f>IFERROR(__xludf.DUMMYFUNCTION("""COMPUTED_VALUE"""),43325.64583333333)</f>
        <v>43325.64583</v>
      </c>
      <c r="B1620" s="1">
        <f>IFERROR(__xludf.DUMMYFUNCTION("""COMPUTED_VALUE"""),92000.0)</f>
        <v>92000</v>
      </c>
      <c r="C1620" s="1">
        <f>IFERROR(__xludf.DUMMYFUNCTION("""COMPUTED_VALUE"""),92100.0)</f>
        <v>92100</v>
      </c>
      <c r="D1620" s="1">
        <f>IFERROR(__xludf.DUMMYFUNCTION("""COMPUTED_VALUE"""),91200.0)</f>
        <v>91200</v>
      </c>
      <c r="E1620" s="1">
        <f>IFERROR(__xludf.DUMMYFUNCTION("""COMPUTED_VALUE"""),91900.0)</f>
        <v>91900</v>
      </c>
      <c r="F1620" s="1">
        <f>IFERROR(__xludf.DUMMYFUNCTION("""COMPUTED_VALUE"""),5158.0)</f>
        <v>5158</v>
      </c>
    </row>
    <row r="1621">
      <c r="A1621" s="2">
        <f>IFERROR(__xludf.DUMMYFUNCTION("""COMPUTED_VALUE"""),43326.64583333333)</f>
        <v>43326.64583</v>
      </c>
      <c r="B1621" s="1">
        <f>IFERROR(__xludf.DUMMYFUNCTION("""COMPUTED_VALUE"""),92000.0)</f>
        <v>92000</v>
      </c>
      <c r="C1621" s="1">
        <f>IFERROR(__xludf.DUMMYFUNCTION("""COMPUTED_VALUE"""),94000.0)</f>
        <v>94000</v>
      </c>
      <c r="D1621" s="1">
        <f>IFERROR(__xludf.DUMMYFUNCTION("""COMPUTED_VALUE"""),91800.0)</f>
        <v>91800</v>
      </c>
      <c r="E1621" s="1">
        <f>IFERROR(__xludf.DUMMYFUNCTION("""COMPUTED_VALUE"""),93900.0)</f>
        <v>93900</v>
      </c>
      <c r="F1621" s="1">
        <f>IFERROR(__xludf.DUMMYFUNCTION("""COMPUTED_VALUE"""),10632.0)</f>
        <v>10632</v>
      </c>
    </row>
    <row r="1622">
      <c r="A1622" s="2">
        <f>IFERROR(__xludf.DUMMYFUNCTION("""COMPUTED_VALUE"""),43328.64583333333)</f>
        <v>43328.64583</v>
      </c>
      <c r="B1622" s="1">
        <f>IFERROR(__xludf.DUMMYFUNCTION("""COMPUTED_VALUE"""),93900.0)</f>
        <v>93900</v>
      </c>
      <c r="C1622" s="1">
        <f>IFERROR(__xludf.DUMMYFUNCTION("""COMPUTED_VALUE"""),94300.0)</f>
        <v>94300</v>
      </c>
      <c r="D1622" s="1">
        <f>IFERROR(__xludf.DUMMYFUNCTION("""COMPUTED_VALUE"""),92000.0)</f>
        <v>92000</v>
      </c>
      <c r="E1622" s="1">
        <f>IFERROR(__xludf.DUMMYFUNCTION("""COMPUTED_VALUE"""),94100.0)</f>
        <v>94100</v>
      </c>
      <c r="F1622" s="1">
        <f>IFERROR(__xludf.DUMMYFUNCTION("""COMPUTED_VALUE"""),5554.0)</f>
        <v>5554</v>
      </c>
    </row>
    <row r="1623">
      <c r="A1623" s="2">
        <f>IFERROR(__xludf.DUMMYFUNCTION("""COMPUTED_VALUE"""),43329.64583333333)</f>
        <v>43329.64583</v>
      </c>
      <c r="B1623" s="1">
        <f>IFERROR(__xludf.DUMMYFUNCTION("""COMPUTED_VALUE"""),94700.0)</f>
        <v>94700</v>
      </c>
      <c r="C1623" s="1">
        <f>IFERROR(__xludf.DUMMYFUNCTION("""COMPUTED_VALUE"""),95400.0)</f>
        <v>95400</v>
      </c>
      <c r="D1623" s="1">
        <f>IFERROR(__xludf.DUMMYFUNCTION("""COMPUTED_VALUE"""),93800.0)</f>
        <v>93800</v>
      </c>
      <c r="E1623" s="1">
        <f>IFERROR(__xludf.DUMMYFUNCTION("""COMPUTED_VALUE"""),95000.0)</f>
        <v>95000</v>
      </c>
      <c r="F1623" s="1">
        <f>IFERROR(__xludf.DUMMYFUNCTION("""COMPUTED_VALUE"""),12044.0)</f>
        <v>12044</v>
      </c>
    </row>
    <row r="1624">
      <c r="A1624" s="2">
        <f>IFERROR(__xludf.DUMMYFUNCTION("""COMPUTED_VALUE"""),43332.64583333333)</f>
        <v>43332.64583</v>
      </c>
      <c r="B1624" s="1">
        <f>IFERROR(__xludf.DUMMYFUNCTION("""COMPUTED_VALUE"""),95000.0)</f>
        <v>95000</v>
      </c>
      <c r="C1624" s="1">
        <f>IFERROR(__xludf.DUMMYFUNCTION("""COMPUTED_VALUE"""),95800.0)</f>
        <v>95800</v>
      </c>
      <c r="D1624" s="1">
        <f>IFERROR(__xludf.DUMMYFUNCTION("""COMPUTED_VALUE"""),94000.0)</f>
        <v>94000</v>
      </c>
      <c r="E1624" s="1">
        <f>IFERROR(__xludf.DUMMYFUNCTION("""COMPUTED_VALUE"""),94600.0)</f>
        <v>94600</v>
      </c>
      <c r="F1624" s="1">
        <f>IFERROR(__xludf.DUMMYFUNCTION("""COMPUTED_VALUE"""),3616.0)</f>
        <v>3616</v>
      </c>
    </row>
    <row r="1625">
      <c r="A1625" s="2">
        <f>IFERROR(__xludf.DUMMYFUNCTION("""COMPUTED_VALUE"""),43333.64583333333)</f>
        <v>43333.64583</v>
      </c>
      <c r="B1625" s="1">
        <f>IFERROR(__xludf.DUMMYFUNCTION("""COMPUTED_VALUE"""),95000.0)</f>
        <v>95000</v>
      </c>
      <c r="C1625" s="1">
        <f>IFERROR(__xludf.DUMMYFUNCTION("""COMPUTED_VALUE"""),95000.0)</f>
        <v>95000</v>
      </c>
      <c r="D1625" s="1">
        <f>IFERROR(__xludf.DUMMYFUNCTION("""COMPUTED_VALUE"""),93600.0)</f>
        <v>93600</v>
      </c>
      <c r="E1625" s="1">
        <f>IFERROR(__xludf.DUMMYFUNCTION("""COMPUTED_VALUE"""),93800.0)</f>
        <v>93800</v>
      </c>
      <c r="F1625" s="1">
        <f>IFERROR(__xludf.DUMMYFUNCTION("""COMPUTED_VALUE"""),4061.0)</f>
        <v>4061</v>
      </c>
    </row>
    <row r="1626">
      <c r="A1626" s="2">
        <f>IFERROR(__xludf.DUMMYFUNCTION("""COMPUTED_VALUE"""),43334.64583333333)</f>
        <v>43334.64583</v>
      </c>
      <c r="B1626" s="1">
        <f>IFERROR(__xludf.DUMMYFUNCTION("""COMPUTED_VALUE"""),93800.0)</f>
        <v>93800</v>
      </c>
      <c r="C1626" s="1">
        <f>IFERROR(__xludf.DUMMYFUNCTION("""COMPUTED_VALUE"""),93800.0)</f>
        <v>93800</v>
      </c>
      <c r="D1626" s="1">
        <f>IFERROR(__xludf.DUMMYFUNCTION("""COMPUTED_VALUE"""),92200.0)</f>
        <v>92200</v>
      </c>
      <c r="E1626" s="1">
        <f>IFERROR(__xludf.DUMMYFUNCTION("""COMPUTED_VALUE"""),92400.0)</f>
        <v>92400</v>
      </c>
      <c r="F1626" s="1">
        <f>IFERROR(__xludf.DUMMYFUNCTION("""COMPUTED_VALUE"""),9518.0)</f>
        <v>9518</v>
      </c>
    </row>
    <row r="1627">
      <c r="A1627" s="2">
        <f>IFERROR(__xludf.DUMMYFUNCTION("""COMPUTED_VALUE"""),43335.64583333333)</f>
        <v>43335.64583</v>
      </c>
      <c r="B1627" s="1">
        <f>IFERROR(__xludf.DUMMYFUNCTION("""COMPUTED_VALUE"""),92700.0)</f>
        <v>92700</v>
      </c>
      <c r="C1627" s="1">
        <f>IFERROR(__xludf.DUMMYFUNCTION("""COMPUTED_VALUE"""),92700.0)</f>
        <v>92700</v>
      </c>
      <c r="D1627" s="1">
        <f>IFERROR(__xludf.DUMMYFUNCTION("""COMPUTED_VALUE"""),89200.0)</f>
        <v>89200</v>
      </c>
      <c r="E1627" s="1">
        <f>IFERROR(__xludf.DUMMYFUNCTION("""COMPUTED_VALUE"""),90200.0)</f>
        <v>90200</v>
      </c>
      <c r="F1627" s="1">
        <f>IFERROR(__xludf.DUMMYFUNCTION("""COMPUTED_VALUE"""),48119.0)</f>
        <v>48119</v>
      </c>
    </row>
    <row r="1628">
      <c r="A1628" s="2">
        <f>IFERROR(__xludf.DUMMYFUNCTION("""COMPUTED_VALUE"""),43336.64583333333)</f>
        <v>43336.64583</v>
      </c>
      <c r="B1628" s="1">
        <f>IFERROR(__xludf.DUMMYFUNCTION("""COMPUTED_VALUE"""),89900.0)</f>
        <v>89900</v>
      </c>
      <c r="C1628" s="1">
        <f>IFERROR(__xludf.DUMMYFUNCTION("""COMPUTED_VALUE"""),92100.0)</f>
        <v>92100</v>
      </c>
      <c r="D1628" s="1">
        <f>IFERROR(__xludf.DUMMYFUNCTION("""COMPUTED_VALUE"""),89900.0)</f>
        <v>89900</v>
      </c>
      <c r="E1628" s="1">
        <f>IFERROR(__xludf.DUMMYFUNCTION("""COMPUTED_VALUE"""),91900.0)</f>
        <v>91900</v>
      </c>
      <c r="F1628" s="1">
        <f>IFERROR(__xludf.DUMMYFUNCTION("""COMPUTED_VALUE"""),21246.0)</f>
        <v>21246</v>
      </c>
    </row>
    <row r="1629">
      <c r="A1629" s="2">
        <f>IFERROR(__xludf.DUMMYFUNCTION("""COMPUTED_VALUE"""),43339.64583333333)</f>
        <v>43339.64583</v>
      </c>
      <c r="B1629" s="1">
        <f>IFERROR(__xludf.DUMMYFUNCTION("""COMPUTED_VALUE"""),92000.0)</f>
        <v>92000</v>
      </c>
      <c r="C1629" s="1">
        <f>IFERROR(__xludf.DUMMYFUNCTION("""COMPUTED_VALUE"""),92600.0)</f>
        <v>92600</v>
      </c>
      <c r="D1629" s="1">
        <f>IFERROR(__xludf.DUMMYFUNCTION("""COMPUTED_VALUE"""),91000.0)</f>
        <v>91000</v>
      </c>
      <c r="E1629" s="1">
        <f>IFERROR(__xludf.DUMMYFUNCTION("""COMPUTED_VALUE"""),91300.0)</f>
        <v>91300</v>
      </c>
      <c r="F1629" s="1">
        <f>IFERROR(__xludf.DUMMYFUNCTION("""COMPUTED_VALUE"""),6301.0)</f>
        <v>6301</v>
      </c>
    </row>
    <row r="1630">
      <c r="A1630" s="2">
        <f>IFERROR(__xludf.DUMMYFUNCTION("""COMPUTED_VALUE"""),43340.64583333333)</f>
        <v>43340.64583</v>
      </c>
      <c r="B1630" s="1">
        <f>IFERROR(__xludf.DUMMYFUNCTION("""COMPUTED_VALUE"""),91800.0)</f>
        <v>91800</v>
      </c>
      <c r="C1630" s="1">
        <f>IFERROR(__xludf.DUMMYFUNCTION("""COMPUTED_VALUE"""),91800.0)</f>
        <v>91800</v>
      </c>
      <c r="D1630" s="1">
        <f>IFERROR(__xludf.DUMMYFUNCTION("""COMPUTED_VALUE"""),90200.0)</f>
        <v>90200</v>
      </c>
      <c r="E1630" s="1">
        <f>IFERROR(__xludf.DUMMYFUNCTION("""COMPUTED_VALUE"""),90900.0)</f>
        <v>90900</v>
      </c>
      <c r="F1630" s="1">
        <f>IFERROR(__xludf.DUMMYFUNCTION("""COMPUTED_VALUE"""),7283.0)</f>
        <v>7283</v>
      </c>
    </row>
    <row r="1631">
      <c r="A1631" s="2">
        <f>IFERROR(__xludf.DUMMYFUNCTION("""COMPUTED_VALUE"""),43341.64583333333)</f>
        <v>43341.64583</v>
      </c>
      <c r="B1631" s="1">
        <f>IFERROR(__xludf.DUMMYFUNCTION("""COMPUTED_VALUE"""),91400.0)</f>
        <v>91400</v>
      </c>
      <c r="C1631" s="1">
        <f>IFERROR(__xludf.DUMMYFUNCTION("""COMPUTED_VALUE"""),91600.0)</f>
        <v>91600</v>
      </c>
      <c r="D1631" s="1">
        <f>IFERROR(__xludf.DUMMYFUNCTION("""COMPUTED_VALUE"""),90900.0)</f>
        <v>90900</v>
      </c>
      <c r="E1631" s="1">
        <f>IFERROR(__xludf.DUMMYFUNCTION("""COMPUTED_VALUE"""),91500.0)</f>
        <v>91500</v>
      </c>
      <c r="F1631" s="1">
        <f>IFERROR(__xludf.DUMMYFUNCTION("""COMPUTED_VALUE"""),3980.0)</f>
        <v>3980</v>
      </c>
    </row>
    <row r="1632">
      <c r="A1632" s="2">
        <f>IFERROR(__xludf.DUMMYFUNCTION("""COMPUTED_VALUE"""),43343.64583333333)</f>
        <v>43343.64583</v>
      </c>
      <c r="B1632" s="1">
        <f>IFERROR(__xludf.DUMMYFUNCTION("""COMPUTED_VALUE"""),91500.0)</f>
        <v>91500</v>
      </c>
      <c r="C1632" s="1">
        <f>IFERROR(__xludf.DUMMYFUNCTION("""COMPUTED_VALUE"""),91500.0)</f>
        <v>91500</v>
      </c>
      <c r="D1632" s="1">
        <f>IFERROR(__xludf.DUMMYFUNCTION("""COMPUTED_VALUE"""),90400.0)</f>
        <v>90400</v>
      </c>
      <c r="E1632" s="1">
        <f>IFERROR(__xludf.DUMMYFUNCTION("""COMPUTED_VALUE"""),91100.0)</f>
        <v>91100</v>
      </c>
      <c r="F1632" s="1">
        <f>IFERROR(__xludf.DUMMYFUNCTION("""COMPUTED_VALUE"""),2379.0)</f>
        <v>2379</v>
      </c>
    </row>
    <row r="1633">
      <c r="A1633" s="2">
        <f>IFERROR(__xludf.DUMMYFUNCTION("""COMPUTED_VALUE"""),43346.64583333333)</f>
        <v>43346.64583</v>
      </c>
      <c r="B1633" s="1">
        <f>IFERROR(__xludf.DUMMYFUNCTION("""COMPUTED_VALUE"""),91100.0)</f>
        <v>91100</v>
      </c>
      <c r="C1633" s="1">
        <f>IFERROR(__xludf.DUMMYFUNCTION("""COMPUTED_VALUE"""),91400.0)</f>
        <v>91400</v>
      </c>
      <c r="D1633" s="1">
        <f>IFERROR(__xludf.DUMMYFUNCTION("""COMPUTED_VALUE"""),90600.0)</f>
        <v>90600</v>
      </c>
      <c r="E1633" s="1">
        <f>IFERROR(__xludf.DUMMYFUNCTION("""COMPUTED_VALUE"""),91100.0)</f>
        <v>91100</v>
      </c>
      <c r="F1633" s="1">
        <f>IFERROR(__xludf.DUMMYFUNCTION("""COMPUTED_VALUE"""),4684.0)</f>
        <v>4684</v>
      </c>
    </row>
    <row r="1634">
      <c r="A1634" s="2">
        <f>IFERROR(__xludf.DUMMYFUNCTION("""COMPUTED_VALUE"""),43347.64583333333)</f>
        <v>43347.64583</v>
      </c>
      <c r="B1634" s="1">
        <f>IFERROR(__xludf.DUMMYFUNCTION("""COMPUTED_VALUE"""),91000.0)</f>
        <v>91000</v>
      </c>
      <c r="C1634" s="1">
        <f>IFERROR(__xludf.DUMMYFUNCTION("""COMPUTED_VALUE"""),91300.0)</f>
        <v>91300</v>
      </c>
      <c r="D1634" s="1">
        <f>IFERROR(__xludf.DUMMYFUNCTION("""COMPUTED_VALUE"""),90700.0)</f>
        <v>90700</v>
      </c>
      <c r="E1634" s="1">
        <f>IFERROR(__xludf.DUMMYFUNCTION("""COMPUTED_VALUE"""),91300.0)</f>
        <v>91300</v>
      </c>
      <c r="F1634" s="1">
        <f>IFERROR(__xludf.DUMMYFUNCTION("""COMPUTED_VALUE"""),3667.0)</f>
        <v>3667</v>
      </c>
    </row>
    <row r="1635">
      <c r="A1635" s="2">
        <f>IFERROR(__xludf.DUMMYFUNCTION("""COMPUTED_VALUE"""),43348.64583333333)</f>
        <v>43348.64583</v>
      </c>
      <c r="B1635" s="1">
        <f>IFERROR(__xludf.DUMMYFUNCTION("""COMPUTED_VALUE"""),91300.0)</f>
        <v>91300</v>
      </c>
      <c r="C1635" s="1">
        <f>IFERROR(__xludf.DUMMYFUNCTION("""COMPUTED_VALUE"""),91400.0)</f>
        <v>91400</v>
      </c>
      <c r="D1635" s="1">
        <f>IFERROR(__xludf.DUMMYFUNCTION("""COMPUTED_VALUE"""),90900.0)</f>
        <v>90900</v>
      </c>
      <c r="E1635" s="1">
        <f>IFERROR(__xludf.DUMMYFUNCTION("""COMPUTED_VALUE"""),91000.0)</f>
        <v>91000</v>
      </c>
      <c r="F1635" s="1">
        <f>IFERROR(__xludf.DUMMYFUNCTION("""COMPUTED_VALUE"""),1727.0)</f>
        <v>1727</v>
      </c>
    </row>
    <row r="1636">
      <c r="A1636" s="2">
        <f>IFERROR(__xludf.DUMMYFUNCTION("""COMPUTED_VALUE"""),43349.64583333333)</f>
        <v>43349.64583</v>
      </c>
      <c r="B1636" s="1">
        <f>IFERROR(__xludf.DUMMYFUNCTION("""COMPUTED_VALUE"""),91000.0)</f>
        <v>91000</v>
      </c>
      <c r="C1636" s="1">
        <f>IFERROR(__xludf.DUMMYFUNCTION("""COMPUTED_VALUE"""),91100.0)</f>
        <v>91100</v>
      </c>
      <c r="D1636" s="1">
        <f>IFERROR(__xludf.DUMMYFUNCTION("""COMPUTED_VALUE"""),90500.0)</f>
        <v>90500</v>
      </c>
      <c r="E1636" s="1">
        <f>IFERROR(__xludf.DUMMYFUNCTION("""COMPUTED_VALUE"""),90600.0)</f>
        <v>90600</v>
      </c>
      <c r="F1636" s="1">
        <f>IFERROR(__xludf.DUMMYFUNCTION("""COMPUTED_VALUE"""),9238.0)</f>
        <v>9238</v>
      </c>
    </row>
    <row r="1637">
      <c r="A1637" s="2">
        <f>IFERROR(__xludf.DUMMYFUNCTION("""COMPUTED_VALUE"""),43350.64583333333)</f>
        <v>43350.64583</v>
      </c>
      <c r="B1637" s="1">
        <f>IFERROR(__xludf.DUMMYFUNCTION("""COMPUTED_VALUE"""),90600.0)</f>
        <v>90600</v>
      </c>
      <c r="C1637" s="1">
        <f>IFERROR(__xludf.DUMMYFUNCTION("""COMPUTED_VALUE"""),90600.0)</f>
        <v>90600</v>
      </c>
      <c r="D1637" s="1">
        <f>IFERROR(__xludf.DUMMYFUNCTION("""COMPUTED_VALUE"""),89700.0)</f>
        <v>89700</v>
      </c>
      <c r="E1637" s="1">
        <f>IFERROR(__xludf.DUMMYFUNCTION("""COMPUTED_VALUE"""),90400.0)</f>
        <v>90400</v>
      </c>
      <c r="F1637" s="1">
        <f>IFERROR(__xludf.DUMMYFUNCTION("""COMPUTED_VALUE"""),8627.0)</f>
        <v>8627</v>
      </c>
    </row>
    <row r="1638">
      <c r="A1638" s="2">
        <f>IFERROR(__xludf.DUMMYFUNCTION("""COMPUTED_VALUE"""),43353.64583333333)</f>
        <v>43353.64583</v>
      </c>
      <c r="B1638" s="1">
        <f>IFERROR(__xludf.DUMMYFUNCTION("""COMPUTED_VALUE"""),90000.0)</f>
        <v>90000</v>
      </c>
      <c r="C1638" s="1">
        <f>IFERROR(__xludf.DUMMYFUNCTION("""COMPUTED_VALUE"""),92000.0)</f>
        <v>92000</v>
      </c>
      <c r="D1638" s="1">
        <f>IFERROR(__xludf.DUMMYFUNCTION("""COMPUTED_VALUE"""),90000.0)</f>
        <v>90000</v>
      </c>
      <c r="E1638" s="1">
        <f>IFERROR(__xludf.DUMMYFUNCTION("""COMPUTED_VALUE"""),92000.0)</f>
        <v>92000</v>
      </c>
      <c r="F1638" s="1">
        <f>IFERROR(__xludf.DUMMYFUNCTION("""COMPUTED_VALUE"""),12511.0)</f>
        <v>12511</v>
      </c>
    </row>
    <row r="1639">
      <c r="A1639" s="2">
        <f>IFERROR(__xludf.DUMMYFUNCTION("""COMPUTED_VALUE"""),43354.64583333333)</f>
        <v>43354.64583</v>
      </c>
      <c r="B1639" s="1">
        <f>IFERROR(__xludf.DUMMYFUNCTION("""COMPUTED_VALUE"""),92300.0)</f>
        <v>92300</v>
      </c>
      <c r="C1639" s="1">
        <f>IFERROR(__xludf.DUMMYFUNCTION("""COMPUTED_VALUE"""),93500.0)</f>
        <v>93500</v>
      </c>
      <c r="D1639" s="1">
        <f>IFERROR(__xludf.DUMMYFUNCTION("""COMPUTED_VALUE"""),91700.0)</f>
        <v>91700</v>
      </c>
      <c r="E1639" s="1">
        <f>IFERROR(__xludf.DUMMYFUNCTION("""COMPUTED_VALUE"""),93300.0)</f>
        <v>93300</v>
      </c>
      <c r="F1639" s="1">
        <f>IFERROR(__xludf.DUMMYFUNCTION("""COMPUTED_VALUE"""),15243.0)</f>
        <v>15243</v>
      </c>
    </row>
    <row r="1640">
      <c r="A1640" s="2">
        <f>IFERROR(__xludf.DUMMYFUNCTION("""COMPUTED_VALUE"""),43355.64583333333)</f>
        <v>43355.64583</v>
      </c>
      <c r="B1640" s="1">
        <f>IFERROR(__xludf.DUMMYFUNCTION("""COMPUTED_VALUE"""),92900.0)</f>
        <v>92900</v>
      </c>
      <c r="C1640" s="1">
        <f>IFERROR(__xludf.DUMMYFUNCTION("""COMPUTED_VALUE"""),93200.0)</f>
        <v>93200</v>
      </c>
      <c r="D1640" s="1">
        <f>IFERROR(__xludf.DUMMYFUNCTION("""COMPUTED_VALUE"""),92200.0)</f>
        <v>92200</v>
      </c>
      <c r="E1640" s="1">
        <f>IFERROR(__xludf.DUMMYFUNCTION("""COMPUTED_VALUE"""),92600.0)</f>
        <v>92600</v>
      </c>
      <c r="F1640" s="1">
        <f>IFERROR(__xludf.DUMMYFUNCTION("""COMPUTED_VALUE"""),3162.0)</f>
        <v>3162</v>
      </c>
    </row>
    <row r="1641">
      <c r="A1641" s="2">
        <f>IFERROR(__xludf.DUMMYFUNCTION("""COMPUTED_VALUE"""),43356.64583333333)</f>
        <v>43356.64583</v>
      </c>
      <c r="B1641" s="1">
        <f>IFERROR(__xludf.DUMMYFUNCTION("""COMPUTED_VALUE"""),92600.0)</f>
        <v>92600</v>
      </c>
      <c r="C1641" s="1">
        <f>IFERROR(__xludf.DUMMYFUNCTION("""COMPUTED_VALUE"""),93200.0)</f>
        <v>93200</v>
      </c>
      <c r="D1641" s="1">
        <f>IFERROR(__xludf.DUMMYFUNCTION("""COMPUTED_VALUE"""),91900.0)</f>
        <v>91900</v>
      </c>
      <c r="E1641" s="1">
        <f>IFERROR(__xludf.DUMMYFUNCTION("""COMPUTED_VALUE"""),93000.0)</f>
        <v>93000</v>
      </c>
      <c r="F1641" s="1">
        <f>IFERROR(__xludf.DUMMYFUNCTION("""COMPUTED_VALUE"""),10493.0)</f>
        <v>10493</v>
      </c>
    </row>
    <row r="1642">
      <c r="A1642" s="2">
        <f>IFERROR(__xludf.DUMMYFUNCTION("""COMPUTED_VALUE"""),43357.64583333333)</f>
        <v>43357.64583</v>
      </c>
      <c r="B1642" s="1">
        <f>IFERROR(__xludf.DUMMYFUNCTION("""COMPUTED_VALUE"""),93000.0)</f>
        <v>93000</v>
      </c>
      <c r="C1642" s="1">
        <f>IFERROR(__xludf.DUMMYFUNCTION("""COMPUTED_VALUE"""),94000.0)</f>
        <v>94000</v>
      </c>
      <c r="D1642" s="1">
        <f>IFERROR(__xludf.DUMMYFUNCTION("""COMPUTED_VALUE"""),92900.0)</f>
        <v>92900</v>
      </c>
      <c r="E1642" s="1">
        <f>IFERROR(__xludf.DUMMYFUNCTION("""COMPUTED_VALUE"""),93700.0)</f>
        <v>93700</v>
      </c>
      <c r="F1642" s="1">
        <f>IFERROR(__xludf.DUMMYFUNCTION("""COMPUTED_VALUE"""),8987.0)</f>
        <v>8987</v>
      </c>
    </row>
    <row r="1643">
      <c r="A1643" s="2">
        <f>IFERROR(__xludf.DUMMYFUNCTION("""COMPUTED_VALUE"""),43360.64583333333)</f>
        <v>43360.64583</v>
      </c>
      <c r="B1643" s="1">
        <f>IFERROR(__xludf.DUMMYFUNCTION("""COMPUTED_VALUE"""),93700.0)</f>
        <v>93700</v>
      </c>
      <c r="C1643" s="1">
        <f>IFERROR(__xludf.DUMMYFUNCTION("""COMPUTED_VALUE"""),93900.0)</f>
        <v>93900</v>
      </c>
      <c r="D1643" s="1">
        <f>IFERROR(__xludf.DUMMYFUNCTION("""COMPUTED_VALUE"""),93000.0)</f>
        <v>93000</v>
      </c>
      <c r="E1643" s="1">
        <f>IFERROR(__xludf.DUMMYFUNCTION("""COMPUTED_VALUE"""),93200.0)</f>
        <v>93200</v>
      </c>
      <c r="F1643" s="1">
        <f>IFERROR(__xludf.DUMMYFUNCTION("""COMPUTED_VALUE"""),2945.0)</f>
        <v>2945</v>
      </c>
    </row>
    <row r="1644">
      <c r="A1644" s="2">
        <f>IFERROR(__xludf.DUMMYFUNCTION("""COMPUTED_VALUE"""),43361.64583333333)</f>
        <v>43361.64583</v>
      </c>
      <c r="B1644" s="1">
        <f>IFERROR(__xludf.DUMMYFUNCTION("""COMPUTED_VALUE"""),93000.0)</f>
        <v>93000</v>
      </c>
      <c r="C1644" s="1">
        <f>IFERROR(__xludf.DUMMYFUNCTION("""COMPUTED_VALUE"""),94200.0)</f>
        <v>94200</v>
      </c>
      <c r="D1644" s="1">
        <f>IFERROR(__xludf.DUMMYFUNCTION("""COMPUTED_VALUE"""),93000.0)</f>
        <v>93000</v>
      </c>
      <c r="E1644" s="1">
        <f>IFERROR(__xludf.DUMMYFUNCTION("""COMPUTED_VALUE"""),94000.0)</f>
        <v>94000</v>
      </c>
      <c r="F1644" s="1">
        <f>IFERROR(__xludf.DUMMYFUNCTION("""COMPUTED_VALUE"""),6125.0)</f>
        <v>6125</v>
      </c>
    </row>
    <row r="1645">
      <c r="A1645" s="2">
        <f>IFERROR(__xludf.DUMMYFUNCTION("""COMPUTED_VALUE"""),43362.64583333333)</f>
        <v>43362.64583</v>
      </c>
      <c r="B1645" s="1">
        <f>IFERROR(__xludf.DUMMYFUNCTION("""COMPUTED_VALUE"""),94000.0)</f>
        <v>94000</v>
      </c>
      <c r="C1645" s="1">
        <f>IFERROR(__xludf.DUMMYFUNCTION("""COMPUTED_VALUE"""),95000.0)</f>
        <v>95000</v>
      </c>
      <c r="D1645" s="1">
        <f>IFERROR(__xludf.DUMMYFUNCTION("""COMPUTED_VALUE"""),93700.0)</f>
        <v>93700</v>
      </c>
      <c r="E1645" s="1">
        <f>IFERROR(__xludf.DUMMYFUNCTION("""COMPUTED_VALUE"""),94800.0)</f>
        <v>94800</v>
      </c>
      <c r="F1645" s="1">
        <f>IFERROR(__xludf.DUMMYFUNCTION("""COMPUTED_VALUE"""),10336.0)</f>
        <v>10336</v>
      </c>
    </row>
    <row r="1646">
      <c r="A1646" s="2">
        <f>IFERROR(__xludf.DUMMYFUNCTION("""COMPUTED_VALUE"""),43363.64583333333)</f>
        <v>43363.64583</v>
      </c>
      <c r="B1646" s="1">
        <f>IFERROR(__xludf.DUMMYFUNCTION("""COMPUTED_VALUE"""),94900.0)</f>
        <v>94900</v>
      </c>
      <c r="C1646" s="1">
        <f>IFERROR(__xludf.DUMMYFUNCTION("""COMPUTED_VALUE"""),95000.0)</f>
        <v>95000</v>
      </c>
      <c r="D1646" s="1">
        <f>IFERROR(__xludf.DUMMYFUNCTION("""COMPUTED_VALUE"""),94000.0)</f>
        <v>94000</v>
      </c>
      <c r="E1646" s="1">
        <f>IFERROR(__xludf.DUMMYFUNCTION("""COMPUTED_VALUE"""),94100.0)</f>
        <v>94100</v>
      </c>
      <c r="F1646" s="1">
        <f>IFERROR(__xludf.DUMMYFUNCTION("""COMPUTED_VALUE"""),2959.0)</f>
        <v>2959</v>
      </c>
    </row>
    <row r="1647">
      <c r="A1647" s="2">
        <f>IFERROR(__xludf.DUMMYFUNCTION("""COMPUTED_VALUE"""),43364.64583333333)</f>
        <v>43364.64583</v>
      </c>
      <c r="B1647" s="1">
        <f>IFERROR(__xludf.DUMMYFUNCTION("""COMPUTED_VALUE"""),93800.0)</f>
        <v>93800</v>
      </c>
      <c r="C1647" s="1">
        <f>IFERROR(__xludf.DUMMYFUNCTION("""COMPUTED_VALUE"""),94600.0)</f>
        <v>94600</v>
      </c>
      <c r="D1647" s="1">
        <f>IFERROR(__xludf.DUMMYFUNCTION("""COMPUTED_VALUE"""),93600.0)</f>
        <v>93600</v>
      </c>
      <c r="E1647" s="1">
        <f>IFERROR(__xludf.DUMMYFUNCTION("""COMPUTED_VALUE"""),94600.0)</f>
        <v>94600</v>
      </c>
      <c r="F1647" s="1">
        <f>IFERROR(__xludf.DUMMYFUNCTION("""COMPUTED_VALUE"""),3225.0)</f>
        <v>3225</v>
      </c>
    </row>
    <row r="1648">
      <c r="A1648" s="2">
        <f>IFERROR(__xludf.DUMMYFUNCTION("""COMPUTED_VALUE"""),43370.64583333333)</f>
        <v>43370.64583</v>
      </c>
      <c r="B1648" s="1">
        <f>IFERROR(__xludf.DUMMYFUNCTION("""COMPUTED_VALUE"""),93900.0)</f>
        <v>93900</v>
      </c>
      <c r="C1648" s="1">
        <f>IFERROR(__xludf.DUMMYFUNCTION("""COMPUTED_VALUE"""),96600.0)</f>
        <v>96600</v>
      </c>
      <c r="D1648" s="1">
        <f>IFERROR(__xludf.DUMMYFUNCTION("""COMPUTED_VALUE"""),93900.0)</f>
        <v>93900</v>
      </c>
      <c r="E1648" s="1">
        <f>IFERROR(__xludf.DUMMYFUNCTION("""COMPUTED_VALUE"""),96100.0)</f>
        <v>96100</v>
      </c>
      <c r="F1648" s="1">
        <f>IFERROR(__xludf.DUMMYFUNCTION("""COMPUTED_VALUE"""),14530.0)</f>
        <v>14530</v>
      </c>
    </row>
    <row r="1649">
      <c r="A1649" s="2">
        <f>IFERROR(__xludf.DUMMYFUNCTION("""COMPUTED_VALUE"""),43371.64583333333)</f>
        <v>43371.64583</v>
      </c>
      <c r="B1649" s="1">
        <f>IFERROR(__xludf.DUMMYFUNCTION("""COMPUTED_VALUE"""),96900.0)</f>
        <v>96900</v>
      </c>
      <c r="C1649" s="1">
        <f>IFERROR(__xludf.DUMMYFUNCTION("""COMPUTED_VALUE"""),97200.0)</f>
        <v>97200</v>
      </c>
      <c r="D1649" s="1">
        <f>IFERROR(__xludf.DUMMYFUNCTION("""COMPUTED_VALUE"""),96000.0)</f>
        <v>96000</v>
      </c>
      <c r="E1649" s="1">
        <f>IFERROR(__xludf.DUMMYFUNCTION("""COMPUTED_VALUE"""),97200.0)</f>
        <v>97200</v>
      </c>
      <c r="F1649" s="1">
        <f>IFERROR(__xludf.DUMMYFUNCTION("""COMPUTED_VALUE"""),13662.0)</f>
        <v>13662</v>
      </c>
    </row>
    <row r="1650">
      <c r="A1650" s="2">
        <f>IFERROR(__xludf.DUMMYFUNCTION("""COMPUTED_VALUE"""),43374.64583333333)</f>
        <v>43374.64583</v>
      </c>
      <c r="B1650" s="1">
        <f>IFERROR(__xludf.DUMMYFUNCTION("""COMPUTED_VALUE"""),97900.0)</f>
        <v>97900</v>
      </c>
      <c r="C1650" s="1">
        <f>IFERROR(__xludf.DUMMYFUNCTION("""COMPUTED_VALUE"""),98100.0)</f>
        <v>98100</v>
      </c>
      <c r="D1650" s="1">
        <f>IFERROR(__xludf.DUMMYFUNCTION("""COMPUTED_VALUE"""),97200.0)</f>
        <v>97200</v>
      </c>
      <c r="E1650" s="1">
        <f>IFERROR(__xludf.DUMMYFUNCTION("""COMPUTED_VALUE"""),98000.0)</f>
        <v>98000</v>
      </c>
      <c r="F1650" s="1">
        <f>IFERROR(__xludf.DUMMYFUNCTION("""COMPUTED_VALUE"""),8794.0)</f>
        <v>8794</v>
      </c>
    </row>
    <row r="1651">
      <c r="A1651" s="2">
        <f>IFERROR(__xludf.DUMMYFUNCTION("""COMPUTED_VALUE"""),43375.64583333333)</f>
        <v>43375.64583</v>
      </c>
      <c r="B1651" s="1">
        <f>IFERROR(__xludf.DUMMYFUNCTION("""COMPUTED_VALUE"""),97500.0)</f>
        <v>97500</v>
      </c>
      <c r="C1651" s="1">
        <f>IFERROR(__xludf.DUMMYFUNCTION("""COMPUTED_VALUE"""),98000.0)</f>
        <v>98000</v>
      </c>
      <c r="D1651" s="1">
        <f>IFERROR(__xludf.DUMMYFUNCTION("""COMPUTED_VALUE"""),96600.0)</f>
        <v>96600</v>
      </c>
      <c r="E1651" s="1">
        <f>IFERROR(__xludf.DUMMYFUNCTION("""COMPUTED_VALUE"""),97300.0)</f>
        <v>97300</v>
      </c>
      <c r="F1651" s="1">
        <f>IFERROR(__xludf.DUMMYFUNCTION("""COMPUTED_VALUE"""),18653.0)</f>
        <v>18653</v>
      </c>
    </row>
    <row r="1652">
      <c r="A1652" s="2">
        <f>IFERROR(__xludf.DUMMYFUNCTION("""COMPUTED_VALUE"""),43377.64583333333)</f>
        <v>43377.64583</v>
      </c>
      <c r="B1652" s="1">
        <f>IFERROR(__xludf.DUMMYFUNCTION("""COMPUTED_VALUE"""),97800.0)</f>
        <v>97800</v>
      </c>
      <c r="C1652" s="1">
        <f>IFERROR(__xludf.DUMMYFUNCTION("""COMPUTED_VALUE"""),97800.0)</f>
        <v>97800</v>
      </c>
      <c r="D1652" s="1">
        <f>IFERROR(__xludf.DUMMYFUNCTION("""COMPUTED_VALUE"""),95000.0)</f>
        <v>95000</v>
      </c>
      <c r="E1652" s="1">
        <f>IFERROR(__xludf.DUMMYFUNCTION("""COMPUTED_VALUE"""),95800.0)</f>
        <v>95800</v>
      </c>
      <c r="F1652" s="1">
        <f>IFERROR(__xludf.DUMMYFUNCTION("""COMPUTED_VALUE"""),9847.0)</f>
        <v>9847</v>
      </c>
    </row>
    <row r="1653">
      <c r="A1653" s="2">
        <f>IFERROR(__xludf.DUMMYFUNCTION("""COMPUTED_VALUE"""),43378.64583333333)</f>
        <v>43378.64583</v>
      </c>
      <c r="B1653" s="1">
        <f>IFERROR(__xludf.DUMMYFUNCTION("""COMPUTED_VALUE"""),95800.0)</f>
        <v>95800</v>
      </c>
      <c r="C1653" s="1">
        <f>IFERROR(__xludf.DUMMYFUNCTION("""COMPUTED_VALUE"""),95800.0)</f>
        <v>95800</v>
      </c>
      <c r="D1653" s="1">
        <f>IFERROR(__xludf.DUMMYFUNCTION("""COMPUTED_VALUE"""),93000.0)</f>
        <v>93000</v>
      </c>
      <c r="E1653" s="1">
        <f>IFERROR(__xludf.DUMMYFUNCTION("""COMPUTED_VALUE"""),95400.0)</f>
        <v>95400</v>
      </c>
      <c r="F1653" s="1">
        <f>IFERROR(__xludf.DUMMYFUNCTION("""COMPUTED_VALUE"""),41947.0)</f>
        <v>41947</v>
      </c>
    </row>
    <row r="1654">
      <c r="A1654" s="2">
        <f>IFERROR(__xludf.DUMMYFUNCTION("""COMPUTED_VALUE"""),43381.64583333333)</f>
        <v>43381.64583</v>
      </c>
      <c r="B1654" s="1">
        <f>IFERROR(__xludf.DUMMYFUNCTION("""COMPUTED_VALUE"""),95400.0)</f>
        <v>95400</v>
      </c>
      <c r="C1654" s="1">
        <f>IFERROR(__xludf.DUMMYFUNCTION("""COMPUTED_VALUE"""),95700.0)</f>
        <v>95700</v>
      </c>
      <c r="D1654" s="1">
        <f>IFERROR(__xludf.DUMMYFUNCTION("""COMPUTED_VALUE"""),94000.0)</f>
        <v>94000</v>
      </c>
      <c r="E1654" s="1">
        <f>IFERROR(__xludf.DUMMYFUNCTION("""COMPUTED_VALUE"""),94500.0)</f>
        <v>94500</v>
      </c>
      <c r="F1654" s="1">
        <f>IFERROR(__xludf.DUMMYFUNCTION("""COMPUTED_VALUE"""),6898.0)</f>
        <v>6898</v>
      </c>
    </row>
    <row r="1655">
      <c r="A1655" s="2">
        <f>IFERROR(__xludf.DUMMYFUNCTION("""COMPUTED_VALUE"""),43383.64583333333)</f>
        <v>43383.64583</v>
      </c>
      <c r="B1655" s="1">
        <f>IFERROR(__xludf.DUMMYFUNCTION("""COMPUTED_VALUE"""),94900.0)</f>
        <v>94900</v>
      </c>
      <c r="C1655" s="1">
        <f>IFERROR(__xludf.DUMMYFUNCTION("""COMPUTED_VALUE"""),95500.0)</f>
        <v>95500</v>
      </c>
      <c r="D1655" s="1">
        <f>IFERROR(__xludf.DUMMYFUNCTION("""COMPUTED_VALUE"""),92500.0)</f>
        <v>92500</v>
      </c>
      <c r="E1655" s="1">
        <f>IFERROR(__xludf.DUMMYFUNCTION("""COMPUTED_VALUE"""),93800.0)</f>
        <v>93800</v>
      </c>
      <c r="F1655" s="1">
        <f>IFERROR(__xludf.DUMMYFUNCTION("""COMPUTED_VALUE"""),12371.0)</f>
        <v>12371</v>
      </c>
    </row>
    <row r="1656">
      <c r="A1656" s="2">
        <f>IFERROR(__xludf.DUMMYFUNCTION("""COMPUTED_VALUE"""),43384.64583333333)</f>
        <v>43384.64583</v>
      </c>
      <c r="B1656" s="1">
        <f>IFERROR(__xludf.DUMMYFUNCTION("""COMPUTED_VALUE"""),93000.0)</f>
        <v>93000</v>
      </c>
      <c r="C1656" s="1">
        <f>IFERROR(__xludf.DUMMYFUNCTION("""COMPUTED_VALUE"""),93000.0)</f>
        <v>93000</v>
      </c>
      <c r="D1656" s="1">
        <f>IFERROR(__xludf.DUMMYFUNCTION("""COMPUTED_VALUE"""),90900.0)</f>
        <v>90900</v>
      </c>
      <c r="E1656" s="1">
        <f>IFERROR(__xludf.DUMMYFUNCTION("""COMPUTED_VALUE"""),91000.0)</f>
        <v>91000</v>
      </c>
      <c r="F1656" s="1">
        <f>IFERROR(__xludf.DUMMYFUNCTION("""COMPUTED_VALUE"""),15530.0)</f>
        <v>15530</v>
      </c>
    </row>
    <row r="1657">
      <c r="A1657" s="2">
        <f>IFERROR(__xludf.DUMMYFUNCTION("""COMPUTED_VALUE"""),43385.64583333333)</f>
        <v>43385.64583</v>
      </c>
      <c r="B1657" s="1">
        <f>IFERROR(__xludf.DUMMYFUNCTION("""COMPUTED_VALUE"""),89900.0)</f>
        <v>89900</v>
      </c>
      <c r="C1657" s="1">
        <f>IFERROR(__xludf.DUMMYFUNCTION("""COMPUTED_VALUE"""),93000.0)</f>
        <v>93000</v>
      </c>
      <c r="D1657" s="1">
        <f>IFERROR(__xludf.DUMMYFUNCTION("""COMPUTED_VALUE"""),89900.0)</f>
        <v>89900</v>
      </c>
      <c r="E1657" s="1">
        <f>IFERROR(__xludf.DUMMYFUNCTION("""COMPUTED_VALUE"""),93000.0)</f>
        <v>93000</v>
      </c>
      <c r="F1657" s="1">
        <f>IFERROR(__xludf.DUMMYFUNCTION("""COMPUTED_VALUE"""),10479.0)</f>
        <v>10479</v>
      </c>
    </row>
    <row r="1658">
      <c r="A1658" s="2">
        <f>IFERROR(__xludf.DUMMYFUNCTION("""COMPUTED_VALUE"""),43388.64583333333)</f>
        <v>43388.64583</v>
      </c>
      <c r="B1658" s="1">
        <f>IFERROR(__xludf.DUMMYFUNCTION("""COMPUTED_VALUE"""),91900.0)</f>
        <v>91900</v>
      </c>
      <c r="C1658" s="1">
        <f>IFERROR(__xludf.DUMMYFUNCTION("""COMPUTED_VALUE"""),93800.0)</f>
        <v>93800</v>
      </c>
      <c r="D1658" s="1">
        <f>IFERROR(__xludf.DUMMYFUNCTION("""COMPUTED_VALUE"""),91900.0)</f>
        <v>91900</v>
      </c>
      <c r="E1658" s="1">
        <f>IFERROR(__xludf.DUMMYFUNCTION("""COMPUTED_VALUE"""),93400.0)</f>
        <v>93400</v>
      </c>
      <c r="F1658" s="1">
        <f>IFERROR(__xludf.DUMMYFUNCTION("""COMPUTED_VALUE"""),3863.0)</f>
        <v>3863</v>
      </c>
    </row>
    <row r="1659">
      <c r="A1659" s="2">
        <f>IFERROR(__xludf.DUMMYFUNCTION("""COMPUTED_VALUE"""),43389.64583333333)</f>
        <v>43389.64583</v>
      </c>
      <c r="B1659" s="1">
        <f>IFERROR(__xludf.DUMMYFUNCTION("""COMPUTED_VALUE"""),92800.0)</f>
        <v>92800</v>
      </c>
      <c r="C1659" s="1">
        <f>IFERROR(__xludf.DUMMYFUNCTION("""COMPUTED_VALUE"""),93400.0)</f>
        <v>93400</v>
      </c>
      <c r="D1659" s="1">
        <f>IFERROR(__xludf.DUMMYFUNCTION("""COMPUTED_VALUE"""),92300.0)</f>
        <v>92300</v>
      </c>
      <c r="E1659" s="1">
        <f>IFERROR(__xludf.DUMMYFUNCTION("""COMPUTED_VALUE"""),92700.0)</f>
        <v>92700</v>
      </c>
      <c r="F1659" s="1">
        <f>IFERROR(__xludf.DUMMYFUNCTION("""COMPUTED_VALUE"""),5155.0)</f>
        <v>5155</v>
      </c>
    </row>
    <row r="1660">
      <c r="A1660" s="2">
        <f>IFERROR(__xludf.DUMMYFUNCTION("""COMPUTED_VALUE"""),43390.64583333333)</f>
        <v>43390.64583</v>
      </c>
      <c r="B1660" s="1">
        <f>IFERROR(__xludf.DUMMYFUNCTION("""COMPUTED_VALUE"""),93500.0)</f>
        <v>93500</v>
      </c>
      <c r="C1660" s="1">
        <f>IFERROR(__xludf.DUMMYFUNCTION("""COMPUTED_VALUE"""),95100.0)</f>
        <v>95100</v>
      </c>
      <c r="D1660" s="1">
        <f>IFERROR(__xludf.DUMMYFUNCTION("""COMPUTED_VALUE"""),92900.0)</f>
        <v>92900</v>
      </c>
      <c r="E1660" s="1">
        <f>IFERROR(__xludf.DUMMYFUNCTION("""COMPUTED_VALUE"""),94800.0)</f>
        <v>94800</v>
      </c>
      <c r="F1660" s="1">
        <f>IFERROR(__xludf.DUMMYFUNCTION("""COMPUTED_VALUE"""),15446.0)</f>
        <v>15446</v>
      </c>
    </row>
    <row r="1661">
      <c r="A1661" s="2">
        <f>IFERROR(__xludf.DUMMYFUNCTION("""COMPUTED_VALUE"""),43391.64583333333)</f>
        <v>43391.64583</v>
      </c>
      <c r="B1661" s="1">
        <f>IFERROR(__xludf.DUMMYFUNCTION("""COMPUTED_VALUE"""),94700.0)</f>
        <v>94700</v>
      </c>
      <c r="C1661" s="1">
        <f>IFERROR(__xludf.DUMMYFUNCTION("""COMPUTED_VALUE"""),94800.0)</f>
        <v>94800</v>
      </c>
      <c r="D1661" s="1">
        <f>IFERROR(__xludf.DUMMYFUNCTION("""COMPUTED_VALUE"""),93900.0)</f>
        <v>93900</v>
      </c>
      <c r="E1661" s="1">
        <f>IFERROR(__xludf.DUMMYFUNCTION("""COMPUTED_VALUE"""),94800.0)</f>
        <v>94800</v>
      </c>
      <c r="F1661" s="1">
        <f>IFERROR(__xludf.DUMMYFUNCTION("""COMPUTED_VALUE"""),5481.0)</f>
        <v>5481</v>
      </c>
    </row>
    <row r="1662">
      <c r="A1662" s="2">
        <f>IFERROR(__xludf.DUMMYFUNCTION("""COMPUTED_VALUE"""),43392.64583333333)</f>
        <v>43392.64583</v>
      </c>
      <c r="B1662" s="1">
        <f>IFERROR(__xludf.DUMMYFUNCTION("""COMPUTED_VALUE"""),94500.0)</f>
        <v>94500</v>
      </c>
      <c r="C1662" s="1">
        <f>IFERROR(__xludf.DUMMYFUNCTION("""COMPUTED_VALUE"""),94500.0)</f>
        <v>94500</v>
      </c>
      <c r="D1662" s="1">
        <f>IFERROR(__xludf.DUMMYFUNCTION("""COMPUTED_VALUE"""),90000.0)</f>
        <v>90000</v>
      </c>
      <c r="E1662" s="1">
        <f>IFERROR(__xludf.DUMMYFUNCTION("""COMPUTED_VALUE"""),92900.0)</f>
        <v>92900</v>
      </c>
      <c r="F1662" s="1">
        <f>IFERROR(__xludf.DUMMYFUNCTION("""COMPUTED_VALUE"""),13740.0)</f>
        <v>13740</v>
      </c>
    </row>
    <row r="1663">
      <c r="A1663" s="2">
        <f>IFERROR(__xludf.DUMMYFUNCTION("""COMPUTED_VALUE"""),43395.64583333333)</f>
        <v>43395.64583</v>
      </c>
      <c r="B1663" s="1">
        <f>IFERROR(__xludf.DUMMYFUNCTION("""COMPUTED_VALUE"""),92500.0)</f>
        <v>92500</v>
      </c>
      <c r="C1663" s="1">
        <f>IFERROR(__xludf.DUMMYFUNCTION("""COMPUTED_VALUE"""),92600.0)</f>
        <v>92600</v>
      </c>
      <c r="D1663" s="1">
        <f>IFERROR(__xludf.DUMMYFUNCTION("""COMPUTED_VALUE"""),91300.0)</f>
        <v>91300</v>
      </c>
      <c r="E1663" s="1">
        <f>IFERROR(__xludf.DUMMYFUNCTION("""COMPUTED_VALUE"""),92500.0)</f>
        <v>92500</v>
      </c>
      <c r="F1663" s="1">
        <f>IFERROR(__xludf.DUMMYFUNCTION("""COMPUTED_VALUE"""),8614.0)</f>
        <v>8614</v>
      </c>
    </row>
    <row r="1664">
      <c r="A1664" s="2">
        <f>IFERROR(__xludf.DUMMYFUNCTION("""COMPUTED_VALUE"""),43396.64583333333)</f>
        <v>43396.64583</v>
      </c>
      <c r="B1664" s="1">
        <f>IFERROR(__xludf.DUMMYFUNCTION("""COMPUTED_VALUE"""),92100.0)</f>
        <v>92100</v>
      </c>
      <c r="C1664" s="1">
        <f>IFERROR(__xludf.DUMMYFUNCTION("""COMPUTED_VALUE"""),92500.0)</f>
        <v>92500</v>
      </c>
      <c r="D1664" s="1">
        <f>IFERROR(__xludf.DUMMYFUNCTION("""COMPUTED_VALUE"""),91100.0)</f>
        <v>91100</v>
      </c>
      <c r="E1664" s="1">
        <f>IFERROR(__xludf.DUMMYFUNCTION("""COMPUTED_VALUE"""),91800.0)</f>
        <v>91800</v>
      </c>
      <c r="F1664" s="1">
        <f>IFERROR(__xludf.DUMMYFUNCTION("""COMPUTED_VALUE"""),5880.0)</f>
        <v>5880</v>
      </c>
    </row>
    <row r="1665">
      <c r="A1665" s="2">
        <f>IFERROR(__xludf.DUMMYFUNCTION("""COMPUTED_VALUE"""),43397.64583333333)</f>
        <v>43397.64583</v>
      </c>
      <c r="B1665" s="1">
        <f>IFERROR(__xludf.DUMMYFUNCTION("""COMPUTED_VALUE"""),91800.0)</f>
        <v>91800</v>
      </c>
      <c r="C1665" s="1">
        <f>IFERROR(__xludf.DUMMYFUNCTION("""COMPUTED_VALUE"""),92700.0)</f>
        <v>92700</v>
      </c>
      <c r="D1665" s="1">
        <f>IFERROR(__xludf.DUMMYFUNCTION("""COMPUTED_VALUE"""),91200.0)</f>
        <v>91200</v>
      </c>
      <c r="E1665" s="1">
        <f>IFERROR(__xludf.DUMMYFUNCTION("""COMPUTED_VALUE"""),91800.0)</f>
        <v>91800</v>
      </c>
      <c r="F1665" s="1">
        <f>IFERROR(__xludf.DUMMYFUNCTION("""COMPUTED_VALUE"""),4372.0)</f>
        <v>4372</v>
      </c>
    </row>
    <row r="1666">
      <c r="A1666" s="2">
        <f>IFERROR(__xludf.DUMMYFUNCTION("""COMPUTED_VALUE"""),43398.64583333333)</f>
        <v>43398.64583</v>
      </c>
      <c r="B1666" s="1">
        <f>IFERROR(__xludf.DUMMYFUNCTION("""COMPUTED_VALUE"""),90900.0)</f>
        <v>90900</v>
      </c>
      <c r="C1666" s="1">
        <f>IFERROR(__xludf.DUMMYFUNCTION("""COMPUTED_VALUE"""),92000.0)</f>
        <v>92000</v>
      </c>
      <c r="D1666" s="1">
        <f>IFERROR(__xludf.DUMMYFUNCTION("""COMPUTED_VALUE"""),90600.0)</f>
        <v>90600</v>
      </c>
      <c r="E1666" s="1">
        <f>IFERROR(__xludf.DUMMYFUNCTION("""COMPUTED_VALUE"""),92000.0)</f>
        <v>92000</v>
      </c>
      <c r="F1666" s="1">
        <f>IFERROR(__xludf.DUMMYFUNCTION("""COMPUTED_VALUE"""),8171.0)</f>
        <v>8171</v>
      </c>
    </row>
    <row r="1667">
      <c r="A1667" s="2">
        <f>IFERROR(__xludf.DUMMYFUNCTION("""COMPUTED_VALUE"""),43399.64583333333)</f>
        <v>43399.64583</v>
      </c>
      <c r="B1667" s="1">
        <f>IFERROR(__xludf.DUMMYFUNCTION("""COMPUTED_VALUE"""),92200.0)</f>
        <v>92200</v>
      </c>
      <c r="C1667" s="1">
        <f>IFERROR(__xludf.DUMMYFUNCTION("""COMPUTED_VALUE"""),92400.0)</f>
        <v>92400</v>
      </c>
      <c r="D1667" s="1">
        <f>IFERROR(__xludf.DUMMYFUNCTION("""COMPUTED_VALUE"""),89600.0)</f>
        <v>89600</v>
      </c>
      <c r="E1667" s="1">
        <f>IFERROR(__xludf.DUMMYFUNCTION("""COMPUTED_VALUE"""),90000.0)</f>
        <v>90000</v>
      </c>
      <c r="F1667" s="1">
        <f>IFERROR(__xludf.DUMMYFUNCTION("""COMPUTED_VALUE"""),21715.0)</f>
        <v>21715</v>
      </c>
    </row>
    <row r="1668">
      <c r="A1668" s="2">
        <f>IFERROR(__xludf.DUMMYFUNCTION("""COMPUTED_VALUE"""),43402.64583333333)</f>
        <v>43402.64583</v>
      </c>
      <c r="B1668" s="1">
        <f>IFERROR(__xludf.DUMMYFUNCTION("""COMPUTED_VALUE"""),89900.0)</f>
        <v>89900</v>
      </c>
      <c r="C1668" s="1">
        <f>IFERROR(__xludf.DUMMYFUNCTION("""COMPUTED_VALUE"""),90400.0)</f>
        <v>90400</v>
      </c>
      <c r="D1668" s="1">
        <f>IFERROR(__xludf.DUMMYFUNCTION("""COMPUTED_VALUE"""),85000.0)</f>
        <v>85000</v>
      </c>
      <c r="E1668" s="1">
        <f>IFERROR(__xludf.DUMMYFUNCTION("""COMPUTED_VALUE"""),85500.0)</f>
        <v>85500</v>
      </c>
      <c r="F1668" s="1">
        <f>IFERROR(__xludf.DUMMYFUNCTION("""COMPUTED_VALUE"""),23238.0)</f>
        <v>23238</v>
      </c>
    </row>
    <row r="1669">
      <c r="A1669" s="2">
        <f>IFERROR(__xludf.DUMMYFUNCTION("""COMPUTED_VALUE"""),43403.64583333333)</f>
        <v>43403.64583</v>
      </c>
      <c r="B1669" s="1">
        <f>IFERROR(__xludf.DUMMYFUNCTION("""COMPUTED_VALUE"""),83200.0)</f>
        <v>83200</v>
      </c>
      <c r="C1669" s="1">
        <f>IFERROR(__xludf.DUMMYFUNCTION("""COMPUTED_VALUE"""),87300.0)</f>
        <v>87300</v>
      </c>
      <c r="D1669" s="1">
        <f>IFERROR(__xludf.DUMMYFUNCTION("""COMPUTED_VALUE"""),83200.0)</f>
        <v>83200</v>
      </c>
      <c r="E1669" s="1">
        <f>IFERROR(__xludf.DUMMYFUNCTION("""COMPUTED_VALUE"""),86900.0)</f>
        <v>86900</v>
      </c>
      <c r="F1669" s="1">
        <f>IFERROR(__xludf.DUMMYFUNCTION("""COMPUTED_VALUE"""),10516.0)</f>
        <v>10516</v>
      </c>
    </row>
    <row r="1670">
      <c r="A1670" s="2">
        <f>IFERROR(__xludf.DUMMYFUNCTION("""COMPUTED_VALUE"""),43404.64583333333)</f>
        <v>43404.64583</v>
      </c>
      <c r="B1670" s="1">
        <f>IFERROR(__xludf.DUMMYFUNCTION("""COMPUTED_VALUE"""),88000.0)</f>
        <v>88000</v>
      </c>
      <c r="C1670" s="1">
        <f>IFERROR(__xludf.DUMMYFUNCTION("""COMPUTED_VALUE"""),89600.0)</f>
        <v>89600</v>
      </c>
      <c r="D1670" s="1">
        <f>IFERROR(__xludf.DUMMYFUNCTION("""COMPUTED_VALUE"""),86400.0)</f>
        <v>86400</v>
      </c>
      <c r="E1670" s="1">
        <f>IFERROR(__xludf.DUMMYFUNCTION("""COMPUTED_VALUE"""),89100.0)</f>
        <v>89100</v>
      </c>
      <c r="F1670" s="1">
        <f>IFERROR(__xludf.DUMMYFUNCTION("""COMPUTED_VALUE"""),6321.0)</f>
        <v>6321</v>
      </c>
    </row>
    <row r="1671">
      <c r="A1671" s="2">
        <f>IFERROR(__xludf.DUMMYFUNCTION("""COMPUTED_VALUE"""),43405.64583333333)</f>
        <v>43405.64583</v>
      </c>
      <c r="B1671" s="1">
        <f>IFERROR(__xludf.DUMMYFUNCTION("""COMPUTED_VALUE"""),89900.0)</f>
        <v>89900</v>
      </c>
      <c r="C1671" s="1">
        <f>IFERROR(__xludf.DUMMYFUNCTION("""COMPUTED_VALUE"""),89900.0)</f>
        <v>89900</v>
      </c>
      <c r="D1671" s="1">
        <f>IFERROR(__xludf.DUMMYFUNCTION("""COMPUTED_VALUE"""),87000.0)</f>
        <v>87000</v>
      </c>
      <c r="E1671" s="1">
        <f>IFERROR(__xludf.DUMMYFUNCTION("""COMPUTED_VALUE"""),87100.0)</f>
        <v>87100</v>
      </c>
      <c r="F1671" s="1">
        <f>IFERROR(__xludf.DUMMYFUNCTION("""COMPUTED_VALUE"""),9348.0)</f>
        <v>9348</v>
      </c>
    </row>
    <row r="1672">
      <c r="A1672" s="2">
        <f>IFERROR(__xludf.DUMMYFUNCTION("""COMPUTED_VALUE"""),43406.64583333333)</f>
        <v>43406.64583</v>
      </c>
      <c r="B1672" s="1">
        <f>IFERROR(__xludf.DUMMYFUNCTION("""COMPUTED_VALUE"""),88500.0)</f>
        <v>88500</v>
      </c>
      <c r="C1672" s="1">
        <f>IFERROR(__xludf.DUMMYFUNCTION("""COMPUTED_VALUE"""),88700.0)</f>
        <v>88700</v>
      </c>
      <c r="D1672" s="1">
        <f>IFERROR(__xludf.DUMMYFUNCTION("""COMPUTED_VALUE"""),87400.0)</f>
        <v>87400</v>
      </c>
      <c r="E1672" s="1">
        <f>IFERROR(__xludf.DUMMYFUNCTION("""COMPUTED_VALUE"""),88500.0)</f>
        <v>88500</v>
      </c>
      <c r="F1672" s="1">
        <f>IFERROR(__xludf.DUMMYFUNCTION("""COMPUTED_VALUE"""),7835.0)</f>
        <v>7835</v>
      </c>
    </row>
    <row r="1673">
      <c r="A1673" s="2">
        <f>IFERROR(__xludf.DUMMYFUNCTION("""COMPUTED_VALUE"""),43409.64583333333)</f>
        <v>43409.64583</v>
      </c>
      <c r="B1673" s="1">
        <f>IFERROR(__xludf.DUMMYFUNCTION("""COMPUTED_VALUE"""),89200.0)</f>
        <v>89200</v>
      </c>
      <c r="C1673" s="1">
        <f>IFERROR(__xludf.DUMMYFUNCTION("""COMPUTED_VALUE"""),89200.0)</f>
        <v>89200</v>
      </c>
      <c r="D1673" s="1">
        <f>IFERROR(__xludf.DUMMYFUNCTION("""COMPUTED_VALUE"""),86000.0)</f>
        <v>86000</v>
      </c>
      <c r="E1673" s="1">
        <f>IFERROR(__xludf.DUMMYFUNCTION("""COMPUTED_VALUE"""),88000.0)</f>
        <v>88000</v>
      </c>
      <c r="F1673" s="1">
        <f>IFERROR(__xludf.DUMMYFUNCTION("""COMPUTED_VALUE"""),7811.0)</f>
        <v>7811</v>
      </c>
    </row>
    <row r="1674">
      <c r="A1674" s="2">
        <f>IFERROR(__xludf.DUMMYFUNCTION("""COMPUTED_VALUE"""),43410.64583333333)</f>
        <v>43410.64583</v>
      </c>
      <c r="B1674" s="1">
        <f>IFERROR(__xludf.DUMMYFUNCTION("""COMPUTED_VALUE"""),88000.0)</f>
        <v>88000</v>
      </c>
      <c r="C1674" s="1">
        <f>IFERROR(__xludf.DUMMYFUNCTION("""COMPUTED_VALUE"""),88200.0)</f>
        <v>88200</v>
      </c>
      <c r="D1674" s="1">
        <f>IFERROR(__xludf.DUMMYFUNCTION("""COMPUTED_VALUE"""),86800.0)</f>
        <v>86800</v>
      </c>
      <c r="E1674" s="1">
        <f>IFERROR(__xludf.DUMMYFUNCTION("""COMPUTED_VALUE"""),88200.0)</f>
        <v>88200</v>
      </c>
      <c r="F1674" s="1">
        <f>IFERROR(__xludf.DUMMYFUNCTION("""COMPUTED_VALUE"""),7581.0)</f>
        <v>7581</v>
      </c>
    </row>
    <row r="1675">
      <c r="A1675" s="2">
        <f>IFERROR(__xludf.DUMMYFUNCTION("""COMPUTED_VALUE"""),43411.64583333333)</f>
        <v>43411.64583</v>
      </c>
      <c r="B1675" s="1">
        <f>IFERROR(__xludf.DUMMYFUNCTION("""COMPUTED_VALUE"""),88200.0)</f>
        <v>88200</v>
      </c>
      <c r="C1675" s="1">
        <f>IFERROR(__xludf.DUMMYFUNCTION("""COMPUTED_VALUE"""),88200.0)</f>
        <v>88200</v>
      </c>
      <c r="D1675" s="1">
        <f>IFERROR(__xludf.DUMMYFUNCTION("""COMPUTED_VALUE"""),86600.0)</f>
        <v>86600</v>
      </c>
      <c r="E1675" s="1">
        <f>IFERROR(__xludf.DUMMYFUNCTION("""COMPUTED_VALUE"""),87600.0)</f>
        <v>87600</v>
      </c>
      <c r="F1675" s="1">
        <f>IFERROR(__xludf.DUMMYFUNCTION("""COMPUTED_VALUE"""),7264.0)</f>
        <v>7264</v>
      </c>
    </row>
    <row r="1676">
      <c r="A1676" s="2">
        <f>IFERROR(__xludf.DUMMYFUNCTION("""COMPUTED_VALUE"""),43412.64583333333)</f>
        <v>43412.64583</v>
      </c>
      <c r="B1676" s="1">
        <f>IFERROR(__xludf.DUMMYFUNCTION("""COMPUTED_VALUE"""),87700.0)</f>
        <v>87700</v>
      </c>
      <c r="C1676" s="1">
        <f>IFERROR(__xludf.DUMMYFUNCTION("""COMPUTED_VALUE"""),88000.0)</f>
        <v>88000</v>
      </c>
      <c r="D1676" s="1">
        <f>IFERROR(__xludf.DUMMYFUNCTION("""COMPUTED_VALUE"""),87100.0)</f>
        <v>87100</v>
      </c>
      <c r="E1676" s="1">
        <f>IFERROR(__xludf.DUMMYFUNCTION("""COMPUTED_VALUE"""),87400.0)</f>
        <v>87400</v>
      </c>
      <c r="F1676" s="1">
        <f>IFERROR(__xludf.DUMMYFUNCTION("""COMPUTED_VALUE"""),4503.0)</f>
        <v>4503</v>
      </c>
    </row>
    <row r="1677">
      <c r="A1677" s="2">
        <f>IFERROR(__xludf.DUMMYFUNCTION("""COMPUTED_VALUE"""),43413.64583333333)</f>
        <v>43413.64583</v>
      </c>
      <c r="B1677" s="1">
        <f>IFERROR(__xludf.DUMMYFUNCTION("""COMPUTED_VALUE"""),87400.0)</f>
        <v>87400</v>
      </c>
      <c r="C1677" s="1">
        <f>IFERROR(__xludf.DUMMYFUNCTION("""COMPUTED_VALUE"""),87400.0)</f>
        <v>87400</v>
      </c>
      <c r="D1677" s="1">
        <f>IFERROR(__xludf.DUMMYFUNCTION("""COMPUTED_VALUE"""),85400.0)</f>
        <v>85400</v>
      </c>
      <c r="E1677" s="1">
        <f>IFERROR(__xludf.DUMMYFUNCTION("""COMPUTED_VALUE"""),85600.0)</f>
        <v>85600</v>
      </c>
      <c r="F1677" s="1">
        <f>IFERROR(__xludf.DUMMYFUNCTION("""COMPUTED_VALUE"""),13529.0)</f>
        <v>13529</v>
      </c>
    </row>
    <row r="1678">
      <c r="A1678" s="2">
        <f>IFERROR(__xludf.DUMMYFUNCTION("""COMPUTED_VALUE"""),43416.64583333333)</f>
        <v>43416.64583</v>
      </c>
      <c r="B1678" s="1">
        <f>IFERROR(__xludf.DUMMYFUNCTION("""COMPUTED_VALUE"""),85400.0)</f>
        <v>85400</v>
      </c>
      <c r="C1678" s="1">
        <f>IFERROR(__xludf.DUMMYFUNCTION("""COMPUTED_VALUE"""),85800.0)</f>
        <v>85800</v>
      </c>
      <c r="D1678" s="1">
        <f>IFERROR(__xludf.DUMMYFUNCTION("""COMPUTED_VALUE"""),83200.0)</f>
        <v>83200</v>
      </c>
      <c r="E1678" s="1">
        <f>IFERROR(__xludf.DUMMYFUNCTION("""COMPUTED_VALUE"""),83600.0)</f>
        <v>83600</v>
      </c>
      <c r="F1678" s="1">
        <f>IFERROR(__xludf.DUMMYFUNCTION("""COMPUTED_VALUE"""),13504.0)</f>
        <v>13504</v>
      </c>
    </row>
    <row r="1679">
      <c r="A1679" s="2">
        <f>IFERROR(__xludf.DUMMYFUNCTION("""COMPUTED_VALUE"""),43417.64583333333)</f>
        <v>43417.64583</v>
      </c>
      <c r="B1679" s="1">
        <f>IFERROR(__xludf.DUMMYFUNCTION("""COMPUTED_VALUE"""),83300.0)</f>
        <v>83300</v>
      </c>
      <c r="C1679" s="1">
        <f>IFERROR(__xludf.DUMMYFUNCTION("""COMPUTED_VALUE"""),83400.0)</f>
        <v>83400</v>
      </c>
      <c r="D1679" s="1">
        <f>IFERROR(__xludf.DUMMYFUNCTION("""COMPUTED_VALUE"""),80000.0)</f>
        <v>80000</v>
      </c>
      <c r="E1679" s="1">
        <f>IFERROR(__xludf.DUMMYFUNCTION("""COMPUTED_VALUE"""),83200.0)</f>
        <v>83200</v>
      </c>
      <c r="F1679" s="1">
        <f>IFERROR(__xludf.DUMMYFUNCTION("""COMPUTED_VALUE"""),11642.0)</f>
        <v>11642</v>
      </c>
    </row>
    <row r="1680">
      <c r="A1680" s="2">
        <f>IFERROR(__xludf.DUMMYFUNCTION("""COMPUTED_VALUE"""),43418.64583333333)</f>
        <v>43418.64583</v>
      </c>
      <c r="B1680" s="1">
        <f>IFERROR(__xludf.DUMMYFUNCTION("""COMPUTED_VALUE"""),82700.0)</f>
        <v>82700</v>
      </c>
      <c r="C1680" s="1">
        <f>IFERROR(__xludf.DUMMYFUNCTION("""COMPUTED_VALUE"""),82700.0)</f>
        <v>82700</v>
      </c>
      <c r="D1680" s="1">
        <f>IFERROR(__xludf.DUMMYFUNCTION("""COMPUTED_VALUE"""),78300.0)</f>
        <v>78300</v>
      </c>
      <c r="E1680" s="1">
        <f>IFERROR(__xludf.DUMMYFUNCTION("""COMPUTED_VALUE"""),78900.0)</f>
        <v>78900</v>
      </c>
      <c r="F1680" s="1">
        <f>IFERROR(__xludf.DUMMYFUNCTION("""COMPUTED_VALUE"""),33950.0)</f>
        <v>33950</v>
      </c>
    </row>
    <row r="1681">
      <c r="A1681" s="2">
        <f>IFERROR(__xludf.DUMMYFUNCTION("""COMPUTED_VALUE"""),43419.6875)</f>
        <v>43419.6875</v>
      </c>
      <c r="B1681" s="1">
        <f>IFERROR(__xludf.DUMMYFUNCTION("""COMPUTED_VALUE"""),79800.0)</f>
        <v>79800</v>
      </c>
      <c r="C1681" s="1">
        <f>IFERROR(__xludf.DUMMYFUNCTION("""COMPUTED_VALUE"""),81000.0)</f>
        <v>81000</v>
      </c>
      <c r="D1681" s="1">
        <f>IFERROR(__xludf.DUMMYFUNCTION("""COMPUTED_VALUE"""),79100.0)</f>
        <v>79100</v>
      </c>
      <c r="E1681" s="1">
        <f>IFERROR(__xludf.DUMMYFUNCTION("""COMPUTED_VALUE"""),81000.0)</f>
        <v>81000</v>
      </c>
      <c r="F1681" s="1">
        <f>IFERROR(__xludf.DUMMYFUNCTION("""COMPUTED_VALUE"""),12981.0)</f>
        <v>12981</v>
      </c>
    </row>
    <row r="1682">
      <c r="A1682" s="2">
        <f>IFERROR(__xludf.DUMMYFUNCTION("""COMPUTED_VALUE"""),43420.64583333333)</f>
        <v>43420.64583</v>
      </c>
      <c r="B1682" s="1">
        <f>IFERROR(__xludf.DUMMYFUNCTION("""COMPUTED_VALUE"""),81300.0)</f>
        <v>81300</v>
      </c>
      <c r="C1682" s="1">
        <f>IFERROR(__xludf.DUMMYFUNCTION("""COMPUTED_VALUE"""),82200.0)</f>
        <v>82200</v>
      </c>
      <c r="D1682" s="1">
        <f>IFERROR(__xludf.DUMMYFUNCTION("""COMPUTED_VALUE"""),81000.0)</f>
        <v>81000</v>
      </c>
      <c r="E1682" s="1">
        <f>IFERROR(__xludf.DUMMYFUNCTION("""COMPUTED_VALUE"""),81500.0)</f>
        <v>81500</v>
      </c>
      <c r="F1682" s="1">
        <f>IFERROR(__xludf.DUMMYFUNCTION("""COMPUTED_VALUE"""),9580.0)</f>
        <v>9580</v>
      </c>
    </row>
    <row r="1683">
      <c r="A1683" s="2">
        <f>IFERROR(__xludf.DUMMYFUNCTION("""COMPUTED_VALUE"""),43423.64583333333)</f>
        <v>43423.64583</v>
      </c>
      <c r="B1683" s="1">
        <f>IFERROR(__xludf.DUMMYFUNCTION("""COMPUTED_VALUE"""),81600.0)</f>
        <v>81600</v>
      </c>
      <c r="C1683" s="1">
        <f>IFERROR(__xludf.DUMMYFUNCTION("""COMPUTED_VALUE"""),82500.0)</f>
        <v>82500</v>
      </c>
      <c r="D1683" s="1">
        <f>IFERROR(__xludf.DUMMYFUNCTION("""COMPUTED_VALUE"""),81400.0)</f>
        <v>81400</v>
      </c>
      <c r="E1683" s="1">
        <f>IFERROR(__xludf.DUMMYFUNCTION("""COMPUTED_VALUE"""),82000.0)</f>
        <v>82000</v>
      </c>
      <c r="F1683" s="1">
        <f>IFERROR(__xludf.DUMMYFUNCTION("""COMPUTED_VALUE"""),9554.0)</f>
        <v>9554</v>
      </c>
    </row>
    <row r="1684">
      <c r="A1684" s="2">
        <f>IFERROR(__xludf.DUMMYFUNCTION("""COMPUTED_VALUE"""),43424.64583333333)</f>
        <v>43424.64583</v>
      </c>
      <c r="B1684" s="1">
        <f>IFERROR(__xludf.DUMMYFUNCTION("""COMPUTED_VALUE"""),81300.0)</f>
        <v>81300</v>
      </c>
      <c r="C1684" s="1">
        <f>IFERROR(__xludf.DUMMYFUNCTION("""COMPUTED_VALUE"""),82100.0)</f>
        <v>82100</v>
      </c>
      <c r="D1684" s="1">
        <f>IFERROR(__xludf.DUMMYFUNCTION("""COMPUTED_VALUE"""),81300.0)</f>
        <v>81300</v>
      </c>
      <c r="E1684" s="1">
        <f>IFERROR(__xludf.DUMMYFUNCTION("""COMPUTED_VALUE"""),82000.0)</f>
        <v>82000</v>
      </c>
      <c r="F1684" s="1">
        <f>IFERROR(__xludf.DUMMYFUNCTION("""COMPUTED_VALUE"""),6782.0)</f>
        <v>6782</v>
      </c>
    </row>
    <row r="1685">
      <c r="A1685" s="2">
        <f>IFERROR(__xludf.DUMMYFUNCTION("""COMPUTED_VALUE"""),43425.64583333333)</f>
        <v>43425.64583</v>
      </c>
      <c r="B1685" s="1">
        <f>IFERROR(__xludf.DUMMYFUNCTION("""COMPUTED_VALUE"""),81500.0)</f>
        <v>81500</v>
      </c>
      <c r="C1685" s="1">
        <f>IFERROR(__xludf.DUMMYFUNCTION("""COMPUTED_VALUE"""),81500.0)</f>
        <v>81500</v>
      </c>
      <c r="D1685" s="1">
        <f>IFERROR(__xludf.DUMMYFUNCTION("""COMPUTED_VALUE"""),79800.0)</f>
        <v>79800</v>
      </c>
      <c r="E1685" s="1">
        <f>IFERROR(__xludf.DUMMYFUNCTION("""COMPUTED_VALUE"""),80100.0)</f>
        <v>80100</v>
      </c>
      <c r="F1685" s="1">
        <f>IFERROR(__xludf.DUMMYFUNCTION("""COMPUTED_VALUE"""),17816.0)</f>
        <v>17816</v>
      </c>
    </row>
    <row r="1686">
      <c r="A1686" s="2">
        <f>IFERROR(__xludf.DUMMYFUNCTION("""COMPUTED_VALUE"""),43426.64583333333)</f>
        <v>43426.64583</v>
      </c>
      <c r="B1686" s="1">
        <f>IFERROR(__xludf.DUMMYFUNCTION("""COMPUTED_VALUE"""),80100.0)</f>
        <v>80100</v>
      </c>
      <c r="C1686" s="1">
        <f>IFERROR(__xludf.DUMMYFUNCTION("""COMPUTED_VALUE"""),81000.0)</f>
        <v>81000</v>
      </c>
      <c r="D1686" s="1">
        <f>IFERROR(__xludf.DUMMYFUNCTION("""COMPUTED_VALUE"""),79900.0)</f>
        <v>79900</v>
      </c>
      <c r="E1686" s="1">
        <f>IFERROR(__xludf.DUMMYFUNCTION("""COMPUTED_VALUE"""),81000.0)</f>
        <v>81000</v>
      </c>
      <c r="F1686" s="1">
        <f>IFERROR(__xludf.DUMMYFUNCTION("""COMPUTED_VALUE"""),8124.0)</f>
        <v>8124</v>
      </c>
    </row>
    <row r="1687">
      <c r="A1687" s="2">
        <f>IFERROR(__xludf.DUMMYFUNCTION("""COMPUTED_VALUE"""),43427.64583333333)</f>
        <v>43427.64583</v>
      </c>
      <c r="B1687" s="1">
        <f>IFERROR(__xludf.DUMMYFUNCTION("""COMPUTED_VALUE"""),81000.0)</f>
        <v>81000</v>
      </c>
      <c r="C1687" s="1">
        <f>IFERROR(__xludf.DUMMYFUNCTION("""COMPUTED_VALUE"""),81000.0)</f>
        <v>81000</v>
      </c>
      <c r="D1687" s="1">
        <f>IFERROR(__xludf.DUMMYFUNCTION("""COMPUTED_VALUE"""),79400.0)</f>
        <v>79400</v>
      </c>
      <c r="E1687" s="1">
        <f>IFERROR(__xludf.DUMMYFUNCTION("""COMPUTED_VALUE"""),79900.0)</f>
        <v>79900</v>
      </c>
      <c r="F1687" s="1">
        <f>IFERROR(__xludf.DUMMYFUNCTION("""COMPUTED_VALUE"""),11354.0)</f>
        <v>11354</v>
      </c>
    </row>
    <row r="1688">
      <c r="A1688" s="2">
        <f>IFERROR(__xludf.DUMMYFUNCTION("""COMPUTED_VALUE"""),43430.64583333333)</f>
        <v>43430.64583</v>
      </c>
      <c r="B1688" s="1">
        <f>IFERROR(__xludf.DUMMYFUNCTION("""COMPUTED_VALUE"""),78300.0)</f>
        <v>78300</v>
      </c>
      <c r="C1688" s="1">
        <f>IFERROR(__xludf.DUMMYFUNCTION("""COMPUTED_VALUE"""),79200.0)</f>
        <v>79200</v>
      </c>
      <c r="D1688" s="1">
        <f>IFERROR(__xludf.DUMMYFUNCTION("""COMPUTED_VALUE"""),77200.0)</f>
        <v>77200</v>
      </c>
      <c r="E1688" s="1">
        <f>IFERROR(__xludf.DUMMYFUNCTION("""COMPUTED_VALUE"""),77600.0)</f>
        <v>77600</v>
      </c>
      <c r="F1688" s="1">
        <f>IFERROR(__xludf.DUMMYFUNCTION("""COMPUTED_VALUE"""),29246.0)</f>
        <v>29246</v>
      </c>
    </row>
    <row r="1689">
      <c r="A1689" s="2">
        <f>IFERROR(__xludf.DUMMYFUNCTION("""COMPUTED_VALUE"""),43431.64583333333)</f>
        <v>43431.64583</v>
      </c>
      <c r="B1689" s="1">
        <f>IFERROR(__xludf.DUMMYFUNCTION("""COMPUTED_VALUE"""),77100.0)</f>
        <v>77100</v>
      </c>
      <c r="C1689" s="1">
        <f>IFERROR(__xludf.DUMMYFUNCTION("""COMPUTED_VALUE"""),78500.0)</f>
        <v>78500</v>
      </c>
      <c r="D1689" s="1">
        <f>IFERROR(__xludf.DUMMYFUNCTION("""COMPUTED_VALUE"""),77100.0)</f>
        <v>77100</v>
      </c>
      <c r="E1689" s="1">
        <f>IFERROR(__xludf.DUMMYFUNCTION("""COMPUTED_VALUE"""),78200.0)</f>
        <v>78200</v>
      </c>
      <c r="F1689" s="1">
        <f>IFERROR(__xludf.DUMMYFUNCTION("""COMPUTED_VALUE"""),11716.0)</f>
        <v>11716</v>
      </c>
    </row>
    <row r="1690">
      <c r="A1690" s="2">
        <f>IFERROR(__xludf.DUMMYFUNCTION("""COMPUTED_VALUE"""),43432.64583333333)</f>
        <v>43432.64583</v>
      </c>
      <c r="B1690" s="1">
        <f>IFERROR(__xludf.DUMMYFUNCTION("""COMPUTED_VALUE"""),78000.0)</f>
        <v>78000</v>
      </c>
      <c r="C1690" s="1">
        <f>IFERROR(__xludf.DUMMYFUNCTION("""COMPUTED_VALUE"""),78700.0)</f>
        <v>78700</v>
      </c>
      <c r="D1690" s="1">
        <f>IFERROR(__xludf.DUMMYFUNCTION("""COMPUTED_VALUE"""),77900.0)</f>
        <v>77900</v>
      </c>
      <c r="E1690" s="1">
        <f>IFERROR(__xludf.DUMMYFUNCTION("""COMPUTED_VALUE"""),77900.0)</f>
        <v>77900</v>
      </c>
      <c r="F1690" s="1">
        <f>IFERROR(__xludf.DUMMYFUNCTION("""COMPUTED_VALUE"""),8618.0)</f>
        <v>8618</v>
      </c>
    </row>
    <row r="1691">
      <c r="A1691" s="2">
        <f>IFERROR(__xludf.DUMMYFUNCTION("""COMPUTED_VALUE"""),43433.64583333333)</f>
        <v>43433.64583</v>
      </c>
      <c r="B1691" s="1">
        <f>IFERROR(__xludf.DUMMYFUNCTION("""COMPUTED_VALUE"""),78600.0)</f>
        <v>78600</v>
      </c>
      <c r="C1691" s="1">
        <f>IFERROR(__xludf.DUMMYFUNCTION("""COMPUTED_VALUE"""),79200.0)</f>
        <v>79200</v>
      </c>
      <c r="D1691" s="1">
        <f>IFERROR(__xludf.DUMMYFUNCTION("""COMPUTED_VALUE"""),78200.0)</f>
        <v>78200</v>
      </c>
      <c r="E1691" s="1">
        <f>IFERROR(__xludf.DUMMYFUNCTION("""COMPUTED_VALUE"""),79100.0)</f>
        <v>79100</v>
      </c>
      <c r="F1691" s="1">
        <f>IFERROR(__xludf.DUMMYFUNCTION("""COMPUTED_VALUE"""),7129.0)</f>
        <v>7129</v>
      </c>
    </row>
    <row r="1692">
      <c r="A1692" s="2">
        <f>IFERROR(__xludf.DUMMYFUNCTION("""COMPUTED_VALUE"""),43434.64583333333)</f>
        <v>43434.64583</v>
      </c>
      <c r="B1692" s="1">
        <f>IFERROR(__xludf.DUMMYFUNCTION("""COMPUTED_VALUE"""),79700.0)</f>
        <v>79700</v>
      </c>
      <c r="C1692" s="1">
        <f>IFERROR(__xludf.DUMMYFUNCTION("""COMPUTED_VALUE"""),82400.0)</f>
        <v>82400</v>
      </c>
      <c r="D1692" s="1">
        <f>IFERROR(__xludf.DUMMYFUNCTION("""COMPUTED_VALUE"""),79300.0)</f>
        <v>79300</v>
      </c>
      <c r="E1692" s="1">
        <f>IFERROR(__xludf.DUMMYFUNCTION("""COMPUTED_VALUE"""),82200.0)</f>
        <v>82200</v>
      </c>
      <c r="F1692" s="1">
        <f>IFERROR(__xludf.DUMMYFUNCTION("""COMPUTED_VALUE"""),12322.0)</f>
        <v>12322</v>
      </c>
    </row>
    <row r="1693">
      <c r="A1693" s="2">
        <f>IFERROR(__xludf.DUMMYFUNCTION("""COMPUTED_VALUE"""),43437.64583333333)</f>
        <v>43437.64583</v>
      </c>
      <c r="B1693" s="1">
        <f>IFERROR(__xludf.DUMMYFUNCTION("""COMPUTED_VALUE"""),82200.0)</f>
        <v>82200</v>
      </c>
      <c r="C1693" s="1">
        <f>IFERROR(__xludf.DUMMYFUNCTION("""COMPUTED_VALUE"""),83500.0)</f>
        <v>83500</v>
      </c>
      <c r="D1693" s="1">
        <f>IFERROR(__xludf.DUMMYFUNCTION("""COMPUTED_VALUE"""),81800.0)</f>
        <v>81800</v>
      </c>
      <c r="E1693" s="1">
        <f>IFERROR(__xludf.DUMMYFUNCTION("""COMPUTED_VALUE"""),83100.0)</f>
        <v>83100</v>
      </c>
      <c r="F1693" s="1">
        <f>IFERROR(__xludf.DUMMYFUNCTION("""COMPUTED_VALUE"""),18934.0)</f>
        <v>18934</v>
      </c>
    </row>
    <row r="1694">
      <c r="A1694" s="2">
        <f>IFERROR(__xludf.DUMMYFUNCTION("""COMPUTED_VALUE"""),43438.64583333333)</f>
        <v>43438.64583</v>
      </c>
      <c r="B1694" s="1">
        <f>IFERROR(__xludf.DUMMYFUNCTION("""COMPUTED_VALUE"""),83800.0)</f>
        <v>83800</v>
      </c>
      <c r="C1694" s="1">
        <f>IFERROR(__xludf.DUMMYFUNCTION("""COMPUTED_VALUE"""),83800.0)</f>
        <v>83800</v>
      </c>
      <c r="D1694" s="1">
        <f>IFERROR(__xludf.DUMMYFUNCTION("""COMPUTED_VALUE"""),81300.0)</f>
        <v>81300</v>
      </c>
      <c r="E1694" s="1">
        <f>IFERROR(__xludf.DUMMYFUNCTION("""COMPUTED_VALUE"""),82100.0)</f>
        <v>82100</v>
      </c>
      <c r="F1694" s="1">
        <f>IFERROR(__xludf.DUMMYFUNCTION("""COMPUTED_VALUE"""),25862.0)</f>
        <v>25862</v>
      </c>
    </row>
    <row r="1695">
      <c r="A1695" s="2">
        <f>IFERROR(__xludf.DUMMYFUNCTION("""COMPUTED_VALUE"""),43439.64583333333)</f>
        <v>43439.64583</v>
      </c>
      <c r="B1695" s="1">
        <f>IFERROR(__xludf.DUMMYFUNCTION("""COMPUTED_VALUE"""),81300.0)</f>
        <v>81300</v>
      </c>
      <c r="C1695" s="1">
        <f>IFERROR(__xludf.DUMMYFUNCTION("""COMPUTED_VALUE"""),81900.0)</f>
        <v>81900</v>
      </c>
      <c r="D1695" s="1">
        <f>IFERROR(__xludf.DUMMYFUNCTION("""COMPUTED_VALUE"""),80800.0)</f>
        <v>80800</v>
      </c>
      <c r="E1695" s="1">
        <f>IFERROR(__xludf.DUMMYFUNCTION("""COMPUTED_VALUE"""),81600.0)</f>
        <v>81600</v>
      </c>
      <c r="F1695" s="1">
        <f>IFERROR(__xludf.DUMMYFUNCTION("""COMPUTED_VALUE"""),12760.0)</f>
        <v>12760</v>
      </c>
    </row>
    <row r="1696">
      <c r="A1696" s="2">
        <f>IFERROR(__xludf.DUMMYFUNCTION("""COMPUTED_VALUE"""),43440.64583333333)</f>
        <v>43440.64583</v>
      </c>
      <c r="B1696" s="1">
        <f>IFERROR(__xludf.DUMMYFUNCTION("""COMPUTED_VALUE"""),81800.0)</f>
        <v>81800</v>
      </c>
      <c r="C1696" s="1">
        <f>IFERROR(__xludf.DUMMYFUNCTION("""COMPUTED_VALUE"""),81800.0)</f>
        <v>81800</v>
      </c>
      <c r="D1696" s="1">
        <f>IFERROR(__xludf.DUMMYFUNCTION("""COMPUTED_VALUE"""),79900.0)</f>
        <v>79900</v>
      </c>
      <c r="E1696" s="1">
        <f>IFERROR(__xludf.DUMMYFUNCTION("""COMPUTED_VALUE"""),80500.0)</f>
        <v>80500</v>
      </c>
      <c r="F1696" s="1">
        <f>IFERROR(__xludf.DUMMYFUNCTION("""COMPUTED_VALUE"""),9978.0)</f>
        <v>9978</v>
      </c>
    </row>
    <row r="1697">
      <c r="A1697" s="2">
        <f>IFERROR(__xludf.DUMMYFUNCTION("""COMPUTED_VALUE"""),43441.64583333333)</f>
        <v>43441.64583</v>
      </c>
      <c r="B1697" s="1">
        <f>IFERROR(__xludf.DUMMYFUNCTION("""COMPUTED_VALUE"""),81000.0)</f>
        <v>81000</v>
      </c>
      <c r="C1697" s="1">
        <f>IFERROR(__xludf.DUMMYFUNCTION("""COMPUTED_VALUE"""),81000.0)</f>
        <v>81000</v>
      </c>
      <c r="D1697" s="1">
        <f>IFERROR(__xludf.DUMMYFUNCTION("""COMPUTED_VALUE"""),79100.0)</f>
        <v>79100</v>
      </c>
      <c r="E1697" s="1">
        <f>IFERROR(__xludf.DUMMYFUNCTION("""COMPUTED_VALUE"""),80000.0)</f>
        <v>80000</v>
      </c>
      <c r="F1697" s="1">
        <f>IFERROR(__xludf.DUMMYFUNCTION("""COMPUTED_VALUE"""),11918.0)</f>
        <v>11918</v>
      </c>
    </row>
    <row r="1698">
      <c r="A1698" s="2">
        <f>IFERROR(__xludf.DUMMYFUNCTION("""COMPUTED_VALUE"""),43444.64583333333)</f>
        <v>43444.64583</v>
      </c>
      <c r="B1698" s="1">
        <f>IFERROR(__xludf.DUMMYFUNCTION("""COMPUTED_VALUE"""),80000.0)</f>
        <v>80000</v>
      </c>
      <c r="C1698" s="1">
        <f>IFERROR(__xludf.DUMMYFUNCTION("""COMPUTED_VALUE"""),80300.0)</f>
        <v>80300</v>
      </c>
      <c r="D1698" s="1">
        <f>IFERROR(__xludf.DUMMYFUNCTION("""COMPUTED_VALUE"""),78800.0)</f>
        <v>78800</v>
      </c>
      <c r="E1698" s="1">
        <f>IFERROR(__xludf.DUMMYFUNCTION("""COMPUTED_VALUE"""),79400.0)</f>
        <v>79400</v>
      </c>
      <c r="F1698" s="1">
        <f>IFERROR(__xludf.DUMMYFUNCTION("""COMPUTED_VALUE"""),11166.0)</f>
        <v>11166</v>
      </c>
    </row>
    <row r="1699">
      <c r="A1699" s="2">
        <f>IFERROR(__xludf.DUMMYFUNCTION("""COMPUTED_VALUE"""),43445.64583333333)</f>
        <v>43445.64583</v>
      </c>
      <c r="B1699" s="1">
        <f>IFERROR(__xludf.DUMMYFUNCTION("""COMPUTED_VALUE"""),79400.0)</f>
        <v>79400</v>
      </c>
      <c r="C1699" s="1">
        <f>IFERROR(__xludf.DUMMYFUNCTION("""COMPUTED_VALUE"""),80000.0)</f>
        <v>80000</v>
      </c>
      <c r="D1699" s="1">
        <f>IFERROR(__xludf.DUMMYFUNCTION("""COMPUTED_VALUE"""),79000.0)</f>
        <v>79000</v>
      </c>
      <c r="E1699" s="1">
        <f>IFERROR(__xludf.DUMMYFUNCTION("""COMPUTED_VALUE"""),79100.0)</f>
        <v>79100</v>
      </c>
      <c r="F1699" s="1">
        <f>IFERROR(__xludf.DUMMYFUNCTION("""COMPUTED_VALUE"""),6677.0)</f>
        <v>6677</v>
      </c>
    </row>
    <row r="1700">
      <c r="A1700" s="2">
        <f>IFERROR(__xludf.DUMMYFUNCTION("""COMPUTED_VALUE"""),43446.64583333333)</f>
        <v>43446.64583</v>
      </c>
      <c r="B1700" s="1">
        <f>IFERROR(__xludf.DUMMYFUNCTION("""COMPUTED_VALUE"""),79500.0)</f>
        <v>79500</v>
      </c>
      <c r="C1700" s="1">
        <f>IFERROR(__xludf.DUMMYFUNCTION("""COMPUTED_VALUE"""),80400.0)</f>
        <v>80400</v>
      </c>
      <c r="D1700" s="1">
        <f>IFERROR(__xludf.DUMMYFUNCTION("""COMPUTED_VALUE"""),79200.0)</f>
        <v>79200</v>
      </c>
      <c r="E1700" s="1">
        <f>IFERROR(__xludf.DUMMYFUNCTION("""COMPUTED_VALUE"""),80400.0)</f>
        <v>80400</v>
      </c>
      <c r="F1700" s="1">
        <f>IFERROR(__xludf.DUMMYFUNCTION("""COMPUTED_VALUE"""),7400.0)</f>
        <v>7400</v>
      </c>
    </row>
    <row r="1701">
      <c r="A1701" s="2">
        <f>IFERROR(__xludf.DUMMYFUNCTION("""COMPUTED_VALUE"""),43447.64583333333)</f>
        <v>43447.64583</v>
      </c>
      <c r="B1701" s="1">
        <f>IFERROR(__xludf.DUMMYFUNCTION("""COMPUTED_VALUE"""),80500.0)</f>
        <v>80500</v>
      </c>
      <c r="C1701" s="1">
        <f>IFERROR(__xludf.DUMMYFUNCTION("""COMPUTED_VALUE"""),80500.0)</f>
        <v>80500</v>
      </c>
      <c r="D1701" s="1">
        <f>IFERROR(__xludf.DUMMYFUNCTION("""COMPUTED_VALUE"""),79500.0)</f>
        <v>79500</v>
      </c>
      <c r="E1701" s="1">
        <f>IFERROR(__xludf.DUMMYFUNCTION("""COMPUTED_VALUE"""),79500.0)</f>
        <v>79500</v>
      </c>
      <c r="F1701" s="1">
        <f>IFERROR(__xludf.DUMMYFUNCTION("""COMPUTED_VALUE"""),14293.0)</f>
        <v>14293</v>
      </c>
    </row>
    <row r="1702">
      <c r="A1702" s="2">
        <f>IFERROR(__xludf.DUMMYFUNCTION("""COMPUTED_VALUE"""),43448.64583333333)</f>
        <v>43448.64583</v>
      </c>
      <c r="B1702" s="1">
        <f>IFERROR(__xludf.DUMMYFUNCTION("""COMPUTED_VALUE"""),80200.0)</f>
        <v>80200</v>
      </c>
      <c r="C1702" s="1">
        <f>IFERROR(__xludf.DUMMYFUNCTION("""COMPUTED_VALUE"""),80400.0)</f>
        <v>80400</v>
      </c>
      <c r="D1702" s="1">
        <f>IFERROR(__xludf.DUMMYFUNCTION("""COMPUTED_VALUE"""),79400.0)</f>
        <v>79400</v>
      </c>
      <c r="E1702" s="1">
        <f>IFERROR(__xludf.DUMMYFUNCTION("""COMPUTED_VALUE"""),80400.0)</f>
        <v>80400</v>
      </c>
      <c r="F1702" s="1">
        <f>IFERROR(__xludf.DUMMYFUNCTION("""COMPUTED_VALUE"""),13890.0)</f>
        <v>13890</v>
      </c>
    </row>
    <row r="1703">
      <c r="A1703" s="2">
        <f>IFERROR(__xludf.DUMMYFUNCTION("""COMPUTED_VALUE"""),43451.64583333333)</f>
        <v>43451.64583</v>
      </c>
      <c r="B1703" s="1">
        <f>IFERROR(__xludf.DUMMYFUNCTION("""COMPUTED_VALUE"""),80300.0)</f>
        <v>80300</v>
      </c>
      <c r="C1703" s="1">
        <f>IFERROR(__xludf.DUMMYFUNCTION("""COMPUTED_VALUE"""),80300.0)</f>
        <v>80300</v>
      </c>
      <c r="D1703" s="1">
        <f>IFERROR(__xludf.DUMMYFUNCTION("""COMPUTED_VALUE"""),78800.0)</f>
        <v>78800</v>
      </c>
      <c r="E1703" s="1">
        <f>IFERROR(__xludf.DUMMYFUNCTION("""COMPUTED_VALUE"""),78800.0)</f>
        <v>78800</v>
      </c>
      <c r="F1703" s="1">
        <f>IFERROR(__xludf.DUMMYFUNCTION("""COMPUTED_VALUE"""),20101.0)</f>
        <v>20101</v>
      </c>
    </row>
    <row r="1704">
      <c r="A1704" s="2">
        <f>IFERROR(__xludf.DUMMYFUNCTION("""COMPUTED_VALUE"""),43452.64583333333)</f>
        <v>43452.64583</v>
      </c>
      <c r="B1704" s="1">
        <f>IFERROR(__xludf.DUMMYFUNCTION("""COMPUTED_VALUE"""),78700.0)</f>
        <v>78700</v>
      </c>
      <c r="C1704" s="1">
        <f>IFERROR(__xludf.DUMMYFUNCTION("""COMPUTED_VALUE"""),78700.0)</f>
        <v>78700</v>
      </c>
      <c r="D1704" s="1">
        <f>IFERROR(__xludf.DUMMYFUNCTION("""COMPUTED_VALUE"""),76700.0)</f>
        <v>76700</v>
      </c>
      <c r="E1704" s="1">
        <f>IFERROR(__xludf.DUMMYFUNCTION("""COMPUTED_VALUE"""),77400.0)</f>
        <v>77400</v>
      </c>
      <c r="F1704" s="1">
        <f>IFERROR(__xludf.DUMMYFUNCTION("""COMPUTED_VALUE"""),17367.0)</f>
        <v>17367</v>
      </c>
    </row>
    <row r="1705">
      <c r="A1705" s="2">
        <f>IFERROR(__xludf.DUMMYFUNCTION("""COMPUTED_VALUE"""),43453.64583333333)</f>
        <v>43453.64583</v>
      </c>
      <c r="B1705" s="1">
        <f>IFERROR(__xludf.DUMMYFUNCTION("""COMPUTED_VALUE"""),77100.0)</f>
        <v>77100</v>
      </c>
      <c r="C1705" s="1">
        <f>IFERROR(__xludf.DUMMYFUNCTION("""COMPUTED_VALUE"""),77100.0)</f>
        <v>77100</v>
      </c>
      <c r="D1705" s="1">
        <f>IFERROR(__xludf.DUMMYFUNCTION("""COMPUTED_VALUE"""),75600.0)</f>
        <v>75600</v>
      </c>
      <c r="E1705" s="1">
        <f>IFERROR(__xludf.DUMMYFUNCTION("""COMPUTED_VALUE"""),75800.0)</f>
        <v>75800</v>
      </c>
      <c r="F1705" s="1">
        <f>IFERROR(__xludf.DUMMYFUNCTION("""COMPUTED_VALUE"""),33220.0)</f>
        <v>33220</v>
      </c>
    </row>
    <row r="1706">
      <c r="A1706" s="2">
        <f>IFERROR(__xludf.DUMMYFUNCTION("""COMPUTED_VALUE"""),43454.64583333333)</f>
        <v>43454.64583</v>
      </c>
      <c r="B1706" s="1">
        <f>IFERROR(__xludf.DUMMYFUNCTION("""COMPUTED_VALUE"""),76000.0)</f>
        <v>76000</v>
      </c>
      <c r="C1706" s="1">
        <f>IFERROR(__xludf.DUMMYFUNCTION("""COMPUTED_VALUE"""),76000.0)</f>
        <v>76000</v>
      </c>
      <c r="D1706" s="1">
        <f>IFERROR(__xludf.DUMMYFUNCTION("""COMPUTED_VALUE"""),74700.0)</f>
        <v>74700</v>
      </c>
      <c r="E1706" s="1">
        <f>IFERROR(__xludf.DUMMYFUNCTION("""COMPUTED_VALUE"""),74700.0)</f>
        <v>74700</v>
      </c>
      <c r="F1706" s="1">
        <f>IFERROR(__xludf.DUMMYFUNCTION("""COMPUTED_VALUE"""),21417.0)</f>
        <v>21417</v>
      </c>
    </row>
    <row r="1707">
      <c r="A1707" s="2">
        <f>IFERROR(__xludf.DUMMYFUNCTION("""COMPUTED_VALUE"""),43455.64583333333)</f>
        <v>43455.64583</v>
      </c>
      <c r="B1707" s="1">
        <f>IFERROR(__xludf.DUMMYFUNCTION("""COMPUTED_VALUE"""),74000.0)</f>
        <v>74000</v>
      </c>
      <c r="C1707" s="1">
        <f>IFERROR(__xludf.DUMMYFUNCTION("""COMPUTED_VALUE"""),74700.0)</f>
        <v>74700</v>
      </c>
      <c r="D1707" s="1">
        <f>IFERROR(__xludf.DUMMYFUNCTION("""COMPUTED_VALUE"""),73500.0)</f>
        <v>73500</v>
      </c>
      <c r="E1707" s="1">
        <f>IFERROR(__xludf.DUMMYFUNCTION("""COMPUTED_VALUE"""),74500.0)</f>
        <v>74500</v>
      </c>
      <c r="F1707" s="1">
        <f>IFERROR(__xludf.DUMMYFUNCTION("""COMPUTED_VALUE"""),24877.0)</f>
        <v>24877</v>
      </c>
    </row>
    <row r="1708">
      <c r="A1708" s="2">
        <f>IFERROR(__xludf.DUMMYFUNCTION("""COMPUTED_VALUE"""),43458.64583333333)</f>
        <v>43458.64583</v>
      </c>
      <c r="B1708" s="1">
        <f>IFERROR(__xludf.DUMMYFUNCTION("""COMPUTED_VALUE"""),74000.0)</f>
        <v>74000</v>
      </c>
      <c r="C1708" s="1">
        <f>IFERROR(__xludf.DUMMYFUNCTION("""COMPUTED_VALUE"""),75400.0)</f>
        <v>75400</v>
      </c>
      <c r="D1708" s="1">
        <f>IFERROR(__xludf.DUMMYFUNCTION("""COMPUTED_VALUE"""),74000.0)</f>
        <v>74000</v>
      </c>
      <c r="E1708" s="1">
        <f>IFERROR(__xludf.DUMMYFUNCTION("""COMPUTED_VALUE"""),75000.0)</f>
        <v>75000</v>
      </c>
      <c r="F1708" s="1">
        <f>IFERROR(__xludf.DUMMYFUNCTION("""COMPUTED_VALUE"""),28088.0)</f>
        <v>28088</v>
      </c>
    </row>
    <row r="1709">
      <c r="A1709" s="2">
        <f>IFERROR(__xludf.DUMMYFUNCTION("""COMPUTED_VALUE"""),43460.64583333333)</f>
        <v>43460.64583</v>
      </c>
      <c r="B1709" s="1">
        <f>IFERROR(__xludf.DUMMYFUNCTION("""COMPUTED_VALUE"""),74100.0)</f>
        <v>74100</v>
      </c>
      <c r="C1709" s="1">
        <f>IFERROR(__xludf.DUMMYFUNCTION("""COMPUTED_VALUE"""),75900.0)</f>
        <v>75900</v>
      </c>
      <c r="D1709" s="1">
        <f>IFERROR(__xludf.DUMMYFUNCTION("""COMPUTED_VALUE"""),73400.0)</f>
        <v>73400</v>
      </c>
      <c r="E1709" s="1">
        <f>IFERROR(__xludf.DUMMYFUNCTION("""COMPUTED_VALUE"""),75500.0)</f>
        <v>75500</v>
      </c>
      <c r="F1709" s="1">
        <f>IFERROR(__xludf.DUMMYFUNCTION("""COMPUTED_VALUE"""),52058.0)</f>
        <v>52058</v>
      </c>
    </row>
    <row r="1710">
      <c r="A1710" s="2">
        <f>IFERROR(__xludf.DUMMYFUNCTION("""COMPUTED_VALUE"""),43461.64583333333)</f>
        <v>43461.64583</v>
      </c>
      <c r="B1710" s="1">
        <f>IFERROR(__xludf.DUMMYFUNCTION("""COMPUTED_VALUE"""),73200.0)</f>
        <v>73200</v>
      </c>
      <c r="C1710" s="1">
        <f>IFERROR(__xludf.DUMMYFUNCTION("""COMPUTED_VALUE"""),73800.0)</f>
        <v>73800</v>
      </c>
      <c r="D1710" s="1">
        <f>IFERROR(__xludf.DUMMYFUNCTION("""COMPUTED_VALUE"""),71800.0)</f>
        <v>71800</v>
      </c>
      <c r="E1710" s="1">
        <f>IFERROR(__xludf.DUMMYFUNCTION("""COMPUTED_VALUE"""),73100.0)</f>
        <v>73100</v>
      </c>
      <c r="F1710" s="1">
        <f>IFERROR(__xludf.DUMMYFUNCTION("""COMPUTED_VALUE"""),27702.0)</f>
        <v>27702</v>
      </c>
    </row>
    <row r="1711">
      <c r="A1711" s="2">
        <f>IFERROR(__xludf.DUMMYFUNCTION("""COMPUTED_VALUE"""),43462.64583333333)</f>
        <v>43462.64583</v>
      </c>
      <c r="B1711" s="1">
        <f>IFERROR(__xludf.DUMMYFUNCTION("""COMPUTED_VALUE"""),72100.0)</f>
        <v>72100</v>
      </c>
      <c r="C1711" s="1">
        <f>IFERROR(__xludf.DUMMYFUNCTION("""COMPUTED_VALUE"""),72800.0)</f>
        <v>72800</v>
      </c>
      <c r="D1711" s="1">
        <f>IFERROR(__xludf.DUMMYFUNCTION("""COMPUTED_VALUE"""),70100.0)</f>
        <v>70100</v>
      </c>
      <c r="E1711" s="1">
        <f>IFERROR(__xludf.DUMMYFUNCTION("""COMPUTED_VALUE"""),70400.0)</f>
        <v>70400</v>
      </c>
      <c r="F1711" s="1">
        <f>IFERROR(__xludf.DUMMYFUNCTION("""COMPUTED_VALUE"""),22370.0)</f>
        <v>22370</v>
      </c>
    </row>
    <row r="1712">
      <c r="A1712" s="2">
        <f>IFERROR(__xludf.DUMMYFUNCTION("""COMPUTED_VALUE"""),43467.64583333333)</f>
        <v>43467.64583</v>
      </c>
      <c r="B1712" s="1">
        <f>IFERROR(__xludf.DUMMYFUNCTION("""COMPUTED_VALUE"""),70000.0)</f>
        <v>70000</v>
      </c>
      <c r="C1712" s="1">
        <f>IFERROR(__xludf.DUMMYFUNCTION("""COMPUTED_VALUE"""),70300.0)</f>
        <v>70300</v>
      </c>
      <c r="D1712" s="1">
        <f>IFERROR(__xludf.DUMMYFUNCTION("""COMPUTED_VALUE"""),64900.0)</f>
        <v>64900</v>
      </c>
      <c r="E1712" s="1">
        <f>IFERROR(__xludf.DUMMYFUNCTION("""COMPUTED_VALUE"""),65000.0)</f>
        <v>65000</v>
      </c>
      <c r="F1712" s="1">
        <f>IFERROR(__xludf.DUMMYFUNCTION("""COMPUTED_VALUE"""),39849.0)</f>
        <v>39849</v>
      </c>
    </row>
    <row r="1713">
      <c r="A1713" s="2">
        <f>IFERROR(__xludf.DUMMYFUNCTION("""COMPUTED_VALUE"""),43468.64583333333)</f>
        <v>43468.64583</v>
      </c>
      <c r="B1713" s="1">
        <f>IFERROR(__xludf.DUMMYFUNCTION("""COMPUTED_VALUE"""),65200.0)</f>
        <v>65200</v>
      </c>
      <c r="C1713" s="1">
        <f>IFERROR(__xludf.DUMMYFUNCTION("""COMPUTED_VALUE"""),65600.0)</f>
        <v>65600</v>
      </c>
      <c r="D1713" s="1">
        <f>IFERROR(__xludf.DUMMYFUNCTION("""COMPUTED_VALUE"""),63100.0)</f>
        <v>63100</v>
      </c>
      <c r="E1713" s="1">
        <f>IFERROR(__xludf.DUMMYFUNCTION("""COMPUTED_VALUE"""),64000.0)</f>
        <v>64000</v>
      </c>
      <c r="F1713" s="1">
        <f>IFERROR(__xludf.DUMMYFUNCTION("""COMPUTED_VALUE"""),44050.0)</f>
        <v>44050</v>
      </c>
    </row>
    <row r="1714">
      <c r="A1714" s="2">
        <f>IFERROR(__xludf.DUMMYFUNCTION("""COMPUTED_VALUE"""),43469.64583333333)</f>
        <v>43469.64583</v>
      </c>
      <c r="B1714" s="1">
        <f>IFERROR(__xludf.DUMMYFUNCTION("""COMPUTED_VALUE"""),62700.0)</f>
        <v>62700</v>
      </c>
      <c r="C1714" s="1">
        <f>IFERROR(__xludf.DUMMYFUNCTION("""COMPUTED_VALUE"""),64600.0)</f>
        <v>64600</v>
      </c>
      <c r="D1714" s="1">
        <f>IFERROR(__xludf.DUMMYFUNCTION("""COMPUTED_VALUE"""),62400.0)</f>
        <v>62400</v>
      </c>
      <c r="E1714" s="1">
        <f>IFERROR(__xludf.DUMMYFUNCTION("""COMPUTED_VALUE"""),64600.0)</f>
        <v>64600</v>
      </c>
      <c r="F1714" s="1">
        <f>IFERROR(__xludf.DUMMYFUNCTION("""COMPUTED_VALUE"""),29895.0)</f>
        <v>29895</v>
      </c>
    </row>
    <row r="1715">
      <c r="A1715" s="2">
        <f>IFERROR(__xludf.DUMMYFUNCTION("""COMPUTED_VALUE"""),43472.64583333333)</f>
        <v>43472.64583</v>
      </c>
      <c r="B1715" s="1">
        <f>IFERROR(__xludf.DUMMYFUNCTION("""COMPUTED_VALUE"""),65100.0)</f>
        <v>65100</v>
      </c>
      <c r="C1715" s="1">
        <f>IFERROR(__xludf.DUMMYFUNCTION("""COMPUTED_VALUE"""),67200.0)</f>
        <v>67200</v>
      </c>
      <c r="D1715" s="1">
        <f>IFERROR(__xludf.DUMMYFUNCTION("""COMPUTED_VALUE"""),65100.0)</f>
        <v>65100</v>
      </c>
      <c r="E1715" s="1">
        <f>IFERROR(__xludf.DUMMYFUNCTION("""COMPUTED_VALUE"""),66600.0)</f>
        <v>66600</v>
      </c>
      <c r="F1715" s="1">
        <f>IFERROR(__xludf.DUMMYFUNCTION("""COMPUTED_VALUE"""),21636.0)</f>
        <v>21636</v>
      </c>
    </row>
    <row r="1716">
      <c r="A1716" s="2">
        <f>IFERROR(__xludf.DUMMYFUNCTION("""COMPUTED_VALUE"""),43473.64583333333)</f>
        <v>43473.64583</v>
      </c>
      <c r="B1716" s="1">
        <f>IFERROR(__xludf.DUMMYFUNCTION("""COMPUTED_VALUE"""),67200.0)</f>
        <v>67200</v>
      </c>
      <c r="C1716" s="1">
        <f>IFERROR(__xludf.DUMMYFUNCTION("""COMPUTED_VALUE"""),67200.0)</f>
        <v>67200</v>
      </c>
      <c r="D1716" s="1">
        <f>IFERROR(__xludf.DUMMYFUNCTION("""COMPUTED_VALUE"""),64800.0)</f>
        <v>64800</v>
      </c>
      <c r="E1716" s="1">
        <f>IFERROR(__xludf.DUMMYFUNCTION("""COMPUTED_VALUE"""),64800.0)</f>
        <v>64800</v>
      </c>
      <c r="F1716" s="1">
        <f>IFERROR(__xludf.DUMMYFUNCTION("""COMPUTED_VALUE"""),16224.0)</f>
        <v>16224</v>
      </c>
    </row>
    <row r="1717">
      <c r="A1717" s="2">
        <f>IFERROR(__xludf.DUMMYFUNCTION("""COMPUTED_VALUE"""),43474.64583333333)</f>
        <v>43474.64583</v>
      </c>
      <c r="B1717" s="1">
        <f>IFERROR(__xludf.DUMMYFUNCTION("""COMPUTED_VALUE"""),65600.0)</f>
        <v>65600</v>
      </c>
      <c r="C1717" s="1">
        <f>IFERROR(__xludf.DUMMYFUNCTION("""COMPUTED_VALUE"""),66500.0)</f>
        <v>66500</v>
      </c>
      <c r="D1717" s="1">
        <f>IFERROR(__xludf.DUMMYFUNCTION("""COMPUTED_VALUE"""),65500.0)</f>
        <v>65500</v>
      </c>
      <c r="E1717" s="1">
        <f>IFERROR(__xludf.DUMMYFUNCTION("""COMPUTED_VALUE"""),66000.0)</f>
        <v>66000</v>
      </c>
      <c r="F1717" s="1">
        <f>IFERROR(__xludf.DUMMYFUNCTION("""COMPUTED_VALUE"""),8257.0)</f>
        <v>8257</v>
      </c>
    </row>
    <row r="1718">
      <c r="A1718" s="2">
        <f>IFERROR(__xludf.DUMMYFUNCTION("""COMPUTED_VALUE"""),43475.64583333333)</f>
        <v>43475.64583</v>
      </c>
      <c r="B1718" s="1">
        <f>IFERROR(__xludf.DUMMYFUNCTION("""COMPUTED_VALUE"""),66500.0)</f>
        <v>66500</v>
      </c>
      <c r="C1718" s="1">
        <f>IFERROR(__xludf.DUMMYFUNCTION("""COMPUTED_VALUE"""),67200.0)</f>
        <v>67200</v>
      </c>
      <c r="D1718" s="1">
        <f>IFERROR(__xludf.DUMMYFUNCTION("""COMPUTED_VALUE"""),66400.0)</f>
        <v>66400</v>
      </c>
      <c r="E1718" s="1">
        <f>IFERROR(__xludf.DUMMYFUNCTION("""COMPUTED_VALUE"""),66700.0)</f>
        <v>66700</v>
      </c>
      <c r="F1718" s="1">
        <f>IFERROR(__xludf.DUMMYFUNCTION("""COMPUTED_VALUE"""),9116.0)</f>
        <v>9116</v>
      </c>
    </row>
    <row r="1719">
      <c r="A1719" s="2">
        <f>IFERROR(__xludf.DUMMYFUNCTION("""COMPUTED_VALUE"""),43476.64583333333)</f>
        <v>43476.64583</v>
      </c>
      <c r="B1719" s="1">
        <f>IFERROR(__xludf.DUMMYFUNCTION("""COMPUTED_VALUE"""),66900.0)</f>
        <v>66900</v>
      </c>
      <c r="C1719" s="1">
        <f>IFERROR(__xludf.DUMMYFUNCTION("""COMPUTED_VALUE"""),67200.0)</f>
        <v>67200</v>
      </c>
      <c r="D1719" s="1">
        <f>IFERROR(__xludf.DUMMYFUNCTION("""COMPUTED_VALUE"""),66200.0)</f>
        <v>66200</v>
      </c>
      <c r="E1719" s="1">
        <f>IFERROR(__xludf.DUMMYFUNCTION("""COMPUTED_VALUE"""),66700.0)</f>
        <v>66700</v>
      </c>
      <c r="F1719" s="1">
        <f>IFERROR(__xludf.DUMMYFUNCTION("""COMPUTED_VALUE"""),11904.0)</f>
        <v>11904</v>
      </c>
    </row>
    <row r="1720">
      <c r="A1720" s="2">
        <f>IFERROR(__xludf.DUMMYFUNCTION("""COMPUTED_VALUE"""),43479.64583333333)</f>
        <v>43479.64583</v>
      </c>
      <c r="B1720" s="1">
        <f>IFERROR(__xludf.DUMMYFUNCTION("""COMPUTED_VALUE"""),66900.0)</f>
        <v>66900</v>
      </c>
      <c r="C1720" s="1">
        <f>IFERROR(__xludf.DUMMYFUNCTION("""COMPUTED_VALUE"""),67000.0)</f>
        <v>67000</v>
      </c>
      <c r="D1720" s="1">
        <f>IFERROR(__xludf.DUMMYFUNCTION("""COMPUTED_VALUE"""),66200.0)</f>
        <v>66200</v>
      </c>
      <c r="E1720" s="1">
        <f>IFERROR(__xludf.DUMMYFUNCTION("""COMPUTED_VALUE"""),66200.0)</f>
        <v>66200</v>
      </c>
      <c r="F1720" s="1">
        <f>IFERROR(__xludf.DUMMYFUNCTION("""COMPUTED_VALUE"""),4382.0)</f>
        <v>4382</v>
      </c>
    </row>
    <row r="1721">
      <c r="A1721" s="2">
        <f>IFERROR(__xludf.DUMMYFUNCTION("""COMPUTED_VALUE"""),43480.64583333333)</f>
        <v>43480.64583</v>
      </c>
      <c r="B1721" s="1">
        <f>IFERROR(__xludf.DUMMYFUNCTION("""COMPUTED_VALUE"""),66400.0)</f>
        <v>66400</v>
      </c>
      <c r="C1721" s="1">
        <f>IFERROR(__xludf.DUMMYFUNCTION("""COMPUTED_VALUE"""),66400.0)</f>
        <v>66400</v>
      </c>
      <c r="D1721" s="1">
        <f>IFERROR(__xludf.DUMMYFUNCTION("""COMPUTED_VALUE"""),65000.0)</f>
        <v>65000</v>
      </c>
      <c r="E1721" s="1">
        <f>IFERROR(__xludf.DUMMYFUNCTION("""COMPUTED_VALUE"""),65600.0)</f>
        <v>65600</v>
      </c>
      <c r="F1721" s="1">
        <f>IFERROR(__xludf.DUMMYFUNCTION("""COMPUTED_VALUE"""),15764.0)</f>
        <v>15764</v>
      </c>
    </row>
    <row r="1722">
      <c r="A1722" s="2">
        <f>IFERROR(__xludf.DUMMYFUNCTION("""COMPUTED_VALUE"""),43481.64583333333)</f>
        <v>43481.64583</v>
      </c>
      <c r="B1722" s="1">
        <f>IFERROR(__xludf.DUMMYFUNCTION("""COMPUTED_VALUE"""),65500.0)</f>
        <v>65500</v>
      </c>
      <c r="C1722" s="1">
        <f>IFERROR(__xludf.DUMMYFUNCTION("""COMPUTED_VALUE"""),65700.0)</f>
        <v>65700</v>
      </c>
      <c r="D1722" s="1">
        <f>IFERROR(__xludf.DUMMYFUNCTION("""COMPUTED_VALUE"""),64900.0)</f>
        <v>64900</v>
      </c>
      <c r="E1722" s="1">
        <f>IFERROR(__xludf.DUMMYFUNCTION("""COMPUTED_VALUE"""),65500.0)</f>
        <v>65500</v>
      </c>
      <c r="F1722" s="1">
        <f>IFERROR(__xludf.DUMMYFUNCTION("""COMPUTED_VALUE"""),11275.0)</f>
        <v>11275</v>
      </c>
    </row>
    <row r="1723">
      <c r="A1723" s="2">
        <f>IFERROR(__xludf.DUMMYFUNCTION("""COMPUTED_VALUE"""),43482.64583333333)</f>
        <v>43482.64583</v>
      </c>
      <c r="B1723" s="1">
        <f>IFERROR(__xludf.DUMMYFUNCTION("""COMPUTED_VALUE"""),65100.0)</f>
        <v>65100</v>
      </c>
      <c r="C1723" s="1">
        <f>IFERROR(__xludf.DUMMYFUNCTION("""COMPUTED_VALUE"""),66200.0)</f>
        <v>66200</v>
      </c>
      <c r="D1723" s="1">
        <f>IFERROR(__xludf.DUMMYFUNCTION("""COMPUTED_VALUE"""),65100.0)</f>
        <v>65100</v>
      </c>
      <c r="E1723" s="1">
        <f>IFERROR(__xludf.DUMMYFUNCTION("""COMPUTED_VALUE"""),65400.0)</f>
        <v>65400</v>
      </c>
      <c r="F1723" s="1">
        <f>IFERROR(__xludf.DUMMYFUNCTION("""COMPUTED_VALUE"""),9856.0)</f>
        <v>9856</v>
      </c>
    </row>
    <row r="1724">
      <c r="A1724" s="2">
        <f>IFERROR(__xludf.DUMMYFUNCTION("""COMPUTED_VALUE"""),43483.64583333333)</f>
        <v>43483.64583</v>
      </c>
      <c r="B1724" s="1">
        <f>IFERROR(__xludf.DUMMYFUNCTION("""COMPUTED_VALUE"""),65600.0)</f>
        <v>65600</v>
      </c>
      <c r="C1724" s="1">
        <f>IFERROR(__xludf.DUMMYFUNCTION("""COMPUTED_VALUE"""),66400.0)</f>
        <v>66400</v>
      </c>
      <c r="D1724" s="1">
        <f>IFERROR(__xludf.DUMMYFUNCTION("""COMPUTED_VALUE"""),65000.0)</f>
        <v>65000</v>
      </c>
      <c r="E1724" s="1">
        <f>IFERROR(__xludf.DUMMYFUNCTION("""COMPUTED_VALUE"""),66000.0)</f>
        <v>66000</v>
      </c>
      <c r="F1724" s="1">
        <f>IFERROR(__xludf.DUMMYFUNCTION("""COMPUTED_VALUE"""),8587.0)</f>
        <v>8587</v>
      </c>
    </row>
    <row r="1725">
      <c r="A1725" s="2">
        <f>IFERROR(__xludf.DUMMYFUNCTION("""COMPUTED_VALUE"""),43486.64583333333)</f>
        <v>43486.64583</v>
      </c>
      <c r="B1725" s="1">
        <f>IFERROR(__xludf.DUMMYFUNCTION("""COMPUTED_VALUE"""),66500.0)</f>
        <v>66500</v>
      </c>
      <c r="C1725" s="1">
        <f>IFERROR(__xludf.DUMMYFUNCTION("""COMPUTED_VALUE"""),68100.0)</f>
        <v>68100</v>
      </c>
      <c r="D1725" s="1">
        <f>IFERROR(__xludf.DUMMYFUNCTION("""COMPUTED_VALUE"""),65100.0)</f>
        <v>65100</v>
      </c>
      <c r="E1725" s="1">
        <f>IFERROR(__xludf.DUMMYFUNCTION("""COMPUTED_VALUE"""),67900.0)</f>
        <v>67900</v>
      </c>
      <c r="F1725" s="1">
        <f>IFERROR(__xludf.DUMMYFUNCTION("""COMPUTED_VALUE"""),19564.0)</f>
        <v>19564</v>
      </c>
    </row>
    <row r="1726">
      <c r="A1726" s="2">
        <f>IFERROR(__xludf.DUMMYFUNCTION("""COMPUTED_VALUE"""),43487.64583333333)</f>
        <v>43487.64583</v>
      </c>
      <c r="B1726" s="1">
        <f>IFERROR(__xludf.DUMMYFUNCTION("""COMPUTED_VALUE"""),68000.0)</f>
        <v>68000</v>
      </c>
      <c r="C1726" s="1">
        <f>IFERROR(__xludf.DUMMYFUNCTION("""COMPUTED_VALUE"""),69000.0)</f>
        <v>69000</v>
      </c>
      <c r="D1726" s="1">
        <f>IFERROR(__xludf.DUMMYFUNCTION("""COMPUTED_VALUE"""),67600.0)</f>
        <v>67600</v>
      </c>
      <c r="E1726" s="1">
        <f>IFERROR(__xludf.DUMMYFUNCTION("""COMPUTED_VALUE"""),68700.0)</f>
        <v>68700</v>
      </c>
      <c r="F1726" s="1">
        <f>IFERROR(__xludf.DUMMYFUNCTION("""COMPUTED_VALUE"""),9276.0)</f>
        <v>9276</v>
      </c>
    </row>
    <row r="1727">
      <c r="A1727" s="2">
        <f>IFERROR(__xludf.DUMMYFUNCTION("""COMPUTED_VALUE"""),43488.64583333333)</f>
        <v>43488.64583</v>
      </c>
      <c r="B1727" s="1">
        <f>IFERROR(__xludf.DUMMYFUNCTION("""COMPUTED_VALUE"""),68000.0)</f>
        <v>68000</v>
      </c>
      <c r="C1727" s="1">
        <f>IFERROR(__xludf.DUMMYFUNCTION("""COMPUTED_VALUE"""),69000.0)</f>
        <v>69000</v>
      </c>
      <c r="D1727" s="1">
        <f>IFERROR(__xludf.DUMMYFUNCTION("""COMPUTED_VALUE"""),67600.0)</f>
        <v>67600</v>
      </c>
      <c r="E1727" s="1">
        <f>IFERROR(__xludf.DUMMYFUNCTION("""COMPUTED_VALUE"""),68700.0)</f>
        <v>68700</v>
      </c>
      <c r="F1727" s="1">
        <f>IFERROR(__xludf.DUMMYFUNCTION("""COMPUTED_VALUE"""),9431.0)</f>
        <v>9431</v>
      </c>
    </row>
    <row r="1728">
      <c r="A1728" s="2">
        <f>IFERROR(__xludf.DUMMYFUNCTION("""COMPUTED_VALUE"""),43489.64583333333)</f>
        <v>43489.64583</v>
      </c>
      <c r="B1728" s="1">
        <f>IFERROR(__xludf.DUMMYFUNCTION("""COMPUTED_VALUE"""),68500.0)</f>
        <v>68500</v>
      </c>
      <c r="C1728" s="1">
        <f>IFERROR(__xludf.DUMMYFUNCTION("""COMPUTED_VALUE"""),69200.0)</f>
        <v>69200</v>
      </c>
      <c r="D1728" s="1">
        <f>IFERROR(__xludf.DUMMYFUNCTION("""COMPUTED_VALUE"""),67900.0)</f>
        <v>67900</v>
      </c>
      <c r="E1728" s="1">
        <f>IFERROR(__xludf.DUMMYFUNCTION("""COMPUTED_VALUE"""),69100.0)</f>
        <v>69100</v>
      </c>
      <c r="F1728" s="1">
        <f>IFERROR(__xludf.DUMMYFUNCTION("""COMPUTED_VALUE"""),13309.0)</f>
        <v>13309</v>
      </c>
    </row>
    <row r="1729">
      <c r="A1729" s="2">
        <f>IFERROR(__xludf.DUMMYFUNCTION("""COMPUTED_VALUE"""),43490.64583333333)</f>
        <v>43490.64583</v>
      </c>
      <c r="B1729" s="1">
        <f>IFERROR(__xludf.DUMMYFUNCTION("""COMPUTED_VALUE"""),69300.0)</f>
        <v>69300</v>
      </c>
      <c r="C1729" s="1">
        <f>IFERROR(__xludf.DUMMYFUNCTION("""COMPUTED_VALUE"""),69600.0)</f>
        <v>69600</v>
      </c>
      <c r="D1729" s="1">
        <f>IFERROR(__xludf.DUMMYFUNCTION("""COMPUTED_VALUE"""),68400.0)</f>
        <v>68400</v>
      </c>
      <c r="E1729" s="1">
        <f>IFERROR(__xludf.DUMMYFUNCTION("""COMPUTED_VALUE"""),69500.0)</f>
        <v>69500</v>
      </c>
      <c r="F1729" s="1">
        <f>IFERROR(__xludf.DUMMYFUNCTION("""COMPUTED_VALUE"""),8548.0)</f>
        <v>8548</v>
      </c>
    </row>
    <row r="1730">
      <c r="A1730" s="2">
        <f>IFERROR(__xludf.DUMMYFUNCTION("""COMPUTED_VALUE"""),43493.64583333333)</f>
        <v>43493.64583</v>
      </c>
      <c r="B1730" s="1">
        <f>IFERROR(__xludf.DUMMYFUNCTION("""COMPUTED_VALUE"""),69900.0)</f>
        <v>69900</v>
      </c>
      <c r="C1730" s="1">
        <f>IFERROR(__xludf.DUMMYFUNCTION("""COMPUTED_VALUE"""),69900.0)</f>
        <v>69900</v>
      </c>
      <c r="D1730" s="1">
        <f>IFERROR(__xludf.DUMMYFUNCTION("""COMPUTED_VALUE"""),69200.0)</f>
        <v>69200</v>
      </c>
      <c r="E1730" s="1">
        <f>IFERROR(__xludf.DUMMYFUNCTION("""COMPUTED_VALUE"""),69600.0)</f>
        <v>69600</v>
      </c>
      <c r="F1730" s="1">
        <f>IFERROR(__xludf.DUMMYFUNCTION("""COMPUTED_VALUE"""),7984.0)</f>
        <v>7984</v>
      </c>
    </row>
    <row r="1731">
      <c r="A1731" s="2">
        <f>IFERROR(__xludf.DUMMYFUNCTION("""COMPUTED_VALUE"""),43494.64583333333)</f>
        <v>43494.64583</v>
      </c>
      <c r="B1731" s="1">
        <f>IFERROR(__xludf.DUMMYFUNCTION("""COMPUTED_VALUE"""),69300.0)</f>
        <v>69300</v>
      </c>
      <c r="C1731" s="1">
        <f>IFERROR(__xludf.DUMMYFUNCTION("""COMPUTED_VALUE"""),71300.0)</f>
        <v>71300</v>
      </c>
      <c r="D1731" s="1">
        <f>IFERROR(__xludf.DUMMYFUNCTION("""COMPUTED_VALUE"""),69000.0)</f>
        <v>69000</v>
      </c>
      <c r="E1731" s="1">
        <f>IFERROR(__xludf.DUMMYFUNCTION("""COMPUTED_VALUE"""),70600.0)</f>
        <v>70600</v>
      </c>
      <c r="F1731" s="1">
        <f>IFERROR(__xludf.DUMMYFUNCTION("""COMPUTED_VALUE"""),17976.0)</f>
        <v>17976</v>
      </c>
    </row>
    <row r="1732">
      <c r="A1732" s="2">
        <f>IFERROR(__xludf.DUMMYFUNCTION("""COMPUTED_VALUE"""),43495.64583333333)</f>
        <v>43495.64583</v>
      </c>
      <c r="B1732" s="1">
        <f>IFERROR(__xludf.DUMMYFUNCTION("""COMPUTED_VALUE"""),70500.0)</f>
        <v>70500</v>
      </c>
      <c r="C1732" s="1">
        <f>IFERROR(__xludf.DUMMYFUNCTION("""COMPUTED_VALUE"""),71600.0)</f>
        <v>71600</v>
      </c>
      <c r="D1732" s="1">
        <f>IFERROR(__xludf.DUMMYFUNCTION("""COMPUTED_VALUE"""),70100.0)</f>
        <v>70100</v>
      </c>
      <c r="E1732" s="1">
        <f>IFERROR(__xludf.DUMMYFUNCTION("""COMPUTED_VALUE"""),70900.0)</f>
        <v>70900</v>
      </c>
      <c r="F1732" s="1">
        <f>IFERROR(__xludf.DUMMYFUNCTION("""COMPUTED_VALUE"""),16010.0)</f>
        <v>16010</v>
      </c>
    </row>
    <row r="1733">
      <c r="A1733" s="2">
        <f>IFERROR(__xludf.DUMMYFUNCTION("""COMPUTED_VALUE"""),43496.64583333333)</f>
        <v>43496.64583</v>
      </c>
      <c r="B1733" s="1">
        <f>IFERROR(__xludf.DUMMYFUNCTION("""COMPUTED_VALUE"""),71600.0)</f>
        <v>71600</v>
      </c>
      <c r="C1733" s="1">
        <f>IFERROR(__xludf.DUMMYFUNCTION("""COMPUTED_VALUE"""),72500.0)</f>
        <v>72500</v>
      </c>
      <c r="D1733" s="1">
        <f>IFERROR(__xludf.DUMMYFUNCTION("""COMPUTED_VALUE"""),71200.0)</f>
        <v>71200</v>
      </c>
      <c r="E1733" s="1">
        <f>IFERROR(__xludf.DUMMYFUNCTION("""COMPUTED_VALUE"""),72200.0)</f>
        <v>72200</v>
      </c>
      <c r="F1733" s="1">
        <f>IFERROR(__xludf.DUMMYFUNCTION("""COMPUTED_VALUE"""),20736.0)</f>
        <v>20736</v>
      </c>
    </row>
    <row r="1734">
      <c r="A1734" s="2">
        <f>IFERROR(__xludf.DUMMYFUNCTION("""COMPUTED_VALUE"""),43497.64583333333)</f>
        <v>43497.64583</v>
      </c>
      <c r="B1734" s="1">
        <f>IFERROR(__xludf.DUMMYFUNCTION("""COMPUTED_VALUE"""),73000.0)</f>
        <v>73000</v>
      </c>
      <c r="C1734" s="1">
        <f>IFERROR(__xludf.DUMMYFUNCTION("""COMPUTED_VALUE"""),73300.0)</f>
        <v>73300</v>
      </c>
      <c r="D1734" s="1">
        <f>IFERROR(__xludf.DUMMYFUNCTION("""COMPUTED_VALUE"""),72700.0)</f>
        <v>72700</v>
      </c>
      <c r="E1734" s="1">
        <f>IFERROR(__xludf.DUMMYFUNCTION("""COMPUTED_VALUE"""),73000.0)</f>
        <v>73000</v>
      </c>
      <c r="F1734" s="1">
        <f>IFERROR(__xludf.DUMMYFUNCTION("""COMPUTED_VALUE"""),16127.0)</f>
        <v>16127</v>
      </c>
    </row>
    <row r="1735">
      <c r="A1735" s="2">
        <f>IFERROR(__xludf.DUMMYFUNCTION("""COMPUTED_VALUE"""),43503.64583333333)</f>
        <v>43503.64583</v>
      </c>
      <c r="B1735" s="1">
        <f>IFERROR(__xludf.DUMMYFUNCTION("""COMPUTED_VALUE"""),73100.0)</f>
        <v>73100</v>
      </c>
      <c r="C1735" s="1">
        <f>IFERROR(__xludf.DUMMYFUNCTION("""COMPUTED_VALUE"""),73100.0)</f>
        <v>73100</v>
      </c>
      <c r="D1735" s="1">
        <f>IFERROR(__xludf.DUMMYFUNCTION("""COMPUTED_VALUE"""),72100.0)</f>
        <v>72100</v>
      </c>
      <c r="E1735" s="1">
        <f>IFERROR(__xludf.DUMMYFUNCTION("""COMPUTED_VALUE"""),72300.0)</f>
        <v>72300</v>
      </c>
      <c r="F1735" s="1">
        <f>IFERROR(__xludf.DUMMYFUNCTION("""COMPUTED_VALUE"""),9084.0)</f>
        <v>9084</v>
      </c>
    </row>
    <row r="1736">
      <c r="A1736" s="2">
        <f>IFERROR(__xludf.DUMMYFUNCTION("""COMPUTED_VALUE"""),43504.64583333333)</f>
        <v>43504.64583</v>
      </c>
      <c r="B1736" s="1">
        <f>IFERROR(__xludf.DUMMYFUNCTION("""COMPUTED_VALUE"""),72000.0)</f>
        <v>72000</v>
      </c>
      <c r="C1736" s="1">
        <f>IFERROR(__xludf.DUMMYFUNCTION("""COMPUTED_VALUE"""),72000.0)</f>
        <v>72000</v>
      </c>
      <c r="D1736" s="1">
        <f>IFERROR(__xludf.DUMMYFUNCTION("""COMPUTED_VALUE"""),69900.0)</f>
        <v>69900</v>
      </c>
      <c r="E1736" s="1">
        <f>IFERROR(__xludf.DUMMYFUNCTION("""COMPUTED_VALUE"""),70400.0)</f>
        <v>70400</v>
      </c>
      <c r="F1736" s="1">
        <f>IFERROR(__xludf.DUMMYFUNCTION("""COMPUTED_VALUE"""),23430.0)</f>
        <v>23430</v>
      </c>
    </row>
    <row r="1737">
      <c r="A1737" s="2">
        <f>IFERROR(__xludf.DUMMYFUNCTION("""COMPUTED_VALUE"""),43507.64583333333)</f>
        <v>43507.64583</v>
      </c>
      <c r="B1737" s="1">
        <f>IFERROR(__xludf.DUMMYFUNCTION("""COMPUTED_VALUE"""),70400.0)</f>
        <v>70400</v>
      </c>
      <c r="C1737" s="1">
        <f>IFERROR(__xludf.DUMMYFUNCTION("""COMPUTED_VALUE"""),70500.0)</f>
        <v>70500</v>
      </c>
      <c r="D1737" s="1">
        <f>IFERROR(__xludf.DUMMYFUNCTION("""COMPUTED_VALUE"""),69600.0)</f>
        <v>69600</v>
      </c>
      <c r="E1737" s="1">
        <f>IFERROR(__xludf.DUMMYFUNCTION("""COMPUTED_VALUE"""),70200.0)</f>
        <v>70200</v>
      </c>
      <c r="F1737" s="1">
        <f>IFERROR(__xludf.DUMMYFUNCTION("""COMPUTED_VALUE"""),12662.0)</f>
        <v>12662</v>
      </c>
    </row>
    <row r="1738">
      <c r="A1738" s="2">
        <f>IFERROR(__xludf.DUMMYFUNCTION("""COMPUTED_VALUE"""),43508.64583333333)</f>
        <v>43508.64583</v>
      </c>
      <c r="B1738" s="1">
        <f>IFERROR(__xludf.DUMMYFUNCTION("""COMPUTED_VALUE"""),70500.0)</f>
        <v>70500</v>
      </c>
      <c r="C1738" s="1">
        <f>IFERROR(__xludf.DUMMYFUNCTION("""COMPUTED_VALUE"""),70900.0)</f>
        <v>70900</v>
      </c>
      <c r="D1738" s="1">
        <f>IFERROR(__xludf.DUMMYFUNCTION("""COMPUTED_VALUE"""),69300.0)</f>
        <v>69300</v>
      </c>
      <c r="E1738" s="1">
        <f>IFERROR(__xludf.DUMMYFUNCTION("""COMPUTED_VALUE"""),69300.0)</f>
        <v>69300</v>
      </c>
      <c r="F1738" s="1">
        <f>IFERROR(__xludf.DUMMYFUNCTION("""COMPUTED_VALUE"""),13972.0)</f>
        <v>13972</v>
      </c>
    </row>
    <row r="1739">
      <c r="A1739" s="2">
        <f>IFERROR(__xludf.DUMMYFUNCTION("""COMPUTED_VALUE"""),43509.64583333333)</f>
        <v>43509.64583</v>
      </c>
      <c r="B1739" s="1">
        <f>IFERROR(__xludf.DUMMYFUNCTION("""COMPUTED_VALUE"""),70000.0)</f>
        <v>70000</v>
      </c>
      <c r="C1739" s="1">
        <f>IFERROR(__xludf.DUMMYFUNCTION("""COMPUTED_VALUE"""),70400.0)</f>
        <v>70400</v>
      </c>
      <c r="D1739" s="1">
        <f>IFERROR(__xludf.DUMMYFUNCTION("""COMPUTED_VALUE"""),69100.0)</f>
        <v>69100</v>
      </c>
      <c r="E1739" s="1">
        <f>IFERROR(__xludf.DUMMYFUNCTION("""COMPUTED_VALUE"""),69600.0)</f>
        <v>69600</v>
      </c>
      <c r="F1739" s="1">
        <f>IFERROR(__xludf.DUMMYFUNCTION("""COMPUTED_VALUE"""),16987.0)</f>
        <v>16987</v>
      </c>
    </row>
    <row r="1740">
      <c r="A1740" s="2">
        <f>IFERROR(__xludf.DUMMYFUNCTION("""COMPUTED_VALUE"""),43510.64583333333)</f>
        <v>43510.64583</v>
      </c>
      <c r="B1740" s="1">
        <f>IFERROR(__xludf.DUMMYFUNCTION("""COMPUTED_VALUE"""),69800.0)</f>
        <v>69800</v>
      </c>
      <c r="C1740" s="1">
        <f>IFERROR(__xludf.DUMMYFUNCTION("""COMPUTED_VALUE"""),69800.0)</f>
        <v>69800</v>
      </c>
      <c r="D1740" s="1">
        <f>IFERROR(__xludf.DUMMYFUNCTION("""COMPUTED_VALUE"""),69000.0)</f>
        <v>69000</v>
      </c>
      <c r="E1740" s="1">
        <f>IFERROR(__xludf.DUMMYFUNCTION("""COMPUTED_VALUE"""),69200.0)</f>
        <v>69200</v>
      </c>
      <c r="F1740" s="1">
        <f>IFERROR(__xludf.DUMMYFUNCTION("""COMPUTED_VALUE"""),8865.0)</f>
        <v>8865</v>
      </c>
    </row>
    <row r="1741">
      <c r="A1741" s="2">
        <f>IFERROR(__xludf.DUMMYFUNCTION("""COMPUTED_VALUE"""),43511.64583333333)</f>
        <v>43511.64583</v>
      </c>
      <c r="B1741" s="1">
        <f>IFERROR(__xludf.DUMMYFUNCTION("""COMPUTED_VALUE"""),69400.0)</f>
        <v>69400</v>
      </c>
      <c r="C1741" s="1">
        <f>IFERROR(__xludf.DUMMYFUNCTION("""COMPUTED_VALUE"""),69800.0)</f>
        <v>69800</v>
      </c>
      <c r="D1741" s="1">
        <f>IFERROR(__xludf.DUMMYFUNCTION("""COMPUTED_VALUE"""),69100.0)</f>
        <v>69100</v>
      </c>
      <c r="E1741" s="1">
        <f>IFERROR(__xludf.DUMMYFUNCTION("""COMPUTED_VALUE"""),69200.0)</f>
        <v>69200</v>
      </c>
      <c r="F1741" s="1">
        <f>IFERROR(__xludf.DUMMYFUNCTION("""COMPUTED_VALUE"""),9315.0)</f>
        <v>9315</v>
      </c>
    </row>
    <row r="1742">
      <c r="A1742" s="2">
        <f>IFERROR(__xludf.DUMMYFUNCTION("""COMPUTED_VALUE"""),43514.64583333333)</f>
        <v>43514.64583</v>
      </c>
      <c r="B1742" s="1">
        <f>IFERROR(__xludf.DUMMYFUNCTION("""COMPUTED_VALUE"""),69400.0)</f>
        <v>69400</v>
      </c>
      <c r="C1742" s="1">
        <f>IFERROR(__xludf.DUMMYFUNCTION("""COMPUTED_VALUE"""),71700.0)</f>
        <v>71700</v>
      </c>
      <c r="D1742" s="1">
        <f>IFERROR(__xludf.DUMMYFUNCTION("""COMPUTED_VALUE"""),69400.0)</f>
        <v>69400</v>
      </c>
      <c r="E1742" s="1">
        <f>IFERROR(__xludf.DUMMYFUNCTION("""COMPUTED_VALUE"""),70700.0)</f>
        <v>70700</v>
      </c>
      <c r="F1742" s="1">
        <f>IFERROR(__xludf.DUMMYFUNCTION("""COMPUTED_VALUE"""),17731.0)</f>
        <v>17731</v>
      </c>
    </row>
    <row r="1743">
      <c r="A1743" s="2">
        <f>IFERROR(__xludf.DUMMYFUNCTION("""COMPUTED_VALUE"""),43515.64583333333)</f>
        <v>43515.64583</v>
      </c>
      <c r="B1743" s="1">
        <f>IFERROR(__xludf.DUMMYFUNCTION("""COMPUTED_VALUE"""),71500.0)</f>
        <v>71500</v>
      </c>
      <c r="C1743" s="1">
        <f>IFERROR(__xludf.DUMMYFUNCTION("""COMPUTED_VALUE"""),71600.0)</f>
        <v>71600</v>
      </c>
      <c r="D1743" s="1">
        <f>IFERROR(__xludf.DUMMYFUNCTION("""COMPUTED_VALUE"""),71000.0)</f>
        <v>71000</v>
      </c>
      <c r="E1743" s="1">
        <f>IFERROR(__xludf.DUMMYFUNCTION("""COMPUTED_VALUE"""),71100.0)</f>
        <v>71100</v>
      </c>
      <c r="F1743" s="1">
        <f>IFERROR(__xludf.DUMMYFUNCTION("""COMPUTED_VALUE"""),10017.0)</f>
        <v>10017</v>
      </c>
    </row>
    <row r="1744">
      <c r="A1744" s="2">
        <f>IFERROR(__xludf.DUMMYFUNCTION("""COMPUTED_VALUE"""),43516.64583333333)</f>
        <v>43516.64583</v>
      </c>
      <c r="B1744" s="1">
        <f>IFERROR(__xludf.DUMMYFUNCTION("""COMPUTED_VALUE"""),71500.0)</f>
        <v>71500</v>
      </c>
      <c r="C1744" s="1">
        <f>IFERROR(__xludf.DUMMYFUNCTION("""COMPUTED_VALUE"""),71500.0)</f>
        <v>71500</v>
      </c>
      <c r="D1744" s="1">
        <f>IFERROR(__xludf.DUMMYFUNCTION("""COMPUTED_VALUE"""),69600.0)</f>
        <v>69600</v>
      </c>
      <c r="E1744" s="1">
        <f>IFERROR(__xludf.DUMMYFUNCTION("""COMPUTED_VALUE"""),70800.0)</f>
        <v>70800</v>
      </c>
      <c r="F1744" s="1">
        <f>IFERROR(__xludf.DUMMYFUNCTION("""COMPUTED_VALUE"""),18629.0)</f>
        <v>18629</v>
      </c>
    </row>
    <row r="1745">
      <c r="A1745" s="2">
        <f>IFERROR(__xludf.DUMMYFUNCTION("""COMPUTED_VALUE"""),43517.64583333333)</f>
        <v>43517.64583</v>
      </c>
      <c r="B1745" s="1">
        <f>IFERROR(__xludf.DUMMYFUNCTION("""COMPUTED_VALUE"""),70800.0)</f>
        <v>70800</v>
      </c>
      <c r="C1745" s="1">
        <f>IFERROR(__xludf.DUMMYFUNCTION("""COMPUTED_VALUE"""),70800.0)</f>
        <v>70800</v>
      </c>
      <c r="D1745" s="1">
        <f>IFERROR(__xludf.DUMMYFUNCTION("""COMPUTED_VALUE"""),69800.0)</f>
        <v>69800</v>
      </c>
      <c r="E1745" s="1">
        <f>IFERROR(__xludf.DUMMYFUNCTION("""COMPUTED_VALUE"""),69900.0)</f>
        <v>69900</v>
      </c>
      <c r="F1745" s="1">
        <f>IFERROR(__xludf.DUMMYFUNCTION("""COMPUTED_VALUE"""),10110.0)</f>
        <v>10110</v>
      </c>
    </row>
    <row r="1746">
      <c r="A1746" s="2">
        <f>IFERROR(__xludf.DUMMYFUNCTION("""COMPUTED_VALUE"""),43518.64583333333)</f>
        <v>43518.64583</v>
      </c>
      <c r="B1746" s="1">
        <f>IFERROR(__xludf.DUMMYFUNCTION("""COMPUTED_VALUE"""),70500.0)</f>
        <v>70500</v>
      </c>
      <c r="C1746" s="1">
        <f>IFERROR(__xludf.DUMMYFUNCTION("""COMPUTED_VALUE"""),70500.0)</f>
        <v>70500</v>
      </c>
      <c r="D1746" s="1">
        <f>IFERROR(__xludf.DUMMYFUNCTION("""COMPUTED_VALUE"""),69500.0)</f>
        <v>69500</v>
      </c>
      <c r="E1746" s="1">
        <f>IFERROR(__xludf.DUMMYFUNCTION("""COMPUTED_VALUE"""),69700.0)</f>
        <v>69700</v>
      </c>
      <c r="F1746" s="1">
        <f>IFERROR(__xludf.DUMMYFUNCTION("""COMPUTED_VALUE"""),7854.0)</f>
        <v>7854</v>
      </c>
    </row>
    <row r="1747">
      <c r="A1747" s="2">
        <f>IFERROR(__xludf.DUMMYFUNCTION("""COMPUTED_VALUE"""),43521.64583333333)</f>
        <v>43521.64583</v>
      </c>
      <c r="B1747" s="1">
        <f>IFERROR(__xludf.DUMMYFUNCTION("""COMPUTED_VALUE"""),69900.0)</f>
        <v>69900</v>
      </c>
      <c r="C1747" s="1">
        <f>IFERROR(__xludf.DUMMYFUNCTION("""COMPUTED_VALUE"""),70100.0)</f>
        <v>70100</v>
      </c>
      <c r="D1747" s="1">
        <f>IFERROR(__xludf.DUMMYFUNCTION("""COMPUTED_VALUE"""),69500.0)</f>
        <v>69500</v>
      </c>
      <c r="E1747" s="1">
        <f>IFERROR(__xludf.DUMMYFUNCTION("""COMPUTED_VALUE"""),69500.0)</f>
        <v>69500</v>
      </c>
      <c r="F1747" s="1">
        <f>IFERROR(__xludf.DUMMYFUNCTION("""COMPUTED_VALUE"""),5670.0)</f>
        <v>5670</v>
      </c>
    </row>
    <row r="1748">
      <c r="A1748" s="2">
        <f>IFERROR(__xludf.DUMMYFUNCTION("""COMPUTED_VALUE"""),43522.64583333333)</f>
        <v>43522.64583</v>
      </c>
      <c r="B1748" s="1">
        <f>IFERROR(__xludf.DUMMYFUNCTION("""COMPUTED_VALUE"""),69300.0)</f>
        <v>69300</v>
      </c>
      <c r="C1748" s="1">
        <f>IFERROR(__xludf.DUMMYFUNCTION("""COMPUTED_VALUE"""),69700.0)</f>
        <v>69700</v>
      </c>
      <c r="D1748" s="1">
        <f>IFERROR(__xludf.DUMMYFUNCTION("""COMPUTED_VALUE"""),68500.0)</f>
        <v>68500</v>
      </c>
      <c r="E1748" s="1">
        <f>IFERROR(__xludf.DUMMYFUNCTION("""COMPUTED_VALUE"""),68500.0)</f>
        <v>68500</v>
      </c>
      <c r="F1748" s="1">
        <f>IFERROR(__xludf.DUMMYFUNCTION("""COMPUTED_VALUE"""),16370.0)</f>
        <v>16370</v>
      </c>
    </row>
    <row r="1749">
      <c r="A1749" s="2">
        <f>IFERROR(__xludf.DUMMYFUNCTION("""COMPUTED_VALUE"""),43523.64583333333)</f>
        <v>43523.64583</v>
      </c>
      <c r="B1749" s="1">
        <f>IFERROR(__xludf.DUMMYFUNCTION("""COMPUTED_VALUE"""),68600.0)</f>
        <v>68600</v>
      </c>
      <c r="C1749" s="1">
        <f>IFERROR(__xludf.DUMMYFUNCTION("""COMPUTED_VALUE"""),70900.0)</f>
        <v>70900</v>
      </c>
      <c r="D1749" s="1">
        <f>IFERROR(__xludf.DUMMYFUNCTION("""COMPUTED_VALUE"""),68600.0)</f>
        <v>68600</v>
      </c>
      <c r="E1749" s="1">
        <f>IFERROR(__xludf.DUMMYFUNCTION("""COMPUTED_VALUE"""),70600.0)</f>
        <v>70600</v>
      </c>
      <c r="F1749" s="1">
        <f>IFERROR(__xludf.DUMMYFUNCTION("""COMPUTED_VALUE"""),12351.0)</f>
        <v>12351</v>
      </c>
    </row>
    <row r="1750">
      <c r="A1750" s="2">
        <f>IFERROR(__xludf.DUMMYFUNCTION("""COMPUTED_VALUE"""),43524.64583333333)</f>
        <v>43524.64583</v>
      </c>
      <c r="B1750" s="1">
        <f>IFERROR(__xludf.DUMMYFUNCTION("""COMPUTED_VALUE"""),70300.0)</f>
        <v>70300</v>
      </c>
      <c r="C1750" s="1">
        <f>IFERROR(__xludf.DUMMYFUNCTION("""COMPUTED_VALUE"""),71200.0)</f>
        <v>71200</v>
      </c>
      <c r="D1750" s="1">
        <f>IFERROR(__xludf.DUMMYFUNCTION("""COMPUTED_VALUE"""),70000.0)</f>
        <v>70000</v>
      </c>
      <c r="E1750" s="1">
        <f>IFERROR(__xludf.DUMMYFUNCTION("""COMPUTED_VALUE"""),70000.0)</f>
        <v>70000</v>
      </c>
      <c r="F1750" s="1">
        <f>IFERROR(__xludf.DUMMYFUNCTION("""COMPUTED_VALUE"""),8948.0)</f>
        <v>8948</v>
      </c>
    </row>
    <row r="1751">
      <c r="A1751" s="2">
        <f>IFERROR(__xludf.DUMMYFUNCTION("""COMPUTED_VALUE"""),43528.64583333333)</f>
        <v>43528.64583</v>
      </c>
      <c r="B1751" s="1">
        <f>IFERROR(__xludf.DUMMYFUNCTION("""COMPUTED_VALUE"""),70000.0)</f>
        <v>70000</v>
      </c>
      <c r="C1751" s="1">
        <f>IFERROR(__xludf.DUMMYFUNCTION("""COMPUTED_VALUE"""),70700.0)</f>
        <v>70700</v>
      </c>
      <c r="D1751" s="1">
        <f>IFERROR(__xludf.DUMMYFUNCTION("""COMPUTED_VALUE"""),69600.0)</f>
        <v>69600</v>
      </c>
      <c r="E1751" s="1">
        <f>IFERROR(__xludf.DUMMYFUNCTION("""COMPUTED_VALUE"""),69700.0)</f>
        <v>69700</v>
      </c>
      <c r="F1751" s="1">
        <f>IFERROR(__xludf.DUMMYFUNCTION("""COMPUTED_VALUE"""),4972.0)</f>
        <v>4972</v>
      </c>
    </row>
    <row r="1752">
      <c r="A1752" s="2">
        <f>IFERROR(__xludf.DUMMYFUNCTION("""COMPUTED_VALUE"""),43529.64583333333)</f>
        <v>43529.64583</v>
      </c>
      <c r="B1752" s="1">
        <f>IFERROR(__xludf.DUMMYFUNCTION("""COMPUTED_VALUE"""),70300.0)</f>
        <v>70300</v>
      </c>
      <c r="C1752" s="1">
        <f>IFERROR(__xludf.DUMMYFUNCTION("""COMPUTED_VALUE"""),70300.0)</f>
        <v>70300</v>
      </c>
      <c r="D1752" s="1">
        <f>IFERROR(__xludf.DUMMYFUNCTION("""COMPUTED_VALUE"""),69500.0)</f>
        <v>69500</v>
      </c>
      <c r="E1752" s="1">
        <f>IFERROR(__xludf.DUMMYFUNCTION("""COMPUTED_VALUE"""),69700.0)</f>
        <v>69700</v>
      </c>
      <c r="F1752" s="1">
        <f>IFERROR(__xludf.DUMMYFUNCTION("""COMPUTED_VALUE"""),4015.0)</f>
        <v>4015</v>
      </c>
    </row>
    <row r="1753">
      <c r="A1753" s="2">
        <f>IFERROR(__xludf.DUMMYFUNCTION("""COMPUTED_VALUE"""),43530.64583333333)</f>
        <v>43530.64583</v>
      </c>
      <c r="B1753" s="1">
        <f>IFERROR(__xludf.DUMMYFUNCTION("""COMPUTED_VALUE"""),69900.0)</f>
        <v>69900</v>
      </c>
      <c r="C1753" s="1">
        <f>IFERROR(__xludf.DUMMYFUNCTION("""COMPUTED_VALUE"""),71200.0)</f>
        <v>71200</v>
      </c>
      <c r="D1753" s="1">
        <f>IFERROR(__xludf.DUMMYFUNCTION("""COMPUTED_VALUE"""),69900.0)</f>
        <v>69900</v>
      </c>
      <c r="E1753" s="1">
        <f>IFERROR(__xludf.DUMMYFUNCTION("""COMPUTED_VALUE"""),70900.0)</f>
        <v>70900</v>
      </c>
      <c r="F1753" s="1">
        <f>IFERROR(__xludf.DUMMYFUNCTION("""COMPUTED_VALUE"""),16277.0)</f>
        <v>16277</v>
      </c>
    </row>
    <row r="1754">
      <c r="A1754" s="2">
        <f>IFERROR(__xludf.DUMMYFUNCTION("""COMPUTED_VALUE"""),43531.64583333333)</f>
        <v>43531.64583</v>
      </c>
      <c r="B1754" s="1">
        <f>IFERROR(__xludf.DUMMYFUNCTION("""COMPUTED_VALUE"""),70300.0)</f>
        <v>70300</v>
      </c>
      <c r="C1754" s="1">
        <f>IFERROR(__xludf.DUMMYFUNCTION("""COMPUTED_VALUE"""),71100.0)</f>
        <v>71100</v>
      </c>
      <c r="D1754" s="1">
        <f>IFERROR(__xludf.DUMMYFUNCTION("""COMPUTED_VALUE"""),70100.0)</f>
        <v>70100</v>
      </c>
      <c r="E1754" s="1">
        <f>IFERROR(__xludf.DUMMYFUNCTION("""COMPUTED_VALUE"""),70700.0)</f>
        <v>70700</v>
      </c>
      <c r="F1754" s="1">
        <f>IFERROR(__xludf.DUMMYFUNCTION("""COMPUTED_VALUE"""),11111.0)</f>
        <v>11111</v>
      </c>
    </row>
    <row r="1755">
      <c r="A1755" s="2">
        <f>IFERROR(__xludf.DUMMYFUNCTION("""COMPUTED_VALUE"""),43532.64583333333)</f>
        <v>43532.64583</v>
      </c>
      <c r="B1755" s="1">
        <f>IFERROR(__xludf.DUMMYFUNCTION("""COMPUTED_VALUE"""),68000.0)</f>
        <v>68000</v>
      </c>
      <c r="C1755" s="1">
        <f>IFERROR(__xludf.DUMMYFUNCTION("""COMPUTED_VALUE"""),68000.0)</f>
        <v>68000</v>
      </c>
      <c r="D1755" s="1">
        <f>IFERROR(__xludf.DUMMYFUNCTION("""COMPUTED_VALUE"""),66100.0)</f>
        <v>66100</v>
      </c>
      <c r="E1755" s="1">
        <f>IFERROR(__xludf.DUMMYFUNCTION("""COMPUTED_VALUE"""),66300.0)</f>
        <v>66300</v>
      </c>
      <c r="F1755" s="1">
        <f>IFERROR(__xludf.DUMMYFUNCTION("""COMPUTED_VALUE"""),82224.0)</f>
        <v>82224</v>
      </c>
    </row>
    <row r="1756">
      <c r="A1756" s="2">
        <f>IFERROR(__xludf.DUMMYFUNCTION("""COMPUTED_VALUE"""),43535.64583333333)</f>
        <v>43535.64583</v>
      </c>
      <c r="B1756" s="1">
        <f>IFERROR(__xludf.DUMMYFUNCTION("""COMPUTED_VALUE"""),66000.0)</f>
        <v>66000</v>
      </c>
      <c r="C1756" s="1">
        <f>IFERROR(__xludf.DUMMYFUNCTION("""COMPUTED_VALUE"""),66000.0)</f>
        <v>66000</v>
      </c>
      <c r="D1756" s="1">
        <f>IFERROR(__xludf.DUMMYFUNCTION("""COMPUTED_VALUE"""),62400.0)</f>
        <v>62400</v>
      </c>
      <c r="E1756" s="1">
        <f>IFERROR(__xludf.DUMMYFUNCTION("""COMPUTED_VALUE"""),63200.0)</f>
        <v>63200</v>
      </c>
      <c r="F1756" s="1">
        <f>IFERROR(__xludf.DUMMYFUNCTION("""COMPUTED_VALUE"""),49614.0)</f>
        <v>49614</v>
      </c>
    </row>
    <row r="1757">
      <c r="A1757" s="2">
        <f>IFERROR(__xludf.DUMMYFUNCTION("""COMPUTED_VALUE"""),43536.64583333333)</f>
        <v>43536.64583</v>
      </c>
      <c r="B1757" s="1">
        <f>IFERROR(__xludf.DUMMYFUNCTION("""COMPUTED_VALUE"""),63400.0)</f>
        <v>63400</v>
      </c>
      <c r="C1757" s="1">
        <f>IFERROR(__xludf.DUMMYFUNCTION("""COMPUTED_VALUE"""),63700.0)</f>
        <v>63700</v>
      </c>
      <c r="D1757" s="1">
        <f>IFERROR(__xludf.DUMMYFUNCTION("""COMPUTED_VALUE"""),63200.0)</f>
        <v>63200</v>
      </c>
      <c r="E1757" s="1">
        <f>IFERROR(__xludf.DUMMYFUNCTION("""COMPUTED_VALUE"""),63200.0)</f>
        <v>63200</v>
      </c>
      <c r="F1757" s="1">
        <f>IFERROR(__xludf.DUMMYFUNCTION("""COMPUTED_VALUE"""),13481.0)</f>
        <v>13481</v>
      </c>
    </row>
    <row r="1758">
      <c r="A1758" s="2">
        <f>IFERROR(__xludf.DUMMYFUNCTION("""COMPUTED_VALUE"""),43537.64583333333)</f>
        <v>43537.64583</v>
      </c>
      <c r="B1758" s="1">
        <f>IFERROR(__xludf.DUMMYFUNCTION("""COMPUTED_VALUE"""),63500.0)</f>
        <v>63500</v>
      </c>
      <c r="C1758" s="1">
        <f>IFERROR(__xludf.DUMMYFUNCTION("""COMPUTED_VALUE"""),63500.0)</f>
        <v>63500</v>
      </c>
      <c r="D1758" s="1">
        <f>IFERROR(__xludf.DUMMYFUNCTION("""COMPUTED_VALUE"""),62100.0)</f>
        <v>62100</v>
      </c>
      <c r="E1758" s="1">
        <f>IFERROR(__xludf.DUMMYFUNCTION("""COMPUTED_VALUE"""),62700.0)</f>
        <v>62700</v>
      </c>
      <c r="F1758" s="1">
        <f>IFERROR(__xludf.DUMMYFUNCTION("""COMPUTED_VALUE"""),17724.0)</f>
        <v>17724</v>
      </c>
    </row>
    <row r="1759">
      <c r="A1759" s="2">
        <f>IFERROR(__xludf.DUMMYFUNCTION("""COMPUTED_VALUE"""),43538.64583333333)</f>
        <v>43538.64583</v>
      </c>
      <c r="B1759" s="1">
        <f>IFERROR(__xludf.DUMMYFUNCTION("""COMPUTED_VALUE"""),63300.0)</f>
        <v>63300</v>
      </c>
      <c r="C1759" s="1">
        <f>IFERROR(__xludf.DUMMYFUNCTION("""COMPUTED_VALUE"""),63900.0)</f>
        <v>63900</v>
      </c>
      <c r="D1759" s="1">
        <f>IFERROR(__xludf.DUMMYFUNCTION("""COMPUTED_VALUE"""),62700.0)</f>
        <v>62700</v>
      </c>
      <c r="E1759" s="1">
        <f>IFERROR(__xludf.DUMMYFUNCTION("""COMPUTED_VALUE"""),63800.0)</f>
        <v>63800</v>
      </c>
      <c r="F1759" s="1">
        <f>IFERROR(__xludf.DUMMYFUNCTION("""COMPUTED_VALUE"""),19135.0)</f>
        <v>19135</v>
      </c>
    </row>
    <row r="1760">
      <c r="A1760" s="2">
        <f>IFERROR(__xludf.DUMMYFUNCTION("""COMPUTED_VALUE"""),43539.64583333333)</f>
        <v>43539.64583</v>
      </c>
      <c r="B1760" s="1">
        <f>IFERROR(__xludf.DUMMYFUNCTION("""COMPUTED_VALUE"""),63800.0)</f>
        <v>63800</v>
      </c>
      <c r="C1760" s="1">
        <f>IFERROR(__xludf.DUMMYFUNCTION("""COMPUTED_VALUE"""),64400.0)</f>
        <v>64400</v>
      </c>
      <c r="D1760" s="1">
        <f>IFERROR(__xludf.DUMMYFUNCTION("""COMPUTED_VALUE"""),63600.0)</f>
        <v>63600</v>
      </c>
      <c r="E1760" s="1">
        <f>IFERROR(__xludf.DUMMYFUNCTION("""COMPUTED_VALUE"""),64100.0)</f>
        <v>64100</v>
      </c>
      <c r="F1760" s="1">
        <f>IFERROR(__xludf.DUMMYFUNCTION("""COMPUTED_VALUE"""),6911.0)</f>
        <v>6911</v>
      </c>
    </row>
    <row r="1761">
      <c r="A1761" s="2">
        <f>IFERROR(__xludf.DUMMYFUNCTION("""COMPUTED_VALUE"""),43542.64583333333)</f>
        <v>43542.64583</v>
      </c>
      <c r="B1761" s="1">
        <f>IFERROR(__xludf.DUMMYFUNCTION("""COMPUTED_VALUE"""),64500.0)</f>
        <v>64500</v>
      </c>
      <c r="C1761" s="1">
        <f>IFERROR(__xludf.DUMMYFUNCTION("""COMPUTED_VALUE"""),64700.0)</f>
        <v>64700</v>
      </c>
      <c r="D1761" s="1">
        <f>IFERROR(__xludf.DUMMYFUNCTION("""COMPUTED_VALUE"""),63800.0)</f>
        <v>63800</v>
      </c>
      <c r="E1761" s="1">
        <f>IFERROR(__xludf.DUMMYFUNCTION("""COMPUTED_VALUE"""),64000.0)</f>
        <v>64000</v>
      </c>
      <c r="F1761" s="1">
        <f>IFERROR(__xludf.DUMMYFUNCTION("""COMPUTED_VALUE"""),9695.0)</f>
        <v>9695</v>
      </c>
    </row>
    <row r="1762">
      <c r="A1762" s="2">
        <f>IFERROR(__xludf.DUMMYFUNCTION("""COMPUTED_VALUE"""),43543.64583333333)</f>
        <v>43543.64583</v>
      </c>
      <c r="B1762" s="1">
        <f>IFERROR(__xludf.DUMMYFUNCTION("""COMPUTED_VALUE"""),64500.0)</f>
        <v>64500</v>
      </c>
      <c r="C1762" s="1">
        <f>IFERROR(__xludf.DUMMYFUNCTION("""COMPUTED_VALUE"""),65300.0)</f>
        <v>65300</v>
      </c>
      <c r="D1762" s="1">
        <f>IFERROR(__xludf.DUMMYFUNCTION("""COMPUTED_VALUE"""),64200.0)</f>
        <v>64200</v>
      </c>
      <c r="E1762" s="1">
        <f>IFERROR(__xludf.DUMMYFUNCTION("""COMPUTED_VALUE"""),64700.0)</f>
        <v>64700</v>
      </c>
      <c r="F1762" s="1">
        <f>IFERROR(__xludf.DUMMYFUNCTION("""COMPUTED_VALUE"""),14032.0)</f>
        <v>14032</v>
      </c>
    </row>
    <row r="1763">
      <c r="A1763" s="2">
        <f>IFERROR(__xludf.DUMMYFUNCTION("""COMPUTED_VALUE"""),43544.64583333333)</f>
        <v>43544.64583</v>
      </c>
      <c r="B1763" s="1">
        <f>IFERROR(__xludf.DUMMYFUNCTION("""COMPUTED_VALUE"""),64700.0)</f>
        <v>64700</v>
      </c>
      <c r="C1763" s="1">
        <f>IFERROR(__xludf.DUMMYFUNCTION("""COMPUTED_VALUE"""),64800.0)</f>
        <v>64800</v>
      </c>
      <c r="D1763" s="1">
        <f>IFERROR(__xludf.DUMMYFUNCTION("""COMPUTED_VALUE"""),63500.0)</f>
        <v>63500</v>
      </c>
      <c r="E1763" s="1">
        <f>IFERROR(__xludf.DUMMYFUNCTION("""COMPUTED_VALUE"""),64000.0)</f>
        <v>64000</v>
      </c>
      <c r="F1763" s="1">
        <f>IFERROR(__xludf.DUMMYFUNCTION("""COMPUTED_VALUE"""),9348.0)</f>
        <v>9348</v>
      </c>
    </row>
    <row r="1764">
      <c r="A1764" s="2">
        <f>IFERROR(__xludf.DUMMYFUNCTION("""COMPUTED_VALUE"""),43545.64583333333)</f>
        <v>43545.64583</v>
      </c>
      <c r="B1764" s="1">
        <f>IFERROR(__xludf.DUMMYFUNCTION("""COMPUTED_VALUE"""),63600.0)</f>
        <v>63600</v>
      </c>
      <c r="C1764" s="1">
        <f>IFERROR(__xludf.DUMMYFUNCTION("""COMPUTED_VALUE"""),64700.0)</f>
        <v>64700</v>
      </c>
      <c r="D1764" s="1">
        <f>IFERROR(__xludf.DUMMYFUNCTION("""COMPUTED_VALUE"""),63600.0)</f>
        <v>63600</v>
      </c>
      <c r="E1764" s="1">
        <f>IFERROR(__xludf.DUMMYFUNCTION("""COMPUTED_VALUE"""),64400.0)</f>
        <v>64400</v>
      </c>
      <c r="F1764" s="1">
        <f>IFERROR(__xludf.DUMMYFUNCTION("""COMPUTED_VALUE"""),10801.0)</f>
        <v>10801</v>
      </c>
    </row>
    <row r="1765">
      <c r="A1765" s="2">
        <f>IFERROR(__xludf.DUMMYFUNCTION("""COMPUTED_VALUE"""),43546.64583333333)</f>
        <v>43546.64583</v>
      </c>
      <c r="B1765" s="1">
        <f>IFERROR(__xludf.DUMMYFUNCTION("""COMPUTED_VALUE"""),64600.0)</f>
        <v>64600</v>
      </c>
      <c r="C1765" s="1">
        <f>IFERROR(__xludf.DUMMYFUNCTION("""COMPUTED_VALUE"""),64700.0)</f>
        <v>64700</v>
      </c>
      <c r="D1765" s="1">
        <f>IFERROR(__xludf.DUMMYFUNCTION("""COMPUTED_VALUE"""),64100.0)</f>
        <v>64100</v>
      </c>
      <c r="E1765" s="1">
        <f>IFERROR(__xludf.DUMMYFUNCTION("""COMPUTED_VALUE"""),64100.0)</f>
        <v>64100</v>
      </c>
      <c r="F1765" s="1">
        <f>IFERROR(__xludf.DUMMYFUNCTION("""COMPUTED_VALUE"""),9508.0)</f>
        <v>9508</v>
      </c>
    </row>
    <row r="1766">
      <c r="A1766" s="2">
        <f>IFERROR(__xludf.DUMMYFUNCTION("""COMPUTED_VALUE"""),43549.64583333333)</f>
        <v>43549.64583</v>
      </c>
      <c r="B1766" s="1">
        <f>IFERROR(__xludf.DUMMYFUNCTION("""COMPUTED_VALUE"""),63800.0)</f>
        <v>63800</v>
      </c>
      <c r="C1766" s="1">
        <f>IFERROR(__xludf.DUMMYFUNCTION("""COMPUTED_VALUE"""),63800.0)</f>
        <v>63800</v>
      </c>
      <c r="D1766" s="1">
        <f>IFERROR(__xludf.DUMMYFUNCTION("""COMPUTED_VALUE"""),62700.0)</f>
        <v>62700</v>
      </c>
      <c r="E1766" s="1">
        <f>IFERROR(__xludf.DUMMYFUNCTION("""COMPUTED_VALUE"""),63200.0)</f>
        <v>63200</v>
      </c>
      <c r="F1766" s="1">
        <f>IFERROR(__xludf.DUMMYFUNCTION("""COMPUTED_VALUE"""),8973.0)</f>
        <v>8973</v>
      </c>
    </row>
    <row r="1767">
      <c r="A1767" s="2">
        <f>IFERROR(__xludf.DUMMYFUNCTION("""COMPUTED_VALUE"""),43550.64583333333)</f>
        <v>43550.64583</v>
      </c>
      <c r="B1767" s="1">
        <f>IFERROR(__xludf.DUMMYFUNCTION("""COMPUTED_VALUE"""),63000.0)</f>
        <v>63000</v>
      </c>
      <c r="C1767" s="1">
        <f>IFERROR(__xludf.DUMMYFUNCTION("""COMPUTED_VALUE"""),63500.0)</f>
        <v>63500</v>
      </c>
      <c r="D1767" s="1">
        <f>IFERROR(__xludf.DUMMYFUNCTION("""COMPUTED_VALUE"""),62800.0)</f>
        <v>62800</v>
      </c>
      <c r="E1767" s="1">
        <f>IFERROR(__xludf.DUMMYFUNCTION("""COMPUTED_VALUE"""),63300.0)</f>
        <v>63300</v>
      </c>
      <c r="F1767" s="1">
        <f>IFERROR(__xludf.DUMMYFUNCTION("""COMPUTED_VALUE"""),5591.0)</f>
        <v>5591</v>
      </c>
    </row>
    <row r="1768">
      <c r="A1768" s="2">
        <f>IFERROR(__xludf.DUMMYFUNCTION("""COMPUTED_VALUE"""),43551.64583333333)</f>
        <v>43551.64583</v>
      </c>
      <c r="B1768" s="1">
        <f>IFERROR(__xludf.DUMMYFUNCTION("""COMPUTED_VALUE"""),63300.0)</f>
        <v>63300</v>
      </c>
      <c r="C1768" s="1">
        <f>IFERROR(__xludf.DUMMYFUNCTION("""COMPUTED_VALUE"""),63900.0)</f>
        <v>63900</v>
      </c>
      <c r="D1768" s="1">
        <f>IFERROR(__xludf.DUMMYFUNCTION("""COMPUTED_VALUE"""),62500.0)</f>
        <v>62500</v>
      </c>
      <c r="E1768" s="1">
        <f>IFERROR(__xludf.DUMMYFUNCTION("""COMPUTED_VALUE"""),63000.0)</f>
        <v>63000</v>
      </c>
      <c r="F1768" s="1">
        <f>IFERROR(__xludf.DUMMYFUNCTION("""COMPUTED_VALUE"""),8199.0)</f>
        <v>8199</v>
      </c>
    </row>
    <row r="1769">
      <c r="A1769" s="2">
        <f>IFERROR(__xludf.DUMMYFUNCTION("""COMPUTED_VALUE"""),43552.64583333333)</f>
        <v>43552.64583</v>
      </c>
      <c r="B1769" s="1">
        <f>IFERROR(__xludf.DUMMYFUNCTION("""COMPUTED_VALUE"""),63000.0)</f>
        <v>63000</v>
      </c>
      <c r="C1769" s="1">
        <f>IFERROR(__xludf.DUMMYFUNCTION("""COMPUTED_VALUE"""),63400.0)</f>
        <v>63400</v>
      </c>
      <c r="D1769" s="1">
        <f>IFERROR(__xludf.DUMMYFUNCTION("""COMPUTED_VALUE"""),62100.0)</f>
        <v>62100</v>
      </c>
      <c r="E1769" s="1">
        <f>IFERROR(__xludf.DUMMYFUNCTION("""COMPUTED_VALUE"""),62100.0)</f>
        <v>62100</v>
      </c>
      <c r="F1769" s="1">
        <f>IFERROR(__xludf.DUMMYFUNCTION("""COMPUTED_VALUE"""),10985.0)</f>
        <v>10985</v>
      </c>
    </row>
    <row r="1770">
      <c r="A1770" s="2">
        <f>IFERROR(__xludf.DUMMYFUNCTION("""COMPUTED_VALUE"""),43553.64583333333)</f>
        <v>43553.64583</v>
      </c>
      <c r="B1770" s="1">
        <f>IFERROR(__xludf.DUMMYFUNCTION("""COMPUTED_VALUE"""),62000.0)</f>
        <v>62000</v>
      </c>
      <c r="C1770" s="1">
        <f>IFERROR(__xludf.DUMMYFUNCTION("""COMPUTED_VALUE"""),62800.0)</f>
        <v>62800</v>
      </c>
      <c r="D1770" s="1">
        <f>IFERROR(__xludf.DUMMYFUNCTION("""COMPUTED_VALUE"""),60900.0)</f>
        <v>60900</v>
      </c>
      <c r="E1770" s="1">
        <f>IFERROR(__xludf.DUMMYFUNCTION("""COMPUTED_VALUE"""),61300.0)</f>
        <v>61300</v>
      </c>
      <c r="F1770" s="1">
        <f>IFERROR(__xludf.DUMMYFUNCTION("""COMPUTED_VALUE"""),13087.0)</f>
        <v>13087</v>
      </c>
    </row>
    <row r="1771">
      <c r="A1771" s="2">
        <f>IFERROR(__xludf.DUMMYFUNCTION("""COMPUTED_VALUE"""),43556.64583333333)</f>
        <v>43556.64583</v>
      </c>
      <c r="B1771" s="1">
        <f>IFERROR(__xludf.DUMMYFUNCTION("""COMPUTED_VALUE"""),61500.0)</f>
        <v>61500</v>
      </c>
      <c r="C1771" s="1">
        <f>IFERROR(__xludf.DUMMYFUNCTION("""COMPUTED_VALUE"""),62400.0)</f>
        <v>62400</v>
      </c>
      <c r="D1771" s="1">
        <f>IFERROR(__xludf.DUMMYFUNCTION("""COMPUTED_VALUE"""),61200.0)</f>
        <v>61200</v>
      </c>
      <c r="E1771" s="1">
        <f>IFERROR(__xludf.DUMMYFUNCTION("""COMPUTED_VALUE"""),61200.0)</f>
        <v>61200</v>
      </c>
      <c r="F1771" s="1">
        <f>IFERROR(__xludf.DUMMYFUNCTION("""COMPUTED_VALUE"""),16538.0)</f>
        <v>16538</v>
      </c>
    </row>
    <row r="1772">
      <c r="A1772" s="2">
        <f>IFERROR(__xludf.DUMMYFUNCTION("""COMPUTED_VALUE"""),43557.64583333333)</f>
        <v>43557.64583</v>
      </c>
      <c r="B1772" s="1">
        <f>IFERROR(__xludf.DUMMYFUNCTION("""COMPUTED_VALUE"""),61900.0)</f>
        <v>61900</v>
      </c>
      <c r="C1772" s="1">
        <f>IFERROR(__xludf.DUMMYFUNCTION("""COMPUTED_VALUE"""),62300.0)</f>
        <v>62300</v>
      </c>
      <c r="D1772" s="1">
        <f>IFERROR(__xludf.DUMMYFUNCTION("""COMPUTED_VALUE"""),61500.0)</f>
        <v>61500</v>
      </c>
      <c r="E1772" s="1">
        <f>IFERROR(__xludf.DUMMYFUNCTION("""COMPUTED_VALUE"""),61500.0)</f>
        <v>61500</v>
      </c>
      <c r="F1772" s="1">
        <f>IFERROR(__xludf.DUMMYFUNCTION("""COMPUTED_VALUE"""),10180.0)</f>
        <v>10180</v>
      </c>
    </row>
    <row r="1773">
      <c r="A1773" s="2">
        <f>IFERROR(__xludf.DUMMYFUNCTION("""COMPUTED_VALUE"""),43558.64583333333)</f>
        <v>43558.64583</v>
      </c>
      <c r="B1773" s="1">
        <f>IFERROR(__xludf.DUMMYFUNCTION("""COMPUTED_VALUE"""),61900.0)</f>
        <v>61900</v>
      </c>
      <c r="C1773" s="1">
        <f>IFERROR(__xludf.DUMMYFUNCTION("""COMPUTED_VALUE"""),62200.0)</f>
        <v>62200</v>
      </c>
      <c r="D1773" s="1">
        <f>IFERROR(__xludf.DUMMYFUNCTION("""COMPUTED_VALUE"""),61200.0)</f>
        <v>61200</v>
      </c>
      <c r="E1773" s="1">
        <f>IFERROR(__xludf.DUMMYFUNCTION("""COMPUTED_VALUE"""),62000.0)</f>
        <v>62000</v>
      </c>
      <c r="F1773" s="1">
        <f>IFERROR(__xludf.DUMMYFUNCTION("""COMPUTED_VALUE"""),18078.0)</f>
        <v>18078</v>
      </c>
    </row>
    <row r="1774">
      <c r="A1774" s="2">
        <f>IFERROR(__xludf.DUMMYFUNCTION("""COMPUTED_VALUE"""),43559.64583333333)</f>
        <v>43559.64583</v>
      </c>
      <c r="B1774" s="1">
        <f>IFERROR(__xludf.DUMMYFUNCTION("""COMPUTED_VALUE"""),61700.0)</f>
        <v>61700</v>
      </c>
      <c r="C1774" s="1">
        <f>IFERROR(__xludf.DUMMYFUNCTION("""COMPUTED_VALUE"""),62200.0)</f>
        <v>62200</v>
      </c>
      <c r="D1774" s="1">
        <f>IFERROR(__xludf.DUMMYFUNCTION("""COMPUTED_VALUE"""),61200.0)</f>
        <v>61200</v>
      </c>
      <c r="E1774" s="1">
        <f>IFERROR(__xludf.DUMMYFUNCTION("""COMPUTED_VALUE"""),62100.0)</f>
        <v>62100</v>
      </c>
      <c r="F1774" s="1">
        <f>IFERROR(__xludf.DUMMYFUNCTION("""COMPUTED_VALUE"""),7458.0)</f>
        <v>7458</v>
      </c>
    </row>
    <row r="1775">
      <c r="A1775" s="2">
        <f>IFERROR(__xludf.DUMMYFUNCTION("""COMPUTED_VALUE"""),43560.64583333333)</f>
        <v>43560.64583</v>
      </c>
      <c r="B1775" s="1">
        <f>IFERROR(__xludf.DUMMYFUNCTION("""COMPUTED_VALUE"""),62300.0)</f>
        <v>62300</v>
      </c>
      <c r="C1775" s="1">
        <f>IFERROR(__xludf.DUMMYFUNCTION("""COMPUTED_VALUE"""),62600.0)</f>
        <v>62600</v>
      </c>
      <c r="D1775" s="1">
        <f>IFERROR(__xludf.DUMMYFUNCTION("""COMPUTED_VALUE"""),62000.0)</f>
        <v>62000</v>
      </c>
      <c r="E1775" s="1">
        <f>IFERROR(__xludf.DUMMYFUNCTION("""COMPUTED_VALUE"""),62500.0)</f>
        <v>62500</v>
      </c>
      <c r="F1775" s="1">
        <f>IFERROR(__xludf.DUMMYFUNCTION("""COMPUTED_VALUE"""),12234.0)</f>
        <v>12234</v>
      </c>
    </row>
    <row r="1776">
      <c r="A1776" s="2">
        <f>IFERROR(__xludf.DUMMYFUNCTION("""COMPUTED_VALUE"""),43563.64583333333)</f>
        <v>43563.64583</v>
      </c>
      <c r="B1776" s="1">
        <f>IFERROR(__xludf.DUMMYFUNCTION("""COMPUTED_VALUE"""),62800.0)</f>
        <v>62800</v>
      </c>
      <c r="C1776" s="1">
        <f>IFERROR(__xludf.DUMMYFUNCTION("""COMPUTED_VALUE"""),63800.0)</f>
        <v>63800</v>
      </c>
      <c r="D1776" s="1">
        <f>IFERROR(__xludf.DUMMYFUNCTION("""COMPUTED_VALUE"""),62700.0)</f>
        <v>62700</v>
      </c>
      <c r="E1776" s="1">
        <f>IFERROR(__xludf.DUMMYFUNCTION("""COMPUTED_VALUE"""),63500.0)</f>
        <v>63500</v>
      </c>
      <c r="F1776" s="1">
        <f>IFERROR(__xludf.DUMMYFUNCTION("""COMPUTED_VALUE"""),13160.0)</f>
        <v>13160</v>
      </c>
    </row>
    <row r="1777">
      <c r="A1777" s="2">
        <f>IFERROR(__xludf.DUMMYFUNCTION("""COMPUTED_VALUE"""),43564.64583333333)</f>
        <v>43564.64583</v>
      </c>
      <c r="B1777" s="1">
        <f>IFERROR(__xludf.DUMMYFUNCTION("""COMPUTED_VALUE"""),63800.0)</f>
        <v>63800</v>
      </c>
      <c r="C1777" s="1">
        <f>IFERROR(__xludf.DUMMYFUNCTION("""COMPUTED_VALUE"""),64100.0)</f>
        <v>64100</v>
      </c>
      <c r="D1777" s="1">
        <f>IFERROR(__xludf.DUMMYFUNCTION("""COMPUTED_VALUE"""),63200.0)</f>
        <v>63200</v>
      </c>
      <c r="E1777" s="1">
        <f>IFERROR(__xludf.DUMMYFUNCTION("""COMPUTED_VALUE"""),63400.0)</f>
        <v>63400</v>
      </c>
      <c r="F1777" s="1">
        <f>IFERROR(__xludf.DUMMYFUNCTION("""COMPUTED_VALUE"""),10507.0)</f>
        <v>10507</v>
      </c>
    </row>
    <row r="1778">
      <c r="A1778" s="2">
        <f>IFERROR(__xludf.DUMMYFUNCTION("""COMPUTED_VALUE"""),43565.64583333333)</f>
        <v>43565.64583</v>
      </c>
      <c r="B1778" s="1">
        <f>IFERROR(__xludf.DUMMYFUNCTION("""COMPUTED_VALUE"""),62900.0)</f>
        <v>62900</v>
      </c>
      <c r="C1778" s="1">
        <f>IFERROR(__xludf.DUMMYFUNCTION("""COMPUTED_VALUE"""),63300.0)</f>
        <v>63300</v>
      </c>
      <c r="D1778" s="1">
        <f>IFERROR(__xludf.DUMMYFUNCTION("""COMPUTED_VALUE"""),62700.0)</f>
        <v>62700</v>
      </c>
      <c r="E1778" s="1">
        <f>IFERROR(__xludf.DUMMYFUNCTION("""COMPUTED_VALUE"""),63300.0)</f>
        <v>63300</v>
      </c>
      <c r="F1778" s="1">
        <f>IFERROR(__xludf.DUMMYFUNCTION("""COMPUTED_VALUE"""),6851.0)</f>
        <v>6851</v>
      </c>
    </row>
    <row r="1779">
      <c r="A1779" s="2">
        <f>IFERROR(__xludf.DUMMYFUNCTION("""COMPUTED_VALUE"""),43566.64583333333)</f>
        <v>43566.64583</v>
      </c>
      <c r="B1779" s="1">
        <f>IFERROR(__xludf.DUMMYFUNCTION("""COMPUTED_VALUE"""),63400.0)</f>
        <v>63400</v>
      </c>
      <c r="C1779" s="1">
        <f>IFERROR(__xludf.DUMMYFUNCTION("""COMPUTED_VALUE"""),63500.0)</f>
        <v>63500</v>
      </c>
      <c r="D1779" s="1">
        <f>IFERROR(__xludf.DUMMYFUNCTION("""COMPUTED_VALUE"""),63000.0)</f>
        <v>63000</v>
      </c>
      <c r="E1779" s="1">
        <f>IFERROR(__xludf.DUMMYFUNCTION("""COMPUTED_VALUE"""),63200.0)</f>
        <v>63200</v>
      </c>
      <c r="F1779" s="1">
        <f>IFERROR(__xludf.DUMMYFUNCTION("""COMPUTED_VALUE"""),6670.0)</f>
        <v>6670</v>
      </c>
    </row>
    <row r="1780">
      <c r="A1780" s="2">
        <f>IFERROR(__xludf.DUMMYFUNCTION("""COMPUTED_VALUE"""),43567.64583333333)</f>
        <v>43567.64583</v>
      </c>
      <c r="B1780" s="1">
        <f>IFERROR(__xludf.DUMMYFUNCTION("""COMPUTED_VALUE"""),63200.0)</f>
        <v>63200</v>
      </c>
      <c r="C1780" s="1">
        <f>IFERROR(__xludf.DUMMYFUNCTION("""COMPUTED_VALUE"""),63700.0)</f>
        <v>63700</v>
      </c>
      <c r="D1780" s="1">
        <f>IFERROR(__xludf.DUMMYFUNCTION("""COMPUTED_VALUE"""),62700.0)</f>
        <v>62700</v>
      </c>
      <c r="E1780" s="1">
        <f>IFERROR(__xludf.DUMMYFUNCTION("""COMPUTED_VALUE"""),63500.0)</f>
        <v>63500</v>
      </c>
      <c r="F1780" s="1">
        <f>IFERROR(__xludf.DUMMYFUNCTION("""COMPUTED_VALUE"""),7249.0)</f>
        <v>7249</v>
      </c>
    </row>
    <row r="1781">
      <c r="A1781" s="2">
        <f>IFERROR(__xludf.DUMMYFUNCTION("""COMPUTED_VALUE"""),43570.64583333333)</f>
        <v>43570.64583</v>
      </c>
      <c r="B1781" s="1">
        <f>IFERROR(__xludf.DUMMYFUNCTION("""COMPUTED_VALUE"""),63600.0)</f>
        <v>63600</v>
      </c>
      <c r="C1781" s="1">
        <f>IFERROR(__xludf.DUMMYFUNCTION("""COMPUTED_VALUE"""),65800.0)</f>
        <v>65800</v>
      </c>
      <c r="D1781" s="1">
        <f>IFERROR(__xludf.DUMMYFUNCTION("""COMPUTED_VALUE"""),63600.0)</f>
        <v>63600</v>
      </c>
      <c r="E1781" s="1">
        <f>IFERROR(__xludf.DUMMYFUNCTION("""COMPUTED_VALUE"""),65800.0)</f>
        <v>65800</v>
      </c>
      <c r="F1781" s="1">
        <f>IFERROR(__xludf.DUMMYFUNCTION("""COMPUTED_VALUE"""),30438.0)</f>
        <v>30438</v>
      </c>
    </row>
    <row r="1782">
      <c r="A1782" s="2">
        <f>IFERROR(__xludf.DUMMYFUNCTION("""COMPUTED_VALUE"""),43571.64583333333)</f>
        <v>43571.64583</v>
      </c>
      <c r="B1782" s="1">
        <f>IFERROR(__xludf.DUMMYFUNCTION("""COMPUTED_VALUE"""),66000.0)</f>
        <v>66000</v>
      </c>
      <c r="C1782" s="1">
        <f>IFERROR(__xludf.DUMMYFUNCTION("""COMPUTED_VALUE"""),66000.0)</f>
        <v>66000</v>
      </c>
      <c r="D1782" s="1">
        <f>IFERROR(__xludf.DUMMYFUNCTION("""COMPUTED_VALUE"""),64500.0)</f>
        <v>64500</v>
      </c>
      <c r="E1782" s="1">
        <f>IFERROR(__xludf.DUMMYFUNCTION("""COMPUTED_VALUE"""),65200.0)</f>
        <v>65200</v>
      </c>
      <c r="F1782" s="1">
        <f>IFERROR(__xludf.DUMMYFUNCTION("""COMPUTED_VALUE"""),14021.0)</f>
        <v>14021</v>
      </c>
    </row>
    <row r="1783">
      <c r="A1783" s="2">
        <f>IFERROR(__xludf.DUMMYFUNCTION("""COMPUTED_VALUE"""),43572.64583333333)</f>
        <v>43572.64583</v>
      </c>
      <c r="B1783" s="1">
        <f>IFERROR(__xludf.DUMMYFUNCTION("""COMPUTED_VALUE"""),65200.0)</f>
        <v>65200</v>
      </c>
      <c r="C1783" s="1">
        <f>IFERROR(__xludf.DUMMYFUNCTION("""COMPUTED_VALUE"""),65300.0)</f>
        <v>65300</v>
      </c>
      <c r="D1783" s="1">
        <f>IFERROR(__xludf.DUMMYFUNCTION("""COMPUTED_VALUE"""),64600.0)</f>
        <v>64600</v>
      </c>
      <c r="E1783" s="1">
        <f>IFERROR(__xludf.DUMMYFUNCTION("""COMPUTED_VALUE"""),65100.0)</f>
        <v>65100</v>
      </c>
      <c r="F1783" s="1">
        <f>IFERROR(__xludf.DUMMYFUNCTION("""COMPUTED_VALUE"""),8778.0)</f>
        <v>8778</v>
      </c>
    </row>
    <row r="1784">
      <c r="A1784" s="2">
        <f>IFERROR(__xludf.DUMMYFUNCTION("""COMPUTED_VALUE"""),43573.64583333333)</f>
        <v>43573.64583</v>
      </c>
      <c r="B1784" s="1">
        <f>IFERROR(__xludf.DUMMYFUNCTION("""COMPUTED_VALUE"""),65600.0)</f>
        <v>65600</v>
      </c>
      <c r="C1784" s="1">
        <f>IFERROR(__xludf.DUMMYFUNCTION("""COMPUTED_VALUE"""),65600.0)</f>
        <v>65600</v>
      </c>
      <c r="D1784" s="1">
        <f>IFERROR(__xludf.DUMMYFUNCTION("""COMPUTED_VALUE"""),64500.0)</f>
        <v>64500</v>
      </c>
      <c r="E1784" s="1">
        <f>IFERROR(__xludf.DUMMYFUNCTION("""COMPUTED_VALUE"""),64900.0)</f>
        <v>64900</v>
      </c>
      <c r="F1784" s="1">
        <f>IFERROR(__xludf.DUMMYFUNCTION("""COMPUTED_VALUE"""),10750.0)</f>
        <v>10750</v>
      </c>
    </row>
    <row r="1785">
      <c r="A1785" s="2">
        <f>IFERROR(__xludf.DUMMYFUNCTION("""COMPUTED_VALUE"""),43574.64583333333)</f>
        <v>43574.64583</v>
      </c>
      <c r="B1785" s="1">
        <f>IFERROR(__xludf.DUMMYFUNCTION("""COMPUTED_VALUE"""),64600.0)</f>
        <v>64600</v>
      </c>
      <c r="C1785" s="1">
        <f>IFERROR(__xludf.DUMMYFUNCTION("""COMPUTED_VALUE"""),65200.0)</f>
        <v>65200</v>
      </c>
      <c r="D1785" s="1">
        <f>IFERROR(__xludf.DUMMYFUNCTION("""COMPUTED_VALUE"""),64500.0)</f>
        <v>64500</v>
      </c>
      <c r="E1785" s="1">
        <f>IFERROR(__xludf.DUMMYFUNCTION("""COMPUTED_VALUE"""),65200.0)</f>
        <v>65200</v>
      </c>
      <c r="F1785" s="1">
        <f>IFERROR(__xludf.DUMMYFUNCTION("""COMPUTED_VALUE"""),7398.0)</f>
        <v>7398</v>
      </c>
    </row>
    <row r="1786">
      <c r="A1786" s="2">
        <f>IFERROR(__xludf.DUMMYFUNCTION("""COMPUTED_VALUE"""),43577.64583333333)</f>
        <v>43577.64583</v>
      </c>
      <c r="B1786" s="1">
        <f>IFERROR(__xludf.DUMMYFUNCTION("""COMPUTED_VALUE"""),65200.0)</f>
        <v>65200</v>
      </c>
      <c r="C1786" s="1">
        <f>IFERROR(__xludf.DUMMYFUNCTION("""COMPUTED_VALUE"""),65300.0)</f>
        <v>65300</v>
      </c>
      <c r="D1786" s="1">
        <f>IFERROR(__xludf.DUMMYFUNCTION("""COMPUTED_VALUE"""),64300.0)</f>
        <v>64300</v>
      </c>
      <c r="E1786" s="1">
        <f>IFERROR(__xludf.DUMMYFUNCTION("""COMPUTED_VALUE"""),64800.0)</f>
        <v>64800</v>
      </c>
      <c r="F1786" s="1">
        <f>IFERROR(__xludf.DUMMYFUNCTION("""COMPUTED_VALUE"""),11359.0)</f>
        <v>11359</v>
      </c>
    </row>
    <row r="1787">
      <c r="A1787" s="2">
        <f>IFERROR(__xludf.DUMMYFUNCTION("""COMPUTED_VALUE"""),43578.64583333333)</f>
        <v>43578.64583</v>
      </c>
      <c r="B1787" s="1">
        <f>IFERROR(__xludf.DUMMYFUNCTION("""COMPUTED_VALUE"""),66500.0)</f>
        <v>66500</v>
      </c>
      <c r="C1787" s="1">
        <f>IFERROR(__xludf.DUMMYFUNCTION("""COMPUTED_VALUE"""),66800.0)</f>
        <v>66800</v>
      </c>
      <c r="D1787" s="1">
        <f>IFERROR(__xludf.DUMMYFUNCTION("""COMPUTED_VALUE"""),65100.0)</f>
        <v>65100</v>
      </c>
      <c r="E1787" s="1">
        <f>IFERROR(__xludf.DUMMYFUNCTION("""COMPUTED_VALUE"""),65600.0)</f>
        <v>65600</v>
      </c>
      <c r="F1787" s="1">
        <f>IFERROR(__xludf.DUMMYFUNCTION("""COMPUTED_VALUE"""),26744.0)</f>
        <v>26744</v>
      </c>
    </row>
    <row r="1788">
      <c r="A1788" s="2">
        <f>IFERROR(__xludf.DUMMYFUNCTION("""COMPUTED_VALUE"""),43579.64583333333)</f>
        <v>43579.64583</v>
      </c>
      <c r="B1788" s="1">
        <f>IFERROR(__xludf.DUMMYFUNCTION("""COMPUTED_VALUE"""),66300.0)</f>
        <v>66300</v>
      </c>
      <c r="C1788" s="1">
        <f>IFERROR(__xludf.DUMMYFUNCTION("""COMPUTED_VALUE"""),67200.0)</f>
        <v>67200</v>
      </c>
      <c r="D1788" s="1">
        <f>IFERROR(__xludf.DUMMYFUNCTION("""COMPUTED_VALUE"""),65600.0)</f>
        <v>65600</v>
      </c>
      <c r="E1788" s="1">
        <f>IFERROR(__xludf.DUMMYFUNCTION("""COMPUTED_VALUE"""),66900.0)</f>
        <v>66900</v>
      </c>
      <c r="F1788" s="1">
        <f>IFERROR(__xludf.DUMMYFUNCTION("""COMPUTED_VALUE"""),51378.0)</f>
        <v>51378</v>
      </c>
    </row>
    <row r="1789">
      <c r="A1789" s="2">
        <f>IFERROR(__xludf.DUMMYFUNCTION("""COMPUTED_VALUE"""),43580.64583333333)</f>
        <v>43580.64583</v>
      </c>
      <c r="B1789" s="1">
        <f>IFERROR(__xludf.DUMMYFUNCTION("""COMPUTED_VALUE"""),67100.0)</f>
        <v>67100</v>
      </c>
      <c r="C1789" s="1">
        <f>IFERROR(__xludf.DUMMYFUNCTION("""COMPUTED_VALUE"""),67100.0)</f>
        <v>67100</v>
      </c>
      <c r="D1789" s="1">
        <f>IFERROR(__xludf.DUMMYFUNCTION("""COMPUTED_VALUE"""),65400.0)</f>
        <v>65400</v>
      </c>
      <c r="E1789" s="1">
        <f>IFERROR(__xludf.DUMMYFUNCTION("""COMPUTED_VALUE"""),65800.0)</f>
        <v>65800</v>
      </c>
      <c r="F1789" s="1">
        <f>IFERROR(__xludf.DUMMYFUNCTION("""COMPUTED_VALUE"""),13609.0)</f>
        <v>13609</v>
      </c>
    </row>
    <row r="1790">
      <c r="A1790" s="2">
        <f>IFERROR(__xludf.DUMMYFUNCTION("""COMPUTED_VALUE"""),43581.64583333333)</f>
        <v>43581.64583</v>
      </c>
      <c r="B1790" s="1">
        <f>IFERROR(__xludf.DUMMYFUNCTION("""COMPUTED_VALUE"""),65800.0)</f>
        <v>65800</v>
      </c>
      <c r="C1790" s="1">
        <f>IFERROR(__xludf.DUMMYFUNCTION("""COMPUTED_VALUE"""),65800.0)</f>
        <v>65800</v>
      </c>
      <c r="D1790" s="1">
        <f>IFERROR(__xludf.DUMMYFUNCTION("""COMPUTED_VALUE"""),64300.0)</f>
        <v>64300</v>
      </c>
      <c r="E1790" s="1">
        <f>IFERROR(__xludf.DUMMYFUNCTION("""COMPUTED_VALUE"""),64600.0)</f>
        <v>64600</v>
      </c>
      <c r="F1790" s="1">
        <f>IFERROR(__xludf.DUMMYFUNCTION("""COMPUTED_VALUE"""),13063.0)</f>
        <v>13063</v>
      </c>
    </row>
    <row r="1791">
      <c r="A1791" s="2">
        <f>IFERROR(__xludf.DUMMYFUNCTION("""COMPUTED_VALUE"""),43584.64583333333)</f>
        <v>43584.64583</v>
      </c>
      <c r="B1791" s="1">
        <f>IFERROR(__xludf.DUMMYFUNCTION("""COMPUTED_VALUE"""),65300.0)</f>
        <v>65300</v>
      </c>
      <c r="C1791" s="1">
        <f>IFERROR(__xludf.DUMMYFUNCTION("""COMPUTED_VALUE"""),65300.0)</f>
        <v>65300</v>
      </c>
      <c r="D1791" s="1">
        <f>IFERROR(__xludf.DUMMYFUNCTION("""COMPUTED_VALUE"""),63700.0)</f>
        <v>63700</v>
      </c>
      <c r="E1791" s="1">
        <f>IFERROR(__xludf.DUMMYFUNCTION("""COMPUTED_VALUE"""),65000.0)</f>
        <v>65000</v>
      </c>
      <c r="F1791" s="1">
        <f>IFERROR(__xludf.DUMMYFUNCTION("""COMPUTED_VALUE"""),5975.0)</f>
        <v>5975</v>
      </c>
    </row>
    <row r="1792">
      <c r="A1792" s="2">
        <f>IFERROR(__xludf.DUMMYFUNCTION("""COMPUTED_VALUE"""),43585.64583333333)</f>
        <v>43585.64583</v>
      </c>
      <c r="B1792" s="1">
        <f>IFERROR(__xludf.DUMMYFUNCTION("""COMPUTED_VALUE"""),65000.0)</f>
        <v>65000</v>
      </c>
      <c r="C1792" s="1">
        <f>IFERROR(__xludf.DUMMYFUNCTION("""COMPUTED_VALUE"""),65000.0)</f>
        <v>65000</v>
      </c>
      <c r="D1792" s="1">
        <f>IFERROR(__xludf.DUMMYFUNCTION("""COMPUTED_VALUE"""),64100.0)</f>
        <v>64100</v>
      </c>
      <c r="E1792" s="1">
        <f>IFERROR(__xludf.DUMMYFUNCTION("""COMPUTED_VALUE"""),64700.0)</f>
        <v>64700</v>
      </c>
      <c r="F1792" s="1">
        <f>IFERROR(__xludf.DUMMYFUNCTION("""COMPUTED_VALUE"""),6686.0)</f>
        <v>6686</v>
      </c>
    </row>
    <row r="1793">
      <c r="A1793" s="2">
        <f>IFERROR(__xludf.DUMMYFUNCTION("""COMPUTED_VALUE"""),43587.64583333333)</f>
        <v>43587.64583</v>
      </c>
      <c r="B1793" s="1">
        <f>IFERROR(__xludf.DUMMYFUNCTION("""COMPUTED_VALUE"""),64200.0)</f>
        <v>64200</v>
      </c>
      <c r="C1793" s="1">
        <f>IFERROR(__xludf.DUMMYFUNCTION("""COMPUTED_VALUE"""),64700.0)</f>
        <v>64700</v>
      </c>
      <c r="D1793" s="1">
        <f>IFERROR(__xludf.DUMMYFUNCTION("""COMPUTED_VALUE"""),63900.0)</f>
        <v>63900</v>
      </c>
      <c r="E1793" s="1">
        <f>IFERROR(__xludf.DUMMYFUNCTION("""COMPUTED_VALUE"""),64200.0)</f>
        <v>64200</v>
      </c>
      <c r="F1793" s="1">
        <f>IFERROR(__xludf.DUMMYFUNCTION("""COMPUTED_VALUE"""),6992.0)</f>
        <v>6992</v>
      </c>
    </row>
    <row r="1794">
      <c r="A1794" s="2">
        <f>IFERROR(__xludf.DUMMYFUNCTION("""COMPUTED_VALUE"""),43588.64583333333)</f>
        <v>43588.64583</v>
      </c>
      <c r="B1794" s="1">
        <f>IFERROR(__xludf.DUMMYFUNCTION("""COMPUTED_VALUE"""),64100.0)</f>
        <v>64100</v>
      </c>
      <c r="C1794" s="1">
        <f>IFERROR(__xludf.DUMMYFUNCTION("""COMPUTED_VALUE"""),64300.0)</f>
        <v>64300</v>
      </c>
      <c r="D1794" s="1">
        <f>IFERROR(__xludf.DUMMYFUNCTION("""COMPUTED_VALUE"""),63000.0)</f>
        <v>63000</v>
      </c>
      <c r="E1794" s="1">
        <f>IFERROR(__xludf.DUMMYFUNCTION("""COMPUTED_VALUE"""),64300.0)</f>
        <v>64300</v>
      </c>
      <c r="F1794" s="1">
        <f>IFERROR(__xludf.DUMMYFUNCTION("""COMPUTED_VALUE"""),9506.0)</f>
        <v>9506</v>
      </c>
    </row>
    <row r="1795">
      <c r="A1795" s="2">
        <f>IFERROR(__xludf.DUMMYFUNCTION("""COMPUTED_VALUE"""),43592.64583333333)</f>
        <v>43592.64583</v>
      </c>
      <c r="B1795" s="1">
        <f>IFERROR(__xludf.DUMMYFUNCTION("""COMPUTED_VALUE"""),64200.0)</f>
        <v>64200</v>
      </c>
      <c r="C1795" s="1">
        <f>IFERROR(__xludf.DUMMYFUNCTION("""COMPUTED_VALUE"""),64200.0)</f>
        <v>64200</v>
      </c>
      <c r="D1795" s="1">
        <f>IFERROR(__xludf.DUMMYFUNCTION("""COMPUTED_VALUE"""),62800.0)</f>
        <v>62800</v>
      </c>
      <c r="E1795" s="1">
        <f>IFERROR(__xludf.DUMMYFUNCTION("""COMPUTED_VALUE"""),63000.0)</f>
        <v>63000</v>
      </c>
      <c r="F1795" s="1">
        <f>IFERROR(__xludf.DUMMYFUNCTION("""COMPUTED_VALUE"""),8730.0)</f>
        <v>8730</v>
      </c>
    </row>
    <row r="1796">
      <c r="A1796" s="2">
        <f>IFERROR(__xludf.DUMMYFUNCTION("""COMPUTED_VALUE"""),43593.64583333333)</f>
        <v>43593.64583</v>
      </c>
      <c r="B1796" s="1">
        <f>IFERROR(__xludf.DUMMYFUNCTION("""COMPUTED_VALUE"""),62500.0)</f>
        <v>62500</v>
      </c>
      <c r="C1796" s="1">
        <f>IFERROR(__xludf.DUMMYFUNCTION("""COMPUTED_VALUE"""),63200.0)</f>
        <v>63200</v>
      </c>
      <c r="D1796" s="1">
        <f>IFERROR(__xludf.DUMMYFUNCTION("""COMPUTED_VALUE"""),62300.0)</f>
        <v>62300</v>
      </c>
      <c r="E1796" s="1">
        <f>IFERROR(__xludf.DUMMYFUNCTION("""COMPUTED_VALUE"""),63100.0)</f>
        <v>63100</v>
      </c>
      <c r="F1796" s="1">
        <f>IFERROR(__xludf.DUMMYFUNCTION("""COMPUTED_VALUE"""),4157.0)</f>
        <v>4157</v>
      </c>
    </row>
    <row r="1797">
      <c r="A1797" s="2">
        <f>IFERROR(__xludf.DUMMYFUNCTION("""COMPUTED_VALUE"""),43594.64583333333)</f>
        <v>43594.64583</v>
      </c>
      <c r="B1797" s="1">
        <f>IFERROR(__xludf.DUMMYFUNCTION("""COMPUTED_VALUE"""),63400.0)</f>
        <v>63400</v>
      </c>
      <c r="C1797" s="1">
        <f>IFERROR(__xludf.DUMMYFUNCTION("""COMPUTED_VALUE"""),63400.0)</f>
        <v>63400</v>
      </c>
      <c r="D1797" s="1">
        <f>IFERROR(__xludf.DUMMYFUNCTION("""COMPUTED_VALUE"""),61600.0)</f>
        <v>61600</v>
      </c>
      <c r="E1797" s="1">
        <f>IFERROR(__xludf.DUMMYFUNCTION("""COMPUTED_VALUE"""),61800.0)</f>
        <v>61800</v>
      </c>
      <c r="F1797" s="1">
        <f>IFERROR(__xludf.DUMMYFUNCTION("""COMPUTED_VALUE"""),14286.0)</f>
        <v>14286</v>
      </c>
    </row>
    <row r="1798">
      <c r="A1798" s="2">
        <f>IFERROR(__xludf.DUMMYFUNCTION("""COMPUTED_VALUE"""),43595.64583333333)</f>
        <v>43595.64583</v>
      </c>
      <c r="B1798" s="1">
        <f>IFERROR(__xludf.DUMMYFUNCTION("""COMPUTED_VALUE"""),62000.0)</f>
        <v>62000</v>
      </c>
      <c r="C1798" s="1">
        <f>IFERROR(__xludf.DUMMYFUNCTION("""COMPUTED_VALUE"""),62300.0)</f>
        <v>62300</v>
      </c>
      <c r="D1798" s="1">
        <f>IFERROR(__xludf.DUMMYFUNCTION("""COMPUTED_VALUE"""),60900.0)</f>
        <v>60900</v>
      </c>
      <c r="E1798" s="1">
        <f>IFERROR(__xludf.DUMMYFUNCTION("""COMPUTED_VALUE"""),61400.0)</f>
        <v>61400</v>
      </c>
      <c r="F1798" s="1">
        <f>IFERROR(__xludf.DUMMYFUNCTION("""COMPUTED_VALUE"""),11768.0)</f>
        <v>11768</v>
      </c>
    </row>
    <row r="1799">
      <c r="A1799" s="2">
        <f>IFERROR(__xludf.DUMMYFUNCTION("""COMPUTED_VALUE"""),43598.64583333333)</f>
        <v>43598.64583</v>
      </c>
      <c r="B1799" s="1">
        <f>IFERROR(__xludf.DUMMYFUNCTION("""COMPUTED_VALUE"""),61400.0)</f>
        <v>61400</v>
      </c>
      <c r="C1799" s="1">
        <f>IFERROR(__xludf.DUMMYFUNCTION("""COMPUTED_VALUE"""),61400.0)</f>
        <v>61400</v>
      </c>
      <c r="D1799" s="1">
        <f>IFERROR(__xludf.DUMMYFUNCTION("""COMPUTED_VALUE"""),60100.0)</f>
        <v>60100</v>
      </c>
      <c r="E1799" s="1">
        <f>IFERROR(__xludf.DUMMYFUNCTION("""COMPUTED_VALUE"""),60400.0)</f>
        <v>60400</v>
      </c>
      <c r="F1799" s="1">
        <f>IFERROR(__xludf.DUMMYFUNCTION("""COMPUTED_VALUE"""),10803.0)</f>
        <v>10803</v>
      </c>
    </row>
    <row r="1800">
      <c r="A1800" s="2">
        <f>IFERROR(__xludf.DUMMYFUNCTION("""COMPUTED_VALUE"""),43599.64583333333)</f>
        <v>43599.64583</v>
      </c>
      <c r="B1800" s="1">
        <f>IFERROR(__xludf.DUMMYFUNCTION("""COMPUTED_VALUE"""),60000.0)</f>
        <v>60000</v>
      </c>
      <c r="C1800" s="1">
        <f>IFERROR(__xludf.DUMMYFUNCTION("""COMPUTED_VALUE"""),60500.0)</f>
        <v>60500</v>
      </c>
      <c r="D1800" s="1">
        <f>IFERROR(__xludf.DUMMYFUNCTION("""COMPUTED_VALUE"""),59100.0)</f>
        <v>59100</v>
      </c>
      <c r="E1800" s="1">
        <f>IFERROR(__xludf.DUMMYFUNCTION("""COMPUTED_VALUE"""),60000.0)</f>
        <v>60000</v>
      </c>
      <c r="F1800" s="1">
        <f>IFERROR(__xludf.DUMMYFUNCTION("""COMPUTED_VALUE"""),11434.0)</f>
        <v>11434</v>
      </c>
    </row>
    <row r="1801">
      <c r="A1801" s="2">
        <f>IFERROR(__xludf.DUMMYFUNCTION("""COMPUTED_VALUE"""),43600.64583333333)</f>
        <v>43600.64583</v>
      </c>
      <c r="B1801" s="1">
        <f>IFERROR(__xludf.DUMMYFUNCTION("""COMPUTED_VALUE"""),60100.0)</f>
        <v>60100</v>
      </c>
      <c r="C1801" s="1">
        <f>IFERROR(__xludf.DUMMYFUNCTION("""COMPUTED_VALUE"""),61500.0)</f>
        <v>61500</v>
      </c>
      <c r="D1801" s="1">
        <f>IFERROR(__xludf.DUMMYFUNCTION("""COMPUTED_VALUE"""),60000.0)</f>
        <v>60000</v>
      </c>
      <c r="E1801" s="1">
        <f>IFERROR(__xludf.DUMMYFUNCTION("""COMPUTED_VALUE"""),61200.0)</f>
        <v>61200</v>
      </c>
      <c r="F1801" s="1">
        <f>IFERROR(__xludf.DUMMYFUNCTION("""COMPUTED_VALUE"""),3439.0)</f>
        <v>3439</v>
      </c>
    </row>
    <row r="1802">
      <c r="A1802" s="2">
        <f>IFERROR(__xludf.DUMMYFUNCTION("""COMPUTED_VALUE"""),43601.64583333333)</f>
        <v>43601.64583</v>
      </c>
      <c r="B1802" s="1">
        <f>IFERROR(__xludf.DUMMYFUNCTION("""COMPUTED_VALUE"""),61200.0)</f>
        <v>61200</v>
      </c>
      <c r="C1802" s="1">
        <f>IFERROR(__xludf.DUMMYFUNCTION("""COMPUTED_VALUE"""),61600.0)</f>
        <v>61600</v>
      </c>
      <c r="D1802" s="1">
        <f>IFERROR(__xludf.DUMMYFUNCTION("""COMPUTED_VALUE"""),60300.0)</f>
        <v>60300</v>
      </c>
      <c r="E1802" s="1">
        <f>IFERROR(__xludf.DUMMYFUNCTION("""COMPUTED_VALUE"""),61100.0)</f>
        <v>61100</v>
      </c>
      <c r="F1802" s="1">
        <f>IFERROR(__xludf.DUMMYFUNCTION("""COMPUTED_VALUE"""),4805.0)</f>
        <v>4805</v>
      </c>
    </row>
    <row r="1803">
      <c r="A1803" s="2">
        <f>IFERROR(__xludf.DUMMYFUNCTION("""COMPUTED_VALUE"""),43602.64583333333)</f>
        <v>43602.64583</v>
      </c>
      <c r="B1803" s="1">
        <f>IFERROR(__xludf.DUMMYFUNCTION("""COMPUTED_VALUE"""),61600.0)</f>
        <v>61600</v>
      </c>
      <c r="C1803" s="1">
        <f>IFERROR(__xludf.DUMMYFUNCTION("""COMPUTED_VALUE"""),62100.0)</f>
        <v>62100</v>
      </c>
      <c r="D1803" s="1">
        <f>IFERROR(__xludf.DUMMYFUNCTION("""COMPUTED_VALUE"""),60800.0)</f>
        <v>60800</v>
      </c>
      <c r="E1803" s="1">
        <f>IFERROR(__xludf.DUMMYFUNCTION("""COMPUTED_VALUE"""),61700.0)</f>
        <v>61700</v>
      </c>
      <c r="F1803" s="1">
        <f>IFERROR(__xludf.DUMMYFUNCTION("""COMPUTED_VALUE"""),4845.0)</f>
        <v>4845</v>
      </c>
    </row>
    <row r="1804">
      <c r="A1804" s="2">
        <f>IFERROR(__xludf.DUMMYFUNCTION("""COMPUTED_VALUE"""),43605.64583333333)</f>
        <v>43605.64583</v>
      </c>
      <c r="B1804" s="1">
        <f>IFERROR(__xludf.DUMMYFUNCTION("""COMPUTED_VALUE"""),61400.0)</f>
        <v>61400</v>
      </c>
      <c r="C1804" s="1">
        <f>IFERROR(__xludf.DUMMYFUNCTION("""COMPUTED_VALUE"""),62300.0)</f>
        <v>62300</v>
      </c>
      <c r="D1804" s="1">
        <f>IFERROR(__xludf.DUMMYFUNCTION("""COMPUTED_VALUE"""),60100.0)</f>
        <v>60100</v>
      </c>
      <c r="E1804" s="1">
        <f>IFERROR(__xludf.DUMMYFUNCTION("""COMPUTED_VALUE"""),61000.0)</f>
        <v>61000</v>
      </c>
      <c r="F1804" s="1">
        <f>IFERROR(__xludf.DUMMYFUNCTION("""COMPUTED_VALUE"""),5439.0)</f>
        <v>5439</v>
      </c>
    </row>
    <row r="1805">
      <c r="A1805" s="2">
        <f>IFERROR(__xludf.DUMMYFUNCTION("""COMPUTED_VALUE"""),43606.64583333333)</f>
        <v>43606.64583</v>
      </c>
      <c r="B1805" s="1">
        <f>IFERROR(__xludf.DUMMYFUNCTION("""COMPUTED_VALUE"""),61000.0)</f>
        <v>61000</v>
      </c>
      <c r="C1805" s="1">
        <f>IFERROR(__xludf.DUMMYFUNCTION("""COMPUTED_VALUE"""),61700.0)</f>
        <v>61700</v>
      </c>
      <c r="D1805" s="1">
        <f>IFERROR(__xludf.DUMMYFUNCTION("""COMPUTED_VALUE"""),60600.0)</f>
        <v>60600</v>
      </c>
      <c r="E1805" s="1">
        <f>IFERROR(__xludf.DUMMYFUNCTION("""COMPUTED_VALUE"""),60700.0)</f>
        <v>60700</v>
      </c>
      <c r="F1805" s="1">
        <f>IFERROR(__xludf.DUMMYFUNCTION("""COMPUTED_VALUE"""),7118.0)</f>
        <v>7118</v>
      </c>
    </row>
    <row r="1806">
      <c r="A1806" s="2">
        <f>IFERROR(__xludf.DUMMYFUNCTION("""COMPUTED_VALUE"""),43607.64583333333)</f>
        <v>43607.64583</v>
      </c>
      <c r="B1806" s="1">
        <f>IFERROR(__xludf.DUMMYFUNCTION("""COMPUTED_VALUE"""),60700.0)</f>
        <v>60700</v>
      </c>
      <c r="C1806" s="1">
        <f>IFERROR(__xludf.DUMMYFUNCTION("""COMPUTED_VALUE"""),61300.0)</f>
        <v>61300</v>
      </c>
      <c r="D1806" s="1">
        <f>IFERROR(__xludf.DUMMYFUNCTION("""COMPUTED_VALUE"""),60400.0)</f>
        <v>60400</v>
      </c>
      <c r="E1806" s="1">
        <f>IFERROR(__xludf.DUMMYFUNCTION("""COMPUTED_VALUE"""),60400.0)</f>
        <v>60400</v>
      </c>
      <c r="F1806" s="1">
        <f>IFERROR(__xludf.DUMMYFUNCTION("""COMPUTED_VALUE"""),4843.0)</f>
        <v>4843</v>
      </c>
    </row>
    <row r="1807">
      <c r="A1807" s="2">
        <f>IFERROR(__xludf.DUMMYFUNCTION("""COMPUTED_VALUE"""),43608.64583333333)</f>
        <v>43608.64583</v>
      </c>
      <c r="B1807" s="1">
        <f>IFERROR(__xludf.DUMMYFUNCTION("""COMPUTED_VALUE"""),60500.0)</f>
        <v>60500</v>
      </c>
      <c r="C1807" s="1">
        <f>IFERROR(__xludf.DUMMYFUNCTION("""COMPUTED_VALUE"""),60500.0)</f>
        <v>60500</v>
      </c>
      <c r="D1807" s="1">
        <f>IFERROR(__xludf.DUMMYFUNCTION("""COMPUTED_VALUE"""),59300.0)</f>
        <v>59300</v>
      </c>
      <c r="E1807" s="1">
        <f>IFERROR(__xludf.DUMMYFUNCTION("""COMPUTED_VALUE"""),59700.0)</f>
        <v>59700</v>
      </c>
      <c r="F1807" s="1">
        <f>IFERROR(__xludf.DUMMYFUNCTION("""COMPUTED_VALUE"""),9598.0)</f>
        <v>9598</v>
      </c>
    </row>
    <row r="1808">
      <c r="A1808" s="2">
        <f>IFERROR(__xludf.DUMMYFUNCTION("""COMPUTED_VALUE"""),43609.64583333333)</f>
        <v>43609.64583</v>
      </c>
      <c r="B1808" s="1">
        <f>IFERROR(__xludf.DUMMYFUNCTION("""COMPUTED_VALUE"""),59700.0)</f>
        <v>59700</v>
      </c>
      <c r="C1808" s="1">
        <f>IFERROR(__xludf.DUMMYFUNCTION("""COMPUTED_VALUE"""),60400.0)</f>
        <v>60400</v>
      </c>
      <c r="D1808" s="1">
        <f>IFERROR(__xludf.DUMMYFUNCTION("""COMPUTED_VALUE"""),58700.0)</f>
        <v>58700</v>
      </c>
      <c r="E1808" s="1">
        <f>IFERROR(__xludf.DUMMYFUNCTION("""COMPUTED_VALUE"""),60000.0)</f>
        <v>60000</v>
      </c>
      <c r="F1808" s="1">
        <f>IFERROR(__xludf.DUMMYFUNCTION("""COMPUTED_VALUE"""),9085.0)</f>
        <v>9085</v>
      </c>
    </row>
    <row r="1809">
      <c r="A1809" s="2">
        <f>IFERROR(__xludf.DUMMYFUNCTION("""COMPUTED_VALUE"""),43612.64583333333)</f>
        <v>43612.64583</v>
      </c>
      <c r="B1809" s="1">
        <f>IFERROR(__xludf.DUMMYFUNCTION("""COMPUTED_VALUE"""),59200.0)</f>
        <v>59200</v>
      </c>
      <c r="C1809" s="1">
        <f>IFERROR(__xludf.DUMMYFUNCTION("""COMPUTED_VALUE"""),60900.0)</f>
        <v>60900</v>
      </c>
      <c r="D1809" s="1">
        <f>IFERROR(__xludf.DUMMYFUNCTION("""COMPUTED_VALUE"""),59200.0)</f>
        <v>59200</v>
      </c>
      <c r="E1809" s="1">
        <f>IFERROR(__xludf.DUMMYFUNCTION("""COMPUTED_VALUE"""),60400.0)</f>
        <v>60400</v>
      </c>
      <c r="F1809" s="1">
        <f>IFERROR(__xludf.DUMMYFUNCTION("""COMPUTED_VALUE"""),9971.0)</f>
        <v>9971</v>
      </c>
    </row>
    <row r="1810">
      <c r="A1810" s="2">
        <f>IFERROR(__xludf.DUMMYFUNCTION("""COMPUTED_VALUE"""),43613.64583333333)</f>
        <v>43613.64583</v>
      </c>
      <c r="B1810" s="1">
        <f>IFERROR(__xludf.DUMMYFUNCTION("""COMPUTED_VALUE"""),60300.0)</f>
        <v>60300</v>
      </c>
      <c r="C1810" s="1">
        <f>IFERROR(__xludf.DUMMYFUNCTION("""COMPUTED_VALUE"""),61100.0)</f>
        <v>61100</v>
      </c>
      <c r="D1810" s="1">
        <f>IFERROR(__xludf.DUMMYFUNCTION("""COMPUTED_VALUE"""),60100.0)</f>
        <v>60100</v>
      </c>
      <c r="E1810" s="1">
        <f>IFERROR(__xludf.DUMMYFUNCTION("""COMPUTED_VALUE"""),60600.0)</f>
        <v>60600</v>
      </c>
      <c r="F1810" s="1">
        <f>IFERROR(__xludf.DUMMYFUNCTION("""COMPUTED_VALUE"""),10293.0)</f>
        <v>10293</v>
      </c>
    </row>
    <row r="1811">
      <c r="A1811" s="2">
        <f>IFERROR(__xludf.DUMMYFUNCTION("""COMPUTED_VALUE"""),43614.64583333333)</f>
        <v>43614.64583</v>
      </c>
      <c r="B1811" s="1">
        <f>IFERROR(__xludf.DUMMYFUNCTION("""COMPUTED_VALUE"""),60900.0)</f>
        <v>60900</v>
      </c>
      <c r="C1811" s="1">
        <f>IFERROR(__xludf.DUMMYFUNCTION("""COMPUTED_VALUE"""),60900.0)</f>
        <v>60900</v>
      </c>
      <c r="D1811" s="1">
        <f>IFERROR(__xludf.DUMMYFUNCTION("""COMPUTED_VALUE"""),59500.0)</f>
        <v>59500</v>
      </c>
      <c r="E1811" s="1">
        <f>IFERROR(__xludf.DUMMYFUNCTION("""COMPUTED_VALUE"""),60700.0)</f>
        <v>60700</v>
      </c>
      <c r="F1811" s="1">
        <f>IFERROR(__xludf.DUMMYFUNCTION("""COMPUTED_VALUE"""),8856.0)</f>
        <v>8856</v>
      </c>
    </row>
    <row r="1812">
      <c r="A1812" s="2">
        <f>IFERROR(__xludf.DUMMYFUNCTION("""COMPUTED_VALUE"""),43615.64583333333)</f>
        <v>43615.64583</v>
      </c>
      <c r="B1812" s="1">
        <f>IFERROR(__xludf.DUMMYFUNCTION("""COMPUTED_VALUE"""),60700.0)</f>
        <v>60700</v>
      </c>
      <c r="C1812" s="1">
        <f>IFERROR(__xludf.DUMMYFUNCTION("""COMPUTED_VALUE"""),60700.0)</f>
        <v>60700</v>
      </c>
      <c r="D1812" s="1">
        <f>IFERROR(__xludf.DUMMYFUNCTION("""COMPUTED_VALUE"""),60000.0)</f>
        <v>60000</v>
      </c>
      <c r="E1812" s="1">
        <f>IFERROR(__xludf.DUMMYFUNCTION("""COMPUTED_VALUE"""),60300.0)</f>
        <v>60300</v>
      </c>
      <c r="F1812" s="1">
        <f>IFERROR(__xludf.DUMMYFUNCTION("""COMPUTED_VALUE"""),4729.0)</f>
        <v>4729</v>
      </c>
    </row>
    <row r="1813">
      <c r="A1813" s="2">
        <f>IFERROR(__xludf.DUMMYFUNCTION("""COMPUTED_VALUE"""),43616.64583333333)</f>
        <v>43616.64583</v>
      </c>
      <c r="B1813" s="1">
        <f>IFERROR(__xludf.DUMMYFUNCTION("""COMPUTED_VALUE"""),60300.0)</f>
        <v>60300</v>
      </c>
      <c r="C1813" s="1">
        <f>IFERROR(__xludf.DUMMYFUNCTION("""COMPUTED_VALUE"""),60400.0)</f>
        <v>60400</v>
      </c>
      <c r="D1813" s="1">
        <f>IFERROR(__xludf.DUMMYFUNCTION("""COMPUTED_VALUE"""),59700.0)</f>
        <v>59700</v>
      </c>
      <c r="E1813" s="1">
        <f>IFERROR(__xludf.DUMMYFUNCTION("""COMPUTED_VALUE"""),60400.0)</f>
        <v>60400</v>
      </c>
      <c r="F1813" s="1">
        <f>IFERROR(__xludf.DUMMYFUNCTION("""COMPUTED_VALUE"""),3683.0)</f>
        <v>3683</v>
      </c>
    </row>
    <row r="1814">
      <c r="A1814" s="2">
        <f>IFERROR(__xludf.DUMMYFUNCTION("""COMPUTED_VALUE"""),43619.64583333333)</f>
        <v>43619.64583</v>
      </c>
      <c r="B1814" s="1">
        <f>IFERROR(__xludf.DUMMYFUNCTION("""COMPUTED_VALUE"""),60400.0)</f>
        <v>60400</v>
      </c>
      <c r="C1814" s="1">
        <f>IFERROR(__xludf.DUMMYFUNCTION("""COMPUTED_VALUE"""),60400.0)</f>
        <v>60400</v>
      </c>
      <c r="D1814" s="1">
        <f>IFERROR(__xludf.DUMMYFUNCTION("""COMPUTED_VALUE"""),59000.0)</f>
        <v>59000</v>
      </c>
      <c r="E1814" s="1">
        <f>IFERROR(__xludf.DUMMYFUNCTION("""COMPUTED_VALUE"""),59300.0)</f>
        <v>59300</v>
      </c>
      <c r="F1814" s="1">
        <f>IFERROR(__xludf.DUMMYFUNCTION("""COMPUTED_VALUE"""),14771.0)</f>
        <v>14771</v>
      </c>
    </row>
    <row r="1815">
      <c r="A1815" s="2">
        <f>IFERROR(__xludf.DUMMYFUNCTION("""COMPUTED_VALUE"""),43620.64583333333)</f>
        <v>43620.64583</v>
      </c>
      <c r="B1815" s="1">
        <f>IFERROR(__xludf.DUMMYFUNCTION("""COMPUTED_VALUE"""),59300.0)</f>
        <v>59300</v>
      </c>
      <c r="C1815" s="1">
        <f>IFERROR(__xludf.DUMMYFUNCTION("""COMPUTED_VALUE"""),59500.0)</f>
        <v>59500</v>
      </c>
      <c r="D1815" s="1">
        <f>IFERROR(__xludf.DUMMYFUNCTION("""COMPUTED_VALUE"""),59100.0)</f>
        <v>59100</v>
      </c>
      <c r="E1815" s="1">
        <f>IFERROR(__xludf.DUMMYFUNCTION("""COMPUTED_VALUE"""),59400.0)</f>
        <v>59400</v>
      </c>
      <c r="F1815" s="1">
        <f>IFERROR(__xludf.DUMMYFUNCTION("""COMPUTED_VALUE"""),6583.0)</f>
        <v>6583</v>
      </c>
    </row>
    <row r="1816">
      <c r="A1816" s="2">
        <f>IFERROR(__xludf.DUMMYFUNCTION("""COMPUTED_VALUE"""),43621.64583333333)</f>
        <v>43621.64583</v>
      </c>
      <c r="B1816" s="1">
        <f>IFERROR(__xludf.DUMMYFUNCTION("""COMPUTED_VALUE"""),59700.0)</f>
        <v>59700</v>
      </c>
      <c r="C1816" s="1">
        <f>IFERROR(__xludf.DUMMYFUNCTION("""COMPUTED_VALUE"""),60000.0)</f>
        <v>60000</v>
      </c>
      <c r="D1816" s="1">
        <f>IFERROR(__xludf.DUMMYFUNCTION("""COMPUTED_VALUE"""),59300.0)</f>
        <v>59300</v>
      </c>
      <c r="E1816" s="1">
        <f>IFERROR(__xludf.DUMMYFUNCTION("""COMPUTED_VALUE"""),59400.0)</f>
        <v>59400</v>
      </c>
      <c r="F1816" s="1">
        <f>IFERROR(__xludf.DUMMYFUNCTION("""COMPUTED_VALUE"""),3638.0)</f>
        <v>3638</v>
      </c>
    </row>
    <row r="1817">
      <c r="A1817" s="2">
        <f>IFERROR(__xludf.DUMMYFUNCTION("""COMPUTED_VALUE"""),43623.64583333333)</f>
        <v>43623.64583</v>
      </c>
      <c r="B1817" s="1">
        <f>IFERROR(__xludf.DUMMYFUNCTION("""COMPUTED_VALUE"""),59400.0)</f>
        <v>59400</v>
      </c>
      <c r="C1817" s="1">
        <f>IFERROR(__xludf.DUMMYFUNCTION("""COMPUTED_VALUE"""),59500.0)</f>
        <v>59500</v>
      </c>
      <c r="D1817" s="1">
        <f>IFERROR(__xludf.DUMMYFUNCTION("""COMPUTED_VALUE"""),59300.0)</f>
        <v>59300</v>
      </c>
      <c r="E1817" s="1">
        <f>IFERROR(__xludf.DUMMYFUNCTION("""COMPUTED_VALUE"""),59300.0)</f>
        <v>59300</v>
      </c>
      <c r="F1817" s="1">
        <f>IFERROR(__xludf.DUMMYFUNCTION("""COMPUTED_VALUE"""),5400.0)</f>
        <v>5400</v>
      </c>
    </row>
    <row r="1818">
      <c r="A1818" s="2">
        <f>IFERROR(__xludf.DUMMYFUNCTION("""COMPUTED_VALUE"""),43626.64583333333)</f>
        <v>43626.64583</v>
      </c>
      <c r="B1818" s="1">
        <f>IFERROR(__xludf.DUMMYFUNCTION("""COMPUTED_VALUE"""),59300.0)</f>
        <v>59300</v>
      </c>
      <c r="C1818" s="1">
        <f>IFERROR(__xludf.DUMMYFUNCTION("""COMPUTED_VALUE"""),60400.0)</f>
        <v>60400</v>
      </c>
      <c r="D1818" s="1">
        <f>IFERROR(__xludf.DUMMYFUNCTION("""COMPUTED_VALUE"""),59300.0)</f>
        <v>59300</v>
      </c>
      <c r="E1818" s="1">
        <f>IFERROR(__xludf.DUMMYFUNCTION("""COMPUTED_VALUE"""),59800.0)</f>
        <v>59800</v>
      </c>
      <c r="F1818" s="1">
        <f>IFERROR(__xludf.DUMMYFUNCTION("""COMPUTED_VALUE"""),23878.0)</f>
        <v>23878</v>
      </c>
    </row>
    <row r="1819">
      <c r="A1819" s="2">
        <f>IFERROR(__xludf.DUMMYFUNCTION("""COMPUTED_VALUE"""),43627.64583333333)</f>
        <v>43627.64583</v>
      </c>
      <c r="B1819" s="1">
        <f>IFERROR(__xludf.DUMMYFUNCTION("""COMPUTED_VALUE"""),60100.0)</f>
        <v>60100</v>
      </c>
      <c r="C1819" s="1">
        <f>IFERROR(__xludf.DUMMYFUNCTION("""COMPUTED_VALUE"""),60300.0)</f>
        <v>60300</v>
      </c>
      <c r="D1819" s="1">
        <f>IFERROR(__xludf.DUMMYFUNCTION("""COMPUTED_VALUE"""),59400.0)</f>
        <v>59400</v>
      </c>
      <c r="E1819" s="1">
        <f>IFERROR(__xludf.DUMMYFUNCTION("""COMPUTED_VALUE"""),59800.0)</f>
        <v>59800</v>
      </c>
      <c r="F1819" s="1">
        <f>IFERROR(__xludf.DUMMYFUNCTION("""COMPUTED_VALUE"""),10847.0)</f>
        <v>10847</v>
      </c>
    </row>
    <row r="1820">
      <c r="A1820" s="2">
        <f>IFERROR(__xludf.DUMMYFUNCTION("""COMPUTED_VALUE"""),43628.64583333333)</f>
        <v>43628.64583</v>
      </c>
      <c r="B1820" s="1">
        <f>IFERROR(__xludf.DUMMYFUNCTION("""COMPUTED_VALUE"""),59900.0)</f>
        <v>59900</v>
      </c>
      <c r="C1820" s="1">
        <f>IFERROR(__xludf.DUMMYFUNCTION("""COMPUTED_VALUE"""),60000.0)</f>
        <v>60000</v>
      </c>
      <c r="D1820" s="1">
        <f>IFERROR(__xludf.DUMMYFUNCTION("""COMPUTED_VALUE"""),59400.0)</f>
        <v>59400</v>
      </c>
      <c r="E1820" s="1">
        <f>IFERROR(__xludf.DUMMYFUNCTION("""COMPUTED_VALUE"""),59600.0)</f>
        <v>59600</v>
      </c>
      <c r="F1820" s="1">
        <f>IFERROR(__xludf.DUMMYFUNCTION("""COMPUTED_VALUE"""),8084.0)</f>
        <v>8084</v>
      </c>
    </row>
    <row r="1821">
      <c r="A1821" s="2">
        <f>IFERROR(__xludf.DUMMYFUNCTION("""COMPUTED_VALUE"""),43629.64583333333)</f>
        <v>43629.64583</v>
      </c>
      <c r="B1821" s="1">
        <f>IFERROR(__xludf.DUMMYFUNCTION("""COMPUTED_VALUE"""),59600.0)</f>
        <v>59600</v>
      </c>
      <c r="C1821" s="1">
        <f>IFERROR(__xludf.DUMMYFUNCTION("""COMPUTED_VALUE"""),60000.0)</f>
        <v>60000</v>
      </c>
      <c r="D1821" s="1">
        <f>IFERROR(__xludf.DUMMYFUNCTION("""COMPUTED_VALUE"""),59100.0)</f>
        <v>59100</v>
      </c>
      <c r="E1821" s="1">
        <f>IFERROR(__xludf.DUMMYFUNCTION("""COMPUTED_VALUE"""),59600.0)</f>
        <v>59600</v>
      </c>
      <c r="F1821" s="1">
        <f>IFERROR(__xludf.DUMMYFUNCTION("""COMPUTED_VALUE"""),12911.0)</f>
        <v>12911</v>
      </c>
    </row>
    <row r="1822">
      <c r="A1822" s="2">
        <f>IFERROR(__xludf.DUMMYFUNCTION("""COMPUTED_VALUE"""),43630.64583333333)</f>
        <v>43630.64583</v>
      </c>
      <c r="B1822" s="1">
        <f>IFERROR(__xludf.DUMMYFUNCTION("""COMPUTED_VALUE"""),60000.0)</f>
        <v>60000</v>
      </c>
      <c r="C1822" s="1">
        <f>IFERROR(__xludf.DUMMYFUNCTION("""COMPUTED_VALUE"""),60200.0)</f>
        <v>60200</v>
      </c>
      <c r="D1822" s="1">
        <f>IFERROR(__xludf.DUMMYFUNCTION("""COMPUTED_VALUE"""),58100.0)</f>
        <v>58100</v>
      </c>
      <c r="E1822" s="1">
        <f>IFERROR(__xludf.DUMMYFUNCTION("""COMPUTED_VALUE"""),58500.0)</f>
        <v>58500</v>
      </c>
      <c r="F1822" s="1">
        <f>IFERROR(__xludf.DUMMYFUNCTION("""COMPUTED_VALUE"""),36319.0)</f>
        <v>36319</v>
      </c>
    </row>
    <row r="1823">
      <c r="A1823" s="2">
        <f>IFERROR(__xludf.DUMMYFUNCTION("""COMPUTED_VALUE"""),43633.64583333333)</f>
        <v>43633.64583</v>
      </c>
      <c r="B1823" s="1">
        <f>IFERROR(__xludf.DUMMYFUNCTION("""COMPUTED_VALUE"""),59000.0)</f>
        <v>59000</v>
      </c>
      <c r="C1823" s="1">
        <f>IFERROR(__xludf.DUMMYFUNCTION("""COMPUTED_VALUE"""),59000.0)</f>
        <v>59000</v>
      </c>
      <c r="D1823" s="1">
        <f>IFERROR(__xludf.DUMMYFUNCTION("""COMPUTED_VALUE"""),58200.0)</f>
        <v>58200</v>
      </c>
      <c r="E1823" s="1">
        <f>IFERROR(__xludf.DUMMYFUNCTION("""COMPUTED_VALUE"""),58800.0)</f>
        <v>58800</v>
      </c>
      <c r="F1823" s="1">
        <f>IFERROR(__xludf.DUMMYFUNCTION("""COMPUTED_VALUE"""),9255.0)</f>
        <v>9255</v>
      </c>
    </row>
    <row r="1824">
      <c r="A1824" s="2">
        <f>IFERROR(__xludf.DUMMYFUNCTION("""COMPUTED_VALUE"""),43634.64583333333)</f>
        <v>43634.64583</v>
      </c>
      <c r="B1824" s="1">
        <f>IFERROR(__xludf.DUMMYFUNCTION("""COMPUTED_VALUE"""),58800.0)</f>
        <v>58800</v>
      </c>
      <c r="C1824" s="1">
        <f>IFERROR(__xludf.DUMMYFUNCTION("""COMPUTED_VALUE"""),58800.0)</f>
        <v>58800</v>
      </c>
      <c r="D1824" s="1">
        <f>IFERROR(__xludf.DUMMYFUNCTION("""COMPUTED_VALUE"""),57900.0)</f>
        <v>57900</v>
      </c>
      <c r="E1824" s="1">
        <f>IFERROR(__xludf.DUMMYFUNCTION("""COMPUTED_VALUE"""),58300.0)</f>
        <v>58300</v>
      </c>
      <c r="F1824" s="1">
        <f>IFERROR(__xludf.DUMMYFUNCTION("""COMPUTED_VALUE"""),15790.0)</f>
        <v>15790</v>
      </c>
    </row>
    <row r="1825">
      <c r="A1825" s="2">
        <f>IFERROR(__xludf.DUMMYFUNCTION("""COMPUTED_VALUE"""),43635.64583333333)</f>
        <v>43635.64583</v>
      </c>
      <c r="B1825" s="1">
        <f>IFERROR(__xludf.DUMMYFUNCTION("""COMPUTED_VALUE"""),58100.0)</f>
        <v>58100</v>
      </c>
      <c r="C1825" s="1">
        <f>IFERROR(__xludf.DUMMYFUNCTION("""COMPUTED_VALUE"""),58900.0)</f>
        <v>58900</v>
      </c>
      <c r="D1825" s="1">
        <f>IFERROR(__xludf.DUMMYFUNCTION("""COMPUTED_VALUE"""),58000.0)</f>
        <v>58000</v>
      </c>
      <c r="E1825" s="1">
        <f>IFERROR(__xludf.DUMMYFUNCTION("""COMPUTED_VALUE"""),58700.0)</f>
        <v>58700</v>
      </c>
      <c r="F1825" s="1">
        <f>IFERROR(__xludf.DUMMYFUNCTION("""COMPUTED_VALUE"""),8518.0)</f>
        <v>8518</v>
      </c>
    </row>
    <row r="1826">
      <c r="A1826" s="2">
        <f>IFERROR(__xludf.DUMMYFUNCTION("""COMPUTED_VALUE"""),43636.64583333333)</f>
        <v>43636.64583</v>
      </c>
      <c r="B1826" s="1">
        <f>IFERROR(__xludf.DUMMYFUNCTION("""COMPUTED_VALUE"""),58700.0)</f>
        <v>58700</v>
      </c>
      <c r="C1826" s="1">
        <f>IFERROR(__xludf.DUMMYFUNCTION("""COMPUTED_VALUE"""),59000.0)</f>
        <v>59000</v>
      </c>
      <c r="D1826" s="1">
        <f>IFERROR(__xludf.DUMMYFUNCTION("""COMPUTED_VALUE"""),58400.0)</f>
        <v>58400</v>
      </c>
      <c r="E1826" s="1">
        <f>IFERROR(__xludf.DUMMYFUNCTION("""COMPUTED_VALUE"""),58900.0)</f>
        <v>58900</v>
      </c>
      <c r="F1826" s="1">
        <f>IFERROR(__xludf.DUMMYFUNCTION("""COMPUTED_VALUE"""),5803.0)</f>
        <v>5803</v>
      </c>
    </row>
    <row r="1827">
      <c r="A1827" s="2">
        <f>IFERROR(__xludf.DUMMYFUNCTION("""COMPUTED_VALUE"""),43637.64583333333)</f>
        <v>43637.64583</v>
      </c>
      <c r="B1827" s="1">
        <f>IFERROR(__xludf.DUMMYFUNCTION("""COMPUTED_VALUE"""),59300.0)</f>
        <v>59300</v>
      </c>
      <c r="C1827" s="1">
        <f>IFERROR(__xludf.DUMMYFUNCTION("""COMPUTED_VALUE"""),59800.0)</f>
        <v>59800</v>
      </c>
      <c r="D1827" s="1">
        <f>IFERROR(__xludf.DUMMYFUNCTION("""COMPUTED_VALUE"""),59000.0)</f>
        <v>59000</v>
      </c>
      <c r="E1827" s="1">
        <f>IFERROR(__xludf.DUMMYFUNCTION("""COMPUTED_VALUE"""),59600.0)</f>
        <v>59600</v>
      </c>
      <c r="F1827" s="1">
        <f>IFERROR(__xludf.DUMMYFUNCTION("""COMPUTED_VALUE"""),11680.0)</f>
        <v>11680</v>
      </c>
    </row>
    <row r="1828">
      <c r="A1828" s="2">
        <f>IFERROR(__xludf.DUMMYFUNCTION("""COMPUTED_VALUE"""),43640.64583333333)</f>
        <v>43640.64583</v>
      </c>
      <c r="B1828" s="1">
        <f>IFERROR(__xludf.DUMMYFUNCTION("""COMPUTED_VALUE"""),60000.0)</f>
        <v>60000</v>
      </c>
      <c r="C1828" s="1">
        <f>IFERROR(__xludf.DUMMYFUNCTION("""COMPUTED_VALUE"""),60200.0)</f>
        <v>60200</v>
      </c>
      <c r="D1828" s="1">
        <f>IFERROR(__xludf.DUMMYFUNCTION("""COMPUTED_VALUE"""),59700.0)</f>
        <v>59700</v>
      </c>
      <c r="E1828" s="1">
        <f>IFERROR(__xludf.DUMMYFUNCTION("""COMPUTED_VALUE"""),60000.0)</f>
        <v>60000</v>
      </c>
      <c r="F1828" s="1">
        <f>IFERROR(__xludf.DUMMYFUNCTION("""COMPUTED_VALUE"""),5369.0)</f>
        <v>5369</v>
      </c>
    </row>
    <row r="1829">
      <c r="A1829" s="2">
        <f>IFERROR(__xludf.DUMMYFUNCTION("""COMPUTED_VALUE"""),43641.64583333333)</f>
        <v>43641.64583</v>
      </c>
      <c r="B1829" s="1">
        <f>IFERROR(__xludf.DUMMYFUNCTION("""COMPUTED_VALUE"""),60000.0)</f>
        <v>60000</v>
      </c>
      <c r="C1829" s="1">
        <f>IFERROR(__xludf.DUMMYFUNCTION("""COMPUTED_VALUE"""),60500.0)</f>
        <v>60500</v>
      </c>
      <c r="D1829" s="1">
        <f>IFERROR(__xludf.DUMMYFUNCTION("""COMPUTED_VALUE"""),59900.0)</f>
        <v>59900</v>
      </c>
      <c r="E1829" s="1">
        <f>IFERROR(__xludf.DUMMYFUNCTION("""COMPUTED_VALUE"""),60500.0)</f>
        <v>60500</v>
      </c>
      <c r="F1829" s="1">
        <f>IFERROR(__xludf.DUMMYFUNCTION("""COMPUTED_VALUE"""),5610.0)</f>
        <v>5610</v>
      </c>
    </row>
    <row r="1830">
      <c r="A1830" s="2">
        <f>IFERROR(__xludf.DUMMYFUNCTION("""COMPUTED_VALUE"""),43642.64583333333)</f>
        <v>43642.64583</v>
      </c>
      <c r="B1830" s="1">
        <f>IFERROR(__xludf.DUMMYFUNCTION("""COMPUTED_VALUE"""),60600.0)</f>
        <v>60600</v>
      </c>
      <c r="C1830" s="1">
        <f>IFERROR(__xludf.DUMMYFUNCTION("""COMPUTED_VALUE"""),60600.0)</f>
        <v>60600</v>
      </c>
      <c r="D1830" s="1">
        <f>IFERROR(__xludf.DUMMYFUNCTION("""COMPUTED_VALUE"""),59700.0)</f>
        <v>59700</v>
      </c>
      <c r="E1830" s="1">
        <f>IFERROR(__xludf.DUMMYFUNCTION("""COMPUTED_VALUE"""),60100.0)</f>
        <v>60100</v>
      </c>
      <c r="F1830" s="1">
        <f>IFERROR(__xludf.DUMMYFUNCTION("""COMPUTED_VALUE"""),5811.0)</f>
        <v>5811</v>
      </c>
    </row>
    <row r="1831">
      <c r="A1831" s="2">
        <f>IFERROR(__xludf.DUMMYFUNCTION("""COMPUTED_VALUE"""),43643.64583333333)</f>
        <v>43643.64583</v>
      </c>
      <c r="B1831" s="1">
        <f>IFERROR(__xludf.DUMMYFUNCTION("""COMPUTED_VALUE"""),60000.0)</f>
        <v>60000</v>
      </c>
      <c r="C1831" s="1">
        <f>IFERROR(__xludf.DUMMYFUNCTION("""COMPUTED_VALUE"""),60400.0)</f>
        <v>60400</v>
      </c>
      <c r="D1831" s="1">
        <f>IFERROR(__xludf.DUMMYFUNCTION("""COMPUTED_VALUE"""),59600.0)</f>
        <v>59600</v>
      </c>
      <c r="E1831" s="1">
        <f>IFERROR(__xludf.DUMMYFUNCTION("""COMPUTED_VALUE"""),59600.0)</f>
        <v>59600</v>
      </c>
      <c r="F1831" s="1">
        <f>IFERROR(__xludf.DUMMYFUNCTION("""COMPUTED_VALUE"""),8133.0)</f>
        <v>8133</v>
      </c>
    </row>
    <row r="1832">
      <c r="A1832" s="2">
        <f>IFERROR(__xludf.DUMMYFUNCTION("""COMPUTED_VALUE"""),43644.64583333333)</f>
        <v>43644.64583</v>
      </c>
      <c r="B1832" s="1">
        <f>IFERROR(__xludf.DUMMYFUNCTION("""COMPUTED_VALUE"""),59900.0)</f>
        <v>59900</v>
      </c>
      <c r="C1832" s="1">
        <f>IFERROR(__xludf.DUMMYFUNCTION("""COMPUTED_VALUE"""),59900.0)</f>
        <v>59900</v>
      </c>
      <c r="D1832" s="1">
        <f>IFERROR(__xludf.DUMMYFUNCTION("""COMPUTED_VALUE"""),59200.0)</f>
        <v>59200</v>
      </c>
      <c r="E1832" s="1">
        <f>IFERROR(__xludf.DUMMYFUNCTION("""COMPUTED_VALUE"""),59400.0)</f>
        <v>59400</v>
      </c>
      <c r="F1832" s="1">
        <f>IFERROR(__xludf.DUMMYFUNCTION("""COMPUTED_VALUE"""),5192.0)</f>
        <v>5192</v>
      </c>
    </row>
    <row r="1833">
      <c r="A1833" s="2">
        <f>IFERROR(__xludf.DUMMYFUNCTION("""COMPUTED_VALUE"""),43647.64583333333)</f>
        <v>43647.64583</v>
      </c>
      <c r="B1833" s="1">
        <f>IFERROR(__xludf.DUMMYFUNCTION("""COMPUTED_VALUE"""),59400.0)</f>
        <v>59400</v>
      </c>
      <c r="C1833" s="1">
        <f>IFERROR(__xludf.DUMMYFUNCTION("""COMPUTED_VALUE"""),59700.0)</f>
        <v>59700</v>
      </c>
      <c r="D1833" s="1">
        <f>IFERROR(__xludf.DUMMYFUNCTION("""COMPUTED_VALUE"""),58900.0)</f>
        <v>58900</v>
      </c>
      <c r="E1833" s="1">
        <f>IFERROR(__xludf.DUMMYFUNCTION("""COMPUTED_VALUE"""),59200.0)</f>
        <v>59200</v>
      </c>
      <c r="F1833" s="1">
        <f>IFERROR(__xludf.DUMMYFUNCTION("""COMPUTED_VALUE"""),4510.0)</f>
        <v>4510</v>
      </c>
    </row>
    <row r="1834">
      <c r="A1834" s="2">
        <f>IFERROR(__xludf.DUMMYFUNCTION("""COMPUTED_VALUE"""),43648.64583333333)</f>
        <v>43648.64583</v>
      </c>
      <c r="B1834" s="1">
        <f>IFERROR(__xludf.DUMMYFUNCTION("""COMPUTED_VALUE"""),59500.0)</f>
        <v>59500</v>
      </c>
      <c r="C1834" s="1">
        <f>IFERROR(__xludf.DUMMYFUNCTION("""COMPUTED_VALUE"""),59900.0)</f>
        <v>59900</v>
      </c>
      <c r="D1834" s="1">
        <f>IFERROR(__xludf.DUMMYFUNCTION("""COMPUTED_VALUE"""),58700.0)</f>
        <v>58700</v>
      </c>
      <c r="E1834" s="1">
        <f>IFERROR(__xludf.DUMMYFUNCTION("""COMPUTED_VALUE"""),59800.0)</f>
        <v>59800</v>
      </c>
      <c r="F1834" s="1">
        <f>IFERROR(__xludf.DUMMYFUNCTION("""COMPUTED_VALUE"""),6809.0)</f>
        <v>6809</v>
      </c>
    </row>
    <row r="1835">
      <c r="A1835" s="2">
        <f>IFERROR(__xludf.DUMMYFUNCTION("""COMPUTED_VALUE"""),43649.64583333333)</f>
        <v>43649.64583</v>
      </c>
      <c r="B1835" s="1">
        <f>IFERROR(__xludf.DUMMYFUNCTION("""COMPUTED_VALUE"""),59800.0)</f>
        <v>59800</v>
      </c>
      <c r="C1835" s="1">
        <f>IFERROR(__xludf.DUMMYFUNCTION("""COMPUTED_VALUE"""),59800.0)</f>
        <v>59800</v>
      </c>
      <c r="D1835" s="1">
        <f>IFERROR(__xludf.DUMMYFUNCTION("""COMPUTED_VALUE"""),59200.0)</f>
        <v>59200</v>
      </c>
      <c r="E1835" s="1">
        <f>IFERROR(__xludf.DUMMYFUNCTION("""COMPUTED_VALUE"""),59600.0)</f>
        <v>59600</v>
      </c>
      <c r="F1835" s="1">
        <f>IFERROR(__xludf.DUMMYFUNCTION("""COMPUTED_VALUE"""),3366.0)</f>
        <v>3366</v>
      </c>
    </row>
    <row r="1836">
      <c r="A1836" s="2">
        <f>IFERROR(__xludf.DUMMYFUNCTION("""COMPUTED_VALUE"""),43650.64583333333)</f>
        <v>43650.64583</v>
      </c>
      <c r="B1836" s="1">
        <f>IFERROR(__xludf.DUMMYFUNCTION("""COMPUTED_VALUE"""),59000.0)</f>
        <v>59000</v>
      </c>
      <c r="C1836" s="1">
        <f>IFERROR(__xludf.DUMMYFUNCTION("""COMPUTED_VALUE"""),61100.0)</f>
        <v>61100</v>
      </c>
      <c r="D1836" s="1">
        <f>IFERROR(__xludf.DUMMYFUNCTION("""COMPUTED_VALUE"""),59000.0)</f>
        <v>59000</v>
      </c>
      <c r="E1836" s="1">
        <f>IFERROR(__xludf.DUMMYFUNCTION("""COMPUTED_VALUE"""),60900.0)</f>
        <v>60900</v>
      </c>
      <c r="F1836" s="1">
        <f>IFERROR(__xludf.DUMMYFUNCTION("""COMPUTED_VALUE"""),23184.0)</f>
        <v>23184</v>
      </c>
    </row>
    <row r="1837">
      <c r="A1837" s="2">
        <f>IFERROR(__xludf.DUMMYFUNCTION("""COMPUTED_VALUE"""),43651.64583333333)</f>
        <v>43651.64583</v>
      </c>
      <c r="B1837" s="1">
        <f>IFERROR(__xludf.DUMMYFUNCTION("""COMPUTED_VALUE"""),60900.0)</f>
        <v>60900</v>
      </c>
      <c r="C1837" s="1">
        <f>IFERROR(__xludf.DUMMYFUNCTION("""COMPUTED_VALUE"""),62200.0)</f>
        <v>62200</v>
      </c>
      <c r="D1837" s="1">
        <f>IFERROR(__xludf.DUMMYFUNCTION("""COMPUTED_VALUE"""),60300.0)</f>
        <v>60300</v>
      </c>
      <c r="E1837" s="1">
        <f>IFERROR(__xludf.DUMMYFUNCTION("""COMPUTED_VALUE"""),62200.0)</f>
        <v>62200</v>
      </c>
      <c r="F1837" s="1">
        <f>IFERROR(__xludf.DUMMYFUNCTION("""COMPUTED_VALUE"""),44345.0)</f>
        <v>44345</v>
      </c>
    </row>
    <row r="1838">
      <c r="A1838" s="2">
        <f>IFERROR(__xludf.DUMMYFUNCTION("""COMPUTED_VALUE"""),43654.64583333333)</f>
        <v>43654.64583</v>
      </c>
      <c r="B1838" s="1">
        <f>IFERROR(__xludf.DUMMYFUNCTION("""COMPUTED_VALUE"""),62200.0)</f>
        <v>62200</v>
      </c>
      <c r="C1838" s="1">
        <f>IFERROR(__xludf.DUMMYFUNCTION("""COMPUTED_VALUE"""),62200.0)</f>
        <v>62200</v>
      </c>
      <c r="D1838" s="1">
        <f>IFERROR(__xludf.DUMMYFUNCTION("""COMPUTED_VALUE"""),60200.0)</f>
        <v>60200</v>
      </c>
      <c r="E1838" s="1">
        <f>IFERROR(__xludf.DUMMYFUNCTION("""COMPUTED_VALUE"""),60300.0)</f>
        <v>60300</v>
      </c>
      <c r="F1838" s="1">
        <f>IFERROR(__xludf.DUMMYFUNCTION("""COMPUTED_VALUE"""),14147.0)</f>
        <v>14147</v>
      </c>
    </row>
    <row r="1839">
      <c r="A1839" s="2">
        <f>IFERROR(__xludf.DUMMYFUNCTION("""COMPUTED_VALUE"""),43655.64583333333)</f>
        <v>43655.64583</v>
      </c>
      <c r="B1839" s="1">
        <f>IFERROR(__xludf.DUMMYFUNCTION("""COMPUTED_VALUE"""),59700.0)</f>
        <v>59700</v>
      </c>
      <c r="C1839" s="1">
        <f>IFERROR(__xludf.DUMMYFUNCTION("""COMPUTED_VALUE"""),61300.0)</f>
        <v>61300</v>
      </c>
      <c r="D1839" s="1">
        <f>IFERROR(__xludf.DUMMYFUNCTION("""COMPUTED_VALUE"""),59600.0)</f>
        <v>59600</v>
      </c>
      <c r="E1839" s="1">
        <f>IFERROR(__xludf.DUMMYFUNCTION("""COMPUTED_VALUE"""),60700.0)</f>
        <v>60700</v>
      </c>
      <c r="F1839" s="1">
        <f>IFERROR(__xludf.DUMMYFUNCTION("""COMPUTED_VALUE"""),11004.0)</f>
        <v>11004</v>
      </c>
    </row>
    <row r="1840">
      <c r="A1840" s="2">
        <f>IFERROR(__xludf.DUMMYFUNCTION("""COMPUTED_VALUE"""),43656.64583333333)</f>
        <v>43656.64583</v>
      </c>
      <c r="B1840" s="1">
        <f>IFERROR(__xludf.DUMMYFUNCTION("""COMPUTED_VALUE"""),60700.0)</f>
        <v>60700</v>
      </c>
      <c r="C1840" s="1">
        <f>IFERROR(__xludf.DUMMYFUNCTION("""COMPUTED_VALUE"""),61500.0)</f>
        <v>61500</v>
      </c>
      <c r="D1840" s="1">
        <f>IFERROR(__xludf.DUMMYFUNCTION("""COMPUTED_VALUE"""),60500.0)</f>
        <v>60500</v>
      </c>
      <c r="E1840" s="1">
        <f>IFERROR(__xludf.DUMMYFUNCTION("""COMPUTED_VALUE"""),61000.0)</f>
        <v>61000</v>
      </c>
      <c r="F1840" s="1">
        <f>IFERROR(__xludf.DUMMYFUNCTION("""COMPUTED_VALUE"""),8872.0)</f>
        <v>8872</v>
      </c>
    </row>
    <row r="1841">
      <c r="A1841" s="2">
        <f>IFERROR(__xludf.DUMMYFUNCTION("""COMPUTED_VALUE"""),43657.64583333333)</f>
        <v>43657.64583</v>
      </c>
      <c r="B1841" s="1">
        <f>IFERROR(__xludf.DUMMYFUNCTION("""COMPUTED_VALUE"""),61400.0)</f>
        <v>61400</v>
      </c>
      <c r="C1841" s="1">
        <f>IFERROR(__xludf.DUMMYFUNCTION("""COMPUTED_VALUE"""),62200.0)</f>
        <v>62200</v>
      </c>
      <c r="D1841" s="1">
        <f>IFERROR(__xludf.DUMMYFUNCTION("""COMPUTED_VALUE"""),61400.0)</f>
        <v>61400</v>
      </c>
      <c r="E1841" s="1">
        <f>IFERROR(__xludf.DUMMYFUNCTION("""COMPUTED_VALUE"""),61900.0)</f>
        <v>61900</v>
      </c>
      <c r="F1841" s="1">
        <f>IFERROR(__xludf.DUMMYFUNCTION("""COMPUTED_VALUE"""),15843.0)</f>
        <v>15843</v>
      </c>
    </row>
    <row r="1842">
      <c r="A1842" s="2">
        <f>IFERROR(__xludf.DUMMYFUNCTION("""COMPUTED_VALUE"""),43658.64583333333)</f>
        <v>43658.64583</v>
      </c>
      <c r="B1842" s="1">
        <f>IFERROR(__xludf.DUMMYFUNCTION("""COMPUTED_VALUE"""),62000.0)</f>
        <v>62000</v>
      </c>
      <c r="C1842" s="1">
        <f>IFERROR(__xludf.DUMMYFUNCTION("""COMPUTED_VALUE"""),63300.0)</f>
        <v>63300</v>
      </c>
      <c r="D1842" s="1">
        <f>IFERROR(__xludf.DUMMYFUNCTION("""COMPUTED_VALUE"""),61900.0)</f>
        <v>61900</v>
      </c>
      <c r="E1842" s="1">
        <f>IFERROR(__xludf.DUMMYFUNCTION("""COMPUTED_VALUE"""),62800.0)</f>
        <v>62800</v>
      </c>
      <c r="F1842" s="1">
        <f>IFERROR(__xludf.DUMMYFUNCTION("""COMPUTED_VALUE"""),21561.0)</f>
        <v>21561</v>
      </c>
    </row>
    <row r="1843">
      <c r="A1843" s="2">
        <f>IFERROR(__xludf.DUMMYFUNCTION("""COMPUTED_VALUE"""),43661.64583333333)</f>
        <v>43661.64583</v>
      </c>
      <c r="B1843" s="1">
        <f>IFERROR(__xludf.DUMMYFUNCTION("""COMPUTED_VALUE"""),62500.0)</f>
        <v>62500</v>
      </c>
      <c r="C1843" s="1">
        <f>IFERROR(__xludf.DUMMYFUNCTION("""COMPUTED_VALUE"""),62700.0)</f>
        <v>62700</v>
      </c>
      <c r="D1843" s="1">
        <f>IFERROR(__xludf.DUMMYFUNCTION("""COMPUTED_VALUE"""),61200.0)</f>
        <v>61200</v>
      </c>
      <c r="E1843" s="1">
        <f>IFERROR(__xludf.DUMMYFUNCTION("""COMPUTED_VALUE"""),61900.0)</f>
        <v>61900</v>
      </c>
      <c r="F1843" s="1">
        <f>IFERROR(__xludf.DUMMYFUNCTION("""COMPUTED_VALUE"""),17676.0)</f>
        <v>17676</v>
      </c>
    </row>
    <row r="1844">
      <c r="A1844" s="2">
        <f>IFERROR(__xludf.DUMMYFUNCTION("""COMPUTED_VALUE"""),43662.64583333333)</f>
        <v>43662.64583</v>
      </c>
      <c r="B1844" s="1">
        <f>IFERROR(__xludf.DUMMYFUNCTION("""COMPUTED_VALUE"""),61800.0)</f>
        <v>61800</v>
      </c>
      <c r="C1844" s="1">
        <f>IFERROR(__xludf.DUMMYFUNCTION("""COMPUTED_VALUE"""),61800.0)</f>
        <v>61800</v>
      </c>
      <c r="D1844" s="1">
        <f>IFERROR(__xludf.DUMMYFUNCTION("""COMPUTED_VALUE"""),60700.0)</f>
        <v>60700</v>
      </c>
      <c r="E1844" s="1">
        <f>IFERROR(__xludf.DUMMYFUNCTION("""COMPUTED_VALUE"""),61000.0)</f>
        <v>61000</v>
      </c>
      <c r="F1844" s="1">
        <f>IFERROR(__xludf.DUMMYFUNCTION("""COMPUTED_VALUE"""),8485.0)</f>
        <v>8485</v>
      </c>
    </row>
    <row r="1845">
      <c r="A1845" s="2">
        <f>IFERROR(__xludf.DUMMYFUNCTION("""COMPUTED_VALUE"""),43663.64583333333)</f>
        <v>43663.64583</v>
      </c>
      <c r="B1845" s="1">
        <f>IFERROR(__xludf.DUMMYFUNCTION("""COMPUTED_VALUE"""),61500.0)</f>
        <v>61500</v>
      </c>
      <c r="C1845" s="1">
        <f>IFERROR(__xludf.DUMMYFUNCTION("""COMPUTED_VALUE"""),61700.0)</f>
        <v>61700</v>
      </c>
      <c r="D1845" s="1">
        <f>IFERROR(__xludf.DUMMYFUNCTION("""COMPUTED_VALUE"""),60100.0)</f>
        <v>60100</v>
      </c>
      <c r="E1845" s="1">
        <f>IFERROR(__xludf.DUMMYFUNCTION("""COMPUTED_VALUE"""),61500.0)</f>
        <v>61500</v>
      </c>
      <c r="F1845" s="1">
        <f>IFERROR(__xludf.DUMMYFUNCTION("""COMPUTED_VALUE"""),6720.0)</f>
        <v>6720</v>
      </c>
    </row>
    <row r="1846">
      <c r="A1846" s="2">
        <f>IFERROR(__xludf.DUMMYFUNCTION("""COMPUTED_VALUE"""),43664.64583333333)</f>
        <v>43664.64583</v>
      </c>
      <c r="B1846" s="1">
        <f>IFERROR(__xludf.DUMMYFUNCTION("""COMPUTED_VALUE"""),61100.0)</f>
        <v>61100</v>
      </c>
      <c r="C1846" s="1">
        <f>IFERROR(__xludf.DUMMYFUNCTION("""COMPUTED_VALUE"""),61800.0)</f>
        <v>61800</v>
      </c>
      <c r="D1846" s="1">
        <f>IFERROR(__xludf.DUMMYFUNCTION("""COMPUTED_VALUE"""),60600.0)</f>
        <v>60600</v>
      </c>
      <c r="E1846" s="1">
        <f>IFERROR(__xludf.DUMMYFUNCTION("""COMPUTED_VALUE"""),60900.0)</f>
        <v>60900</v>
      </c>
      <c r="F1846" s="1">
        <f>IFERROR(__xludf.DUMMYFUNCTION("""COMPUTED_VALUE"""),4649.0)</f>
        <v>4649</v>
      </c>
    </row>
    <row r="1847">
      <c r="A1847" s="2">
        <f>IFERROR(__xludf.DUMMYFUNCTION("""COMPUTED_VALUE"""),43665.64583333333)</f>
        <v>43665.64583</v>
      </c>
      <c r="B1847" s="1">
        <f>IFERROR(__xludf.DUMMYFUNCTION("""COMPUTED_VALUE"""),61500.0)</f>
        <v>61500</v>
      </c>
      <c r="C1847" s="1">
        <f>IFERROR(__xludf.DUMMYFUNCTION("""COMPUTED_VALUE"""),61500.0)</f>
        <v>61500</v>
      </c>
      <c r="D1847" s="1">
        <f>IFERROR(__xludf.DUMMYFUNCTION("""COMPUTED_VALUE"""),60700.0)</f>
        <v>60700</v>
      </c>
      <c r="E1847" s="1">
        <f>IFERROR(__xludf.DUMMYFUNCTION("""COMPUTED_VALUE"""),61400.0)</f>
        <v>61400</v>
      </c>
      <c r="F1847" s="1">
        <f>IFERROR(__xludf.DUMMYFUNCTION("""COMPUTED_VALUE"""),6551.0)</f>
        <v>6551</v>
      </c>
    </row>
    <row r="1848">
      <c r="A1848" s="2">
        <f>IFERROR(__xludf.DUMMYFUNCTION("""COMPUTED_VALUE"""),43668.64583333333)</f>
        <v>43668.64583</v>
      </c>
      <c r="B1848" s="1">
        <f>IFERROR(__xludf.DUMMYFUNCTION("""COMPUTED_VALUE"""),61400.0)</f>
        <v>61400</v>
      </c>
      <c r="C1848" s="1">
        <f>IFERROR(__xludf.DUMMYFUNCTION("""COMPUTED_VALUE"""),62000.0)</f>
        <v>62000</v>
      </c>
      <c r="D1848" s="1">
        <f>IFERROR(__xludf.DUMMYFUNCTION("""COMPUTED_VALUE"""),61100.0)</f>
        <v>61100</v>
      </c>
      <c r="E1848" s="1">
        <f>IFERROR(__xludf.DUMMYFUNCTION("""COMPUTED_VALUE"""),61900.0)</f>
        <v>61900</v>
      </c>
      <c r="F1848" s="1">
        <f>IFERROR(__xludf.DUMMYFUNCTION("""COMPUTED_VALUE"""),3462.0)</f>
        <v>3462</v>
      </c>
    </row>
    <row r="1849">
      <c r="A1849" s="2">
        <f>IFERROR(__xludf.DUMMYFUNCTION("""COMPUTED_VALUE"""),43669.64583333333)</f>
        <v>43669.64583</v>
      </c>
      <c r="B1849" s="1">
        <f>IFERROR(__xludf.DUMMYFUNCTION("""COMPUTED_VALUE"""),61700.0)</f>
        <v>61700</v>
      </c>
      <c r="C1849" s="1">
        <f>IFERROR(__xludf.DUMMYFUNCTION("""COMPUTED_VALUE"""),63100.0)</f>
        <v>63100</v>
      </c>
      <c r="D1849" s="1">
        <f>IFERROR(__xludf.DUMMYFUNCTION("""COMPUTED_VALUE"""),61700.0)</f>
        <v>61700</v>
      </c>
      <c r="E1849" s="1">
        <f>IFERROR(__xludf.DUMMYFUNCTION("""COMPUTED_VALUE"""),62800.0)</f>
        <v>62800</v>
      </c>
      <c r="F1849" s="1">
        <f>IFERROR(__xludf.DUMMYFUNCTION("""COMPUTED_VALUE"""),21756.0)</f>
        <v>21756</v>
      </c>
    </row>
    <row r="1850">
      <c r="A1850" s="2">
        <f>IFERROR(__xludf.DUMMYFUNCTION("""COMPUTED_VALUE"""),43670.64583333333)</f>
        <v>43670.64583</v>
      </c>
      <c r="B1850" s="1">
        <f>IFERROR(__xludf.DUMMYFUNCTION("""COMPUTED_VALUE"""),62200.0)</f>
        <v>62200</v>
      </c>
      <c r="C1850" s="1">
        <f>IFERROR(__xludf.DUMMYFUNCTION("""COMPUTED_VALUE"""),63200.0)</f>
        <v>63200</v>
      </c>
      <c r="D1850" s="1">
        <f>IFERROR(__xludf.DUMMYFUNCTION("""COMPUTED_VALUE"""),62100.0)</f>
        <v>62100</v>
      </c>
      <c r="E1850" s="1">
        <f>IFERROR(__xludf.DUMMYFUNCTION("""COMPUTED_VALUE"""),62300.0)</f>
        <v>62300</v>
      </c>
      <c r="F1850" s="1">
        <f>IFERROR(__xludf.DUMMYFUNCTION("""COMPUTED_VALUE"""),6494.0)</f>
        <v>6494</v>
      </c>
    </row>
    <row r="1851">
      <c r="A1851" s="2">
        <f>IFERROR(__xludf.DUMMYFUNCTION("""COMPUTED_VALUE"""),43671.64583333333)</f>
        <v>43671.64583</v>
      </c>
      <c r="B1851" s="1">
        <f>IFERROR(__xludf.DUMMYFUNCTION("""COMPUTED_VALUE"""),61700.0)</f>
        <v>61700</v>
      </c>
      <c r="C1851" s="1">
        <f>IFERROR(__xludf.DUMMYFUNCTION("""COMPUTED_VALUE"""),62400.0)</f>
        <v>62400</v>
      </c>
      <c r="D1851" s="1">
        <f>IFERROR(__xludf.DUMMYFUNCTION("""COMPUTED_VALUE"""),60800.0)</f>
        <v>60800</v>
      </c>
      <c r="E1851" s="1">
        <f>IFERROR(__xludf.DUMMYFUNCTION("""COMPUTED_VALUE"""),61500.0)</f>
        <v>61500</v>
      </c>
      <c r="F1851" s="1">
        <f>IFERROR(__xludf.DUMMYFUNCTION("""COMPUTED_VALUE"""),11980.0)</f>
        <v>11980</v>
      </c>
    </row>
    <row r="1852">
      <c r="A1852" s="2">
        <f>IFERROR(__xludf.DUMMYFUNCTION("""COMPUTED_VALUE"""),43672.64583333333)</f>
        <v>43672.64583</v>
      </c>
      <c r="B1852" s="1">
        <f>IFERROR(__xludf.DUMMYFUNCTION("""COMPUTED_VALUE"""),61800.0)</f>
        <v>61800</v>
      </c>
      <c r="C1852" s="1">
        <f>IFERROR(__xludf.DUMMYFUNCTION("""COMPUTED_VALUE"""),61800.0)</f>
        <v>61800</v>
      </c>
      <c r="D1852" s="1">
        <f>IFERROR(__xludf.DUMMYFUNCTION("""COMPUTED_VALUE"""),59800.0)</f>
        <v>59800</v>
      </c>
      <c r="E1852" s="1">
        <f>IFERROR(__xludf.DUMMYFUNCTION("""COMPUTED_VALUE"""),61400.0)</f>
        <v>61400</v>
      </c>
      <c r="F1852" s="1">
        <f>IFERROR(__xludf.DUMMYFUNCTION("""COMPUTED_VALUE"""),12622.0)</f>
        <v>12622</v>
      </c>
    </row>
    <row r="1853">
      <c r="A1853" s="2">
        <f>IFERROR(__xludf.DUMMYFUNCTION("""COMPUTED_VALUE"""),43675.64583333333)</f>
        <v>43675.64583</v>
      </c>
      <c r="B1853" s="1">
        <f>IFERROR(__xludf.DUMMYFUNCTION("""COMPUTED_VALUE"""),60800.0)</f>
        <v>60800</v>
      </c>
      <c r="C1853" s="1">
        <f>IFERROR(__xludf.DUMMYFUNCTION("""COMPUTED_VALUE"""),61000.0)</f>
        <v>61000</v>
      </c>
      <c r="D1853" s="1">
        <f>IFERROR(__xludf.DUMMYFUNCTION("""COMPUTED_VALUE"""),59700.0)</f>
        <v>59700</v>
      </c>
      <c r="E1853" s="1">
        <f>IFERROR(__xludf.DUMMYFUNCTION("""COMPUTED_VALUE"""),60700.0)</f>
        <v>60700</v>
      </c>
      <c r="F1853" s="1">
        <f>IFERROR(__xludf.DUMMYFUNCTION("""COMPUTED_VALUE"""),16713.0)</f>
        <v>16713</v>
      </c>
    </row>
    <row r="1854">
      <c r="A1854" s="2">
        <f>IFERROR(__xludf.DUMMYFUNCTION("""COMPUTED_VALUE"""),43676.64583333333)</f>
        <v>43676.64583</v>
      </c>
      <c r="B1854" s="1">
        <f>IFERROR(__xludf.DUMMYFUNCTION("""COMPUTED_VALUE"""),60500.0)</f>
        <v>60500</v>
      </c>
      <c r="C1854" s="1">
        <f>IFERROR(__xludf.DUMMYFUNCTION("""COMPUTED_VALUE"""),61200.0)</f>
        <v>61200</v>
      </c>
      <c r="D1854" s="1">
        <f>IFERROR(__xludf.DUMMYFUNCTION("""COMPUTED_VALUE"""),60200.0)</f>
        <v>60200</v>
      </c>
      <c r="E1854" s="1">
        <f>IFERROR(__xludf.DUMMYFUNCTION("""COMPUTED_VALUE"""),61000.0)</f>
        <v>61000</v>
      </c>
      <c r="F1854" s="1">
        <f>IFERROR(__xludf.DUMMYFUNCTION("""COMPUTED_VALUE"""),4033.0)</f>
        <v>4033</v>
      </c>
    </row>
    <row r="1855">
      <c r="A1855" s="2">
        <f>IFERROR(__xludf.DUMMYFUNCTION("""COMPUTED_VALUE"""),43677.64583333333)</f>
        <v>43677.64583</v>
      </c>
      <c r="B1855" s="1">
        <f>IFERROR(__xludf.DUMMYFUNCTION("""COMPUTED_VALUE"""),61000.0)</f>
        <v>61000</v>
      </c>
      <c r="C1855" s="1">
        <f>IFERROR(__xludf.DUMMYFUNCTION("""COMPUTED_VALUE"""),61200.0)</f>
        <v>61200</v>
      </c>
      <c r="D1855" s="1">
        <f>IFERROR(__xludf.DUMMYFUNCTION("""COMPUTED_VALUE"""),59600.0)</f>
        <v>59600</v>
      </c>
      <c r="E1855" s="1">
        <f>IFERROR(__xludf.DUMMYFUNCTION("""COMPUTED_VALUE"""),61100.0)</f>
        <v>61100</v>
      </c>
      <c r="F1855" s="1">
        <f>IFERROR(__xludf.DUMMYFUNCTION("""COMPUTED_VALUE"""),8117.0)</f>
        <v>8117</v>
      </c>
    </row>
    <row r="1856">
      <c r="A1856" s="2">
        <f>IFERROR(__xludf.DUMMYFUNCTION("""COMPUTED_VALUE"""),43678.64583333333)</f>
        <v>43678.64583</v>
      </c>
      <c r="B1856" s="1">
        <f>IFERROR(__xludf.DUMMYFUNCTION("""COMPUTED_VALUE"""),60900.0)</f>
        <v>60900</v>
      </c>
      <c r="C1856" s="1">
        <f>IFERROR(__xludf.DUMMYFUNCTION("""COMPUTED_VALUE"""),61200.0)</f>
        <v>61200</v>
      </c>
      <c r="D1856" s="1">
        <f>IFERROR(__xludf.DUMMYFUNCTION("""COMPUTED_VALUE"""),60500.0)</f>
        <v>60500</v>
      </c>
      <c r="E1856" s="1">
        <f>IFERROR(__xludf.DUMMYFUNCTION("""COMPUTED_VALUE"""),60800.0)</f>
        <v>60800</v>
      </c>
      <c r="F1856" s="1">
        <f>IFERROR(__xludf.DUMMYFUNCTION("""COMPUTED_VALUE"""),3767.0)</f>
        <v>3767</v>
      </c>
    </row>
    <row r="1857">
      <c r="A1857" s="2">
        <f>IFERROR(__xludf.DUMMYFUNCTION("""COMPUTED_VALUE"""),43679.64583333333)</f>
        <v>43679.64583</v>
      </c>
      <c r="B1857" s="1">
        <f>IFERROR(__xludf.DUMMYFUNCTION("""COMPUTED_VALUE"""),60100.0)</f>
        <v>60100</v>
      </c>
      <c r="C1857" s="1">
        <f>IFERROR(__xludf.DUMMYFUNCTION("""COMPUTED_VALUE"""),60100.0)</f>
        <v>60100</v>
      </c>
      <c r="D1857" s="1">
        <f>IFERROR(__xludf.DUMMYFUNCTION("""COMPUTED_VALUE"""),59000.0)</f>
        <v>59000</v>
      </c>
      <c r="E1857" s="1">
        <f>IFERROR(__xludf.DUMMYFUNCTION("""COMPUTED_VALUE"""),59600.0)</f>
        <v>59600</v>
      </c>
      <c r="F1857" s="1">
        <f>IFERROR(__xludf.DUMMYFUNCTION("""COMPUTED_VALUE"""),9822.0)</f>
        <v>9822</v>
      </c>
    </row>
    <row r="1858">
      <c r="A1858" s="2">
        <f>IFERROR(__xludf.DUMMYFUNCTION("""COMPUTED_VALUE"""),43682.64583333333)</f>
        <v>43682.64583</v>
      </c>
      <c r="B1858" s="1">
        <f>IFERROR(__xludf.DUMMYFUNCTION("""COMPUTED_VALUE"""),58800.0)</f>
        <v>58800</v>
      </c>
      <c r="C1858" s="1">
        <f>IFERROR(__xludf.DUMMYFUNCTION("""COMPUTED_VALUE"""),59300.0)</f>
        <v>59300</v>
      </c>
      <c r="D1858" s="1">
        <f>IFERROR(__xludf.DUMMYFUNCTION("""COMPUTED_VALUE"""),57100.0)</f>
        <v>57100</v>
      </c>
      <c r="E1858" s="1">
        <f>IFERROR(__xludf.DUMMYFUNCTION("""COMPUTED_VALUE"""),57300.0)</f>
        <v>57300</v>
      </c>
      <c r="F1858" s="1">
        <f>IFERROR(__xludf.DUMMYFUNCTION("""COMPUTED_VALUE"""),14012.0)</f>
        <v>14012</v>
      </c>
    </row>
    <row r="1859">
      <c r="A1859" s="2">
        <f>IFERROR(__xludf.DUMMYFUNCTION("""COMPUTED_VALUE"""),43683.64583333333)</f>
        <v>43683.64583</v>
      </c>
      <c r="B1859" s="1">
        <f>IFERROR(__xludf.DUMMYFUNCTION("""COMPUTED_VALUE"""),56000.0)</f>
        <v>56000</v>
      </c>
      <c r="C1859" s="1">
        <f>IFERROR(__xludf.DUMMYFUNCTION("""COMPUTED_VALUE"""),56800.0)</f>
        <v>56800</v>
      </c>
      <c r="D1859" s="1">
        <f>IFERROR(__xludf.DUMMYFUNCTION("""COMPUTED_VALUE"""),54600.0)</f>
        <v>54600</v>
      </c>
      <c r="E1859" s="1">
        <f>IFERROR(__xludf.DUMMYFUNCTION("""COMPUTED_VALUE"""),55600.0)</f>
        <v>55600</v>
      </c>
      <c r="F1859" s="1">
        <f>IFERROR(__xludf.DUMMYFUNCTION("""COMPUTED_VALUE"""),23216.0)</f>
        <v>23216</v>
      </c>
    </row>
    <row r="1860">
      <c r="A1860" s="2">
        <f>IFERROR(__xludf.DUMMYFUNCTION("""COMPUTED_VALUE"""),43684.64583333333)</f>
        <v>43684.64583</v>
      </c>
      <c r="B1860" s="1">
        <f>IFERROR(__xludf.DUMMYFUNCTION("""COMPUTED_VALUE"""),54100.0)</f>
        <v>54100</v>
      </c>
      <c r="C1860" s="1">
        <f>IFERROR(__xludf.DUMMYFUNCTION("""COMPUTED_VALUE"""),55700.0)</f>
        <v>55700</v>
      </c>
      <c r="D1860" s="1">
        <f>IFERROR(__xludf.DUMMYFUNCTION("""COMPUTED_VALUE"""),54100.0)</f>
        <v>54100</v>
      </c>
      <c r="E1860" s="1">
        <f>IFERROR(__xludf.DUMMYFUNCTION("""COMPUTED_VALUE"""),54800.0)</f>
        <v>54800</v>
      </c>
      <c r="F1860" s="1">
        <f>IFERROR(__xludf.DUMMYFUNCTION("""COMPUTED_VALUE"""),11735.0)</f>
        <v>11735</v>
      </c>
    </row>
    <row r="1861">
      <c r="A1861" s="2">
        <f>IFERROR(__xludf.DUMMYFUNCTION("""COMPUTED_VALUE"""),43685.64583333333)</f>
        <v>43685.64583</v>
      </c>
      <c r="B1861" s="1">
        <f>IFERROR(__xludf.DUMMYFUNCTION("""COMPUTED_VALUE"""),55000.0)</f>
        <v>55000</v>
      </c>
      <c r="C1861" s="1">
        <f>IFERROR(__xludf.DUMMYFUNCTION("""COMPUTED_VALUE"""),55500.0)</f>
        <v>55500</v>
      </c>
      <c r="D1861" s="1">
        <f>IFERROR(__xludf.DUMMYFUNCTION("""COMPUTED_VALUE"""),54000.0)</f>
        <v>54000</v>
      </c>
      <c r="E1861" s="1">
        <f>IFERROR(__xludf.DUMMYFUNCTION("""COMPUTED_VALUE"""),55300.0)</f>
        <v>55300</v>
      </c>
      <c r="F1861" s="1">
        <f>IFERROR(__xludf.DUMMYFUNCTION("""COMPUTED_VALUE"""),14717.0)</f>
        <v>14717</v>
      </c>
    </row>
    <row r="1862">
      <c r="A1862" s="2">
        <f>IFERROR(__xludf.DUMMYFUNCTION("""COMPUTED_VALUE"""),43686.64583333333)</f>
        <v>43686.64583</v>
      </c>
      <c r="B1862" s="1">
        <f>IFERROR(__xludf.DUMMYFUNCTION("""COMPUTED_VALUE"""),55300.0)</f>
        <v>55300</v>
      </c>
      <c r="C1862" s="1">
        <f>IFERROR(__xludf.DUMMYFUNCTION("""COMPUTED_VALUE"""),55700.0)</f>
        <v>55700</v>
      </c>
      <c r="D1862" s="1">
        <f>IFERROR(__xludf.DUMMYFUNCTION("""COMPUTED_VALUE"""),54400.0)</f>
        <v>54400</v>
      </c>
      <c r="E1862" s="1">
        <f>IFERROR(__xludf.DUMMYFUNCTION("""COMPUTED_VALUE"""),55400.0)</f>
        <v>55400</v>
      </c>
      <c r="F1862" s="1">
        <f>IFERROR(__xludf.DUMMYFUNCTION("""COMPUTED_VALUE"""),6174.0)</f>
        <v>6174</v>
      </c>
    </row>
    <row r="1863">
      <c r="A1863" s="2">
        <f>IFERROR(__xludf.DUMMYFUNCTION("""COMPUTED_VALUE"""),43689.64583333333)</f>
        <v>43689.64583</v>
      </c>
      <c r="B1863" s="1">
        <f>IFERROR(__xludf.DUMMYFUNCTION("""COMPUTED_VALUE"""),55700.0)</f>
        <v>55700</v>
      </c>
      <c r="C1863" s="1">
        <f>IFERROR(__xludf.DUMMYFUNCTION("""COMPUTED_VALUE"""),55700.0)</f>
        <v>55700</v>
      </c>
      <c r="D1863" s="1">
        <f>IFERROR(__xludf.DUMMYFUNCTION("""COMPUTED_VALUE"""),54200.0)</f>
        <v>54200</v>
      </c>
      <c r="E1863" s="1">
        <f>IFERROR(__xludf.DUMMYFUNCTION("""COMPUTED_VALUE"""),54600.0)</f>
        <v>54600</v>
      </c>
      <c r="F1863" s="1">
        <f>IFERROR(__xludf.DUMMYFUNCTION("""COMPUTED_VALUE"""),13004.0)</f>
        <v>13004</v>
      </c>
    </row>
    <row r="1864">
      <c r="A1864" s="2">
        <f>IFERROR(__xludf.DUMMYFUNCTION("""COMPUTED_VALUE"""),43690.64583333333)</f>
        <v>43690.64583</v>
      </c>
      <c r="B1864" s="1">
        <f>IFERROR(__xludf.DUMMYFUNCTION("""COMPUTED_VALUE"""),54200.0)</f>
        <v>54200</v>
      </c>
      <c r="C1864" s="1">
        <f>IFERROR(__xludf.DUMMYFUNCTION("""COMPUTED_VALUE"""),54400.0)</f>
        <v>54400</v>
      </c>
      <c r="D1864" s="1">
        <f>IFERROR(__xludf.DUMMYFUNCTION("""COMPUTED_VALUE"""),52700.0)</f>
        <v>52700</v>
      </c>
      <c r="E1864" s="1">
        <f>IFERROR(__xludf.DUMMYFUNCTION("""COMPUTED_VALUE"""),52800.0)</f>
        <v>52800</v>
      </c>
      <c r="F1864" s="1">
        <f>IFERROR(__xludf.DUMMYFUNCTION("""COMPUTED_VALUE"""),8797.0)</f>
        <v>8797</v>
      </c>
    </row>
    <row r="1865">
      <c r="A1865" s="2">
        <f>IFERROR(__xludf.DUMMYFUNCTION("""COMPUTED_VALUE"""),43691.64583333333)</f>
        <v>43691.64583</v>
      </c>
      <c r="B1865" s="1">
        <f>IFERROR(__xludf.DUMMYFUNCTION("""COMPUTED_VALUE"""),53400.0)</f>
        <v>53400</v>
      </c>
      <c r="C1865" s="1">
        <f>IFERROR(__xludf.DUMMYFUNCTION("""COMPUTED_VALUE"""),54500.0)</f>
        <v>54500</v>
      </c>
      <c r="D1865" s="1">
        <f>IFERROR(__xludf.DUMMYFUNCTION("""COMPUTED_VALUE"""),53400.0)</f>
        <v>53400</v>
      </c>
      <c r="E1865" s="1">
        <f>IFERROR(__xludf.DUMMYFUNCTION("""COMPUTED_VALUE"""),54000.0)</f>
        <v>54000</v>
      </c>
      <c r="F1865" s="1">
        <f>IFERROR(__xludf.DUMMYFUNCTION("""COMPUTED_VALUE"""),8464.0)</f>
        <v>8464</v>
      </c>
    </row>
    <row r="1866">
      <c r="A1866" s="2">
        <f>IFERROR(__xludf.DUMMYFUNCTION("""COMPUTED_VALUE"""),43693.64583333333)</f>
        <v>43693.64583</v>
      </c>
      <c r="B1866" s="1">
        <f>IFERROR(__xludf.DUMMYFUNCTION("""COMPUTED_VALUE"""),53100.0)</f>
        <v>53100</v>
      </c>
      <c r="C1866" s="1">
        <f>IFERROR(__xludf.DUMMYFUNCTION("""COMPUTED_VALUE"""),54300.0)</f>
        <v>54300</v>
      </c>
      <c r="D1866" s="1">
        <f>IFERROR(__xludf.DUMMYFUNCTION("""COMPUTED_VALUE"""),52700.0)</f>
        <v>52700</v>
      </c>
      <c r="E1866" s="1">
        <f>IFERROR(__xludf.DUMMYFUNCTION("""COMPUTED_VALUE"""),54100.0)</f>
        <v>54100</v>
      </c>
      <c r="F1866" s="1">
        <f>IFERROR(__xludf.DUMMYFUNCTION("""COMPUTED_VALUE"""),6711.0)</f>
        <v>6711</v>
      </c>
    </row>
    <row r="1867">
      <c r="A1867" s="2">
        <f>IFERROR(__xludf.DUMMYFUNCTION("""COMPUTED_VALUE"""),43696.64583333333)</f>
        <v>43696.64583</v>
      </c>
      <c r="B1867" s="1">
        <f>IFERROR(__xludf.DUMMYFUNCTION("""COMPUTED_VALUE"""),54000.0)</f>
        <v>54000</v>
      </c>
      <c r="C1867" s="1">
        <f>IFERROR(__xludf.DUMMYFUNCTION("""COMPUTED_VALUE"""),54600.0)</f>
        <v>54600</v>
      </c>
      <c r="D1867" s="1">
        <f>IFERROR(__xludf.DUMMYFUNCTION("""COMPUTED_VALUE"""),53800.0)</f>
        <v>53800</v>
      </c>
      <c r="E1867" s="1">
        <f>IFERROR(__xludf.DUMMYFUNCTION("""COMPUTED_VALUE"""),54600.0)</f>
        <v>54600</v>
      </c>
      <c r="F1867" s="1">
        <f>IFERROR(__xludf.DUMMYFUNCTION("""COMPUTED_VALUE"""),3774.0)</f>
        <v>3774</v>
      </c>
    </row>
    <row r="1868">
      <c r="A1868" s="2">
        <f>IFERROR(__xludf.DUMMYFUNCTION("""COMPUTED_VALUE"""),43697.64583333333)</f>
        <v>43697.64583</v>
      </c>
      <c r="B1868" s="1">
        <f>IFERROR(__xludf.DUMMYFUNCTION("""COMPUTED_VALUE"""),54700.0)</f>
        <v>54700</v>
      </c>
      <c r="C1868" s="1">
        <f>IFERROR(__xludf.DUMMYFUNCTION("""COMPUTED_VALUE"""),56400.0)</f>
        <v>56400</v>
      </c>
      <c r="D1868" s="1">
        <f>IFERROR(__xludf.DUMMYFUNCTION("""COMPUTED_VALUE"""),54700.0)</f>
        <v>54700</v>
      </c>
      <c r="E1868" s="1">
        <f>IFERROR(__xludf.DUMMYFUNCTION("""COMPUTED_VALUE"""),55700.0)</f>
        <v>55700</v>
      </c>
      <c r="F1868" s="1">
        <f>IFERROR(__xludf.DUMMYFUNCTION("""COMPUTED_VALUE"""),7043.0)</f>
        <v>7043</v>
      </c>
    </row>
    <row r="1869">
      <c r="A1869" s="2">
        <f>IFERROR(__xludf.DUMMYFUNCTION("""COMPUTED_VALUE"""),43698.64583333333)</f>
        <v>43698.64583</v>
      </c>
      <c r="B1869" s="1">
        <f>IFERROR(__xludf.DUMMYFUNCTION("""COMPUTED_VALUE"""),55700.0)</f>
        <v>55700</v>
      </c>
      <c r="C1869" s="1">
        <f>IFERROR(__xludf.DUMMYFUNCTION("""COMPUTED_VALUE"""),56200.0)</f>
        <v>56200</v>
      </c>
      <c r="D1869" s="1">
        <f>IFERROR(__xludf.DUMMYFUNCTION("""COMPUTED_VALUE"""),55000.0)</f>
        <v>55000</v>
      </c>
      <c r="E1869" s="1">
        <f>IFERROR(__xludf.DUMMYFUNCTION("""COMPUTED_VALUE"""),55700.0)</f>
        <v>55700</v>
      </c>
      <c r="F1869" s="1">
        <f>IFERROR(__xludf.DUMMYFUNCTION("""COMPUTED_VALUE"""),6231.0)</f>
        <v>6231</v>
      </c>
    </row>
    <row r="1870">
      <c r="A1870" s="2">
        <f>IFERROR(__xludf.DUMMYFUNCTION("""COMPUTED_VALUE"""),43699.64583333333)</f>
        <v>43699.64583</v>
      </c>
      <c r="B1870" s="1">
        <f>IFERROR(__xludf.DUMMYFUNCTION("""COMPUTED_VALUE"""),55500.0)</f>
        <v>55500</v>
      </c>
      <c r="C1870" s="1">
        <f>IFERROR(__xludf.DUMMYFUNCTION("""COMPUTED_VALUE"""),56000.0)</f>
        <v>56000</v>
      </c>
      <c r="D1870" s="1">
        <f>IFERROR(__xludf.DUMMYFUNCTION("""COMPUTED_VALUE"""),55300.0)</f>
        <v>55300</v>
      </c>
      <c r="E1870" s="1">
        <f>IFERROR(__xludf.DUMMYFUNCTION("""COMPUTED_VALUE"""),55300.0)</f>
        <v>55300</v>
      </c>
      <c r="F1870" s="1">
        <f>IFERROR(__xludf.DUMMYFUNCTION("""COMPUTED_VALUE"""),9036.0)</f>
        <v>9036</v>
      </c>
    </row>
    <row r="1871">
      <c r="A1871" s="2">
        <f>IFERROR(__xludf.DUMMYFUNCTION("""COMPUTED_VALUE"""),43700.64583333333)</f>
        <v>43700.64583</v>
      </c>
      <c r="B1871" s="1">
        <f>IFERROR(__xludf.DUMMYFUNCTION("""COMPUTED_VALUE"""),55200.0)</f>
        <v>55200</v>
      </c>
      <c r="C1871" s="1">
        <f>IFERROR(__xludf.DUMMYFUNCTION("""COMPUTED_VALUE"""),55200.0)</f>
        <v>55200</v>
      </c>
      <c r="D1871" s="1">
        <f>IFERROR(__xludf.DUMMYFUNCTION("""COMPUTED_VALUE"""),54500.0)</f>
        <v>54500</v>
      </c>
      <c r="E1871" s="1">
        <f>IFERROR(__xludf.DUMMYFUNCTION("""COMPUTED_VALUE"""),54900.0)</f>
        <v>54900</v>
      </c>
      <c r="F1871" s="1">
        <f>IFERROR(__xludf.DUMMYFUNCTION("""COMPUTED_VALUE"""),2270.0)</f>
        <v>2270</v>
      </c>
    </row>
    <row r="1872">
      <c r="A1872" s="2">
        <f>IFERROR(__xludf.DUMMYFUNCTION("""COMPUTED_VALUE"""),43703.64583333333)</f>
        <v>43703.64583</v>
      </c>
      <c r="B1872" s="1">
        <f>IFERROR(__xludf.DUMMYFUNCTION("""COMPUTED_VALUE"""),54400.0)</f>
        <v>54400</v>
      </c>
      <c r="C1872" s="1">
        <f>IFERROR(__xludf.DUMMYFUNCTION("""COMPUTED_VALUE"""),54400.0)</f>
        <v>54400</v>
      </c>
      <c r="D1872" s="1">
        <f>IFERROR(__xludf.DUMMYFUNCTION("""COMPUTED_VALUE"""),52700.0)</f>
        <v>52700</v>
      </c>
      <c r="E1872" s="1">
        <f>IFERROR(__xludf.DUMMYFUNCTION("""COMPUTED_VALUE"""),54400.0)</f>
        <v>54400</v>
      </c>
      <c r="F1872" s="1">
        <f>IFERROR(__xludf.DUMMYFUNCTION("""COMPUTED_VALUE"""),3442.0)</f>
        <v>3442</v>
      </c>
    </row>
    <row r="1873">
      <c r="A1873" s="2">
        <f>IFERROR(__xludf.DUMMYFUNCTION("""COMPUTED_VALUE"""),43704.64583333333)</f>
        <v>43704.64583</v>
      </c>
      <c r="B1873" s="1">
        <f>IFERROR(__xludf.DUMMYFUNCTION("""COMPUTED_VALUE"""),55000.0)</f>
        <v>55000</v>
      </c>
      <c r="C1873" s="1">
        <f>IFERROR(__xludf.DUMMYFUNCTION("""COMPUTED_VALUE"""),56100.0)</f>
        <v>56100</v>
      </c>
      <c r="D1873" s="1">
        <f>IFERROR(__xludf.DUMMYFUNCTION("""COMPUTED_VALUE"""),53600.0)</f>
        <v>53600</v>
      </c>
      <c r="E1873" s="1">
        <f>IFERROR(__xludf.DUMMYFUNCTION("""COMPUTED_VALUE"""),55400.0)</f>
        <v>55400</v>
      </c>
      <c r="F1873" s="1">
        <f>IFERROR(__xludf.DUMMYFUNCTION("""COMPUTED_VALUE"""),19725.0)</f>
        <v>19725</v>
      </c>
    </row>
    <row r="1874">
      <c r="A1874" s="2">
        <f>IFERROR(__xludf.DUMMYFUNCTION("""COMPUTED_VALUE"""),43705.64583333333)</f>
        <v>43705.64583</v>
      </c>
      <c r="B1874" s="1">
        <f>IFERROR(__xludf.DUMMYFUNCTION("""COMPUTED_VALUE"""),55400.0)</f>
        <v>55400</v>
      </c>
      <c r="C1874" s="1">
        <f>IFERROR(__xludf.DUMMYFUNCTION("""COMPUTED_VALUE"""),56000.0)</f>
        <v>56000</v>
      </c>
      <c r="D1874" s="1">
        <f>IFERROR(__xludf.DUMMYFUNCTION("""COMPUTED_VALUE"""),55000.0)</f>
        <v>55000</v>
      </c>
      <c r="E1874" s="1">
        <f>IFERROR(__xludf.DUMMYFUNCTION("""COMPUTED_VALUE"""),55100.0)</f>
        <v>55100</v>
      </c>
      <c r="F1874" s="1">
        <f>IFERROR(__xludf.DUMMYFUNCTION("""COMPUTED_VALUE"""),10941.0)</f>
        <v>10941</v>
      </c>
    </row>
    <row r="1875">
      <c r="A1875" s="2">
        <f>IFERROR(__xludf.DUMMYFUNCTION("""COMPUTED_VALUE"""),43706.64583333333)</f>
        <v>43706.64583</v>
      </c>
      <c r="B1875" s="1">
        <f>IFERROR(__xludf.DUMMYFUNCTION("""COMPUTED_VALUE"""),55500.0)</f>
        <v>55500</v>
      </c>
      <c r="C1875" s="1">
        <f>IFERROR(__xludf.DUMMYFUNCTION("""COMPUTED_VALUE"""),55800.0)</f>
        <v>55800</v>
      </c>
      <c r="D1875" s="1">
        <f>IFERROR(__xludf.DUMMYFUNCTION("""COMPUTED_VALUE"""),55200.0)</f>
        <v>55200</v>
      </c>
      <c r="E1875" s="1">
        <f>IFERROR(__xludf.DUMMYFUNCTION("""COMPUTED_VALUE"""),55600.0)</f>
        <v>55600</v>
      </c>
      <c r="F1875" s="1">
        <f>IFERROR(__xludf.DUMMYFUNCTION("""COMPUTED_VALUE"""),2585.0)</f>
        <v>2585</v>
      </c>
    </row>
    <row r="1876">
      <c r="A1876" s="2">
        <f>IFERROR(__xludf.DUMMYFUNCTION("""COMPUTED_VALUE"""),43707.64583333333)</f>
        <v>43707.64583</v>
      </c>
      <c r="B1876" s="1">
        <f>IFERROR(__xludf.DUMMYFUNCTION("""COMPUTED_VALUE"""),56200.0)</f>
        <v>56200</v>
      </c>
      <c r="C1876" s="1">
        <f>IFERROR(__xludf.DUMMYFUNCTION("""COMPUTED_VALUE"""),58000.0)</f>
        <v>58000</v>
      </c>
      <c r="D1876" s="1">
        <f>IFERROR(__xludf.DUMMYFUNCTION("""COMPUTED_VALUE"""),56000.0)</f>
        <v>56000</v>
      </c>
      <c r="E1876" s="1">
        <f>IFERROR(__xludf.DUMMYFUNCTION("""COMPUTED_VALUE"""),57600.0)</f>
        <v>57600</v>
      </c>
      <c r="F1876" s="1">
        <f>IFERROR(__xludf.DUMMYFUNCTION("""COMPUTED_VALUE"""),17081.0)</f>
        <v>17081</v>
      </c>
    </row>
    <row r="1877">
      <c r="A1877" s="2">
        <f>IFERROR(__xludf.DUMMYFUNCTION("""COMPUTED_VALUE"""),43710.64583333333)</f>
        <v>43710.64583</v>
      </c>
      <c r="B1877" s="1">
        <f>IFERROR(__xludf.DUMMYFUNCTION("""COMPUTED_VALUE"""),58000.0)</f>
        <v>58000</v>
      </c>
      <c r="C1877" s="1">
        <f>IFERROR(__xludf.DUMMYFUNCTION("""COMPUTED_VALUE"""),59000.0)</f>
        <v>59000</v>
      </c>
      <c r="D1877" s="1">
        <f>IFERROR(__xludf.DUMMYFUNCTION("""COMPUTED_VALUE"""),57600.0)</f>
        <v>57600</v>
      </c>
      <c r="E1877" s="1">
        <f>IFERROR(__xludf.DUMMYFUNCTION("""COMPUTED_VALUE"""),58800.0)</f>
        <v>58800</v>
      </c>
      <c r="F1877" s="1">
        <f>IFERROR(__xludf.DUMMYFUNCTION("""COMPUTED_VALUE"""),8690.0)</f>
        <v>8690</v>
      </c>
    </row>
    <row r="1878">
      <c r="A1878" s="2">
        <f>IFERROR(__xludf.DUMMYFUNCTION("""COMPUTED_VALUE"""),43711.64583333333)</f>
        <v>43711.64583</v>
      </c>
      <c r="B1878" s="1">
        <f>IFERROR(__xludf.DUMMYFUNCTION("""COMPUTED_VALUE"""),59000.0)</f>
        <v>59000</v>
      </c>
      <c r="C1878" s="1">
        <f>IFERROR(__xludf.DUMMYFUNCTION("""COMPUTED_VALUE"""),59100.0)</f>
        <v>59100</v>
      </c>
      <c r="D1878" s="1">
        <f>IFERROR(__xludf.DUMMYFUNCTION("""COMPUTED_VALUE"""),58000.0)</f>
        <v>58000</v>
      </c>
      <c r="E1878" s="1">
        <f>IFERROR(__xludf.DUMMYFUNCTION("""COMPUTED_VALUE"""),58400.0)</f>
        <v>58400</v>
      </c>
      <c r="F1878" s="1">
        <f>IFERROR(__xludf.DUMMYFUNCTION("""COMPUTED_VALUE"""),3900.0)</f>
        <v>3900</v>
      </c>
    </row>
    <row r="1879">
      <c r="A1879" s="2">
        <f>IFERROR(__xludf.DUMMYFUNCTION("""COMPUTED_VALUE"""),43712.64583333333)</f>
        <v>43712.64583</v>
      </c>
      <c r="B1879" s="1">
        <f>IFERROR(__xludf.DUMMYFUNCTION("""COMPUTED_VALUE"""),58400.0)</f>
        <v>58400</v>
      </c>
      <c r="C1879" s="1">
        <f>IFERROR(__xludf.DUMMYFUNCTION("""COMPUTED_VALUE"""),58500.0)</f>
        <v>58500</v>
      </c>
      <c r="D1879" s="1">
        <f>IFERROR(__xludf.DUMMYFUNCTION("""COMPUTED_VALUE"""),57800.0)</f>
        <v>57800</v>
      </c>
      <c r="E1879" s="1">
        <f>IFERROR(__xludf.DUMMYFUNCTION("""COMPUTED_VALUE"""),58500.0)</f>
        <v>58500</v>
      </c>
      <c r="F1879" s="1">
        <f>IFERROR(__xludf.DUMMYFUNCTION("""COMPUTED_VALUE"""),4981.0)</f>
        <v>4981</v>
      </c>
    </row>
    <row r="1880">
      <c r="A1880" s="2">
        <f>IFERROR(__xludf.DUMMYFUNCTION("""COMPUTED_VALUE"""),43713.64583333333)</f>
        <v>43713.64583</v>
      </c>
      <c r="B1880" s="1">
        <f>IFERROR(__xludf.DUMMYFUNCTION("""COMPUTED_VALUE"""),59000.0)</f>
        <v>59000</v>
      </c>
      <c r="C1880" s="1">
        <f>IFERROR(__xludf.DUMMYFUNCTION("""COMPUTED_VALUE"""),59000.0)</f>
        <v>59000</v>
      </c>
      <c r="D1880" s="1">
        <f>IFERROR(__xludf.DUMMYFUNCTION("""COMPUTED_VALUE"""),57800.0)</f>
        <v>57800</v>
      </c>
      <c r="E1880" s="1">
        <f>IFERROR(__xludf.DUMMYFUNCTION("""COMPUTED_VALUE"""),58200.0)</f>
        <v>58200</v>
      </c>
      <c r="F1880" s="1">
        <f>IFERROR(__xludf.DUMMYFUNCTION("""COMPUTED_VALUE"""),7659.0)</f>
        <v>7659</v>
      </c>
    </row>
    <row r="1881">
      <c r="A1881" s="2">
        <f>IFERROR(__xludf.DUMMYFUNCTION("""COMPUTED_VALUE"""),43714.64583333333)</f>
        <v>43714.64583</v>
      </c>
      <c r="B1881" s="1">
        <f>IFERROR(__xludf.DUMMYFUNCTION("""COMPUTED_VALUE"""),58300.0)</f>
        <v>58300</v>
      </c>
      <c r="C1881" s="1">
        <f>IFERROR(__xludf.DUMMYFUNCTION("""COMPUTED_VALUE"""),58400.0)</f>
        <v>58400</v>
      </c>
      <c r="D1881" s="1">
        <f>IFERROR(__xludf.DUMMYFUNCTION("""COMPUTED_VALUE"""),57800.0)</f>
        <v>57800</v>
      </c>
      <c r="E1881" s="1">
        <f>IFERROR(__xludf.DUMMYFUNCTION("""COMPUTED_VALUE"""),57900.0)</f>
        <v>57900</v>
      </c>
      <c r="F1881" s="1">
        <f>IFERROR(__xludf.DUMMYFUNCTION("""COMPUTED_VALUE"""),1312.0)</f>
        <v>1312</v>
      </c>
    </row>
    <row r="1882">
      <c r="A1882" s="2">
        <f>IFERROR(__xludf.DUMMYFUNCTION("""COMPUTED_VALUE"""),43717.64583333333)</f>
        <v>43717.64583</v>
      </c>
      <c r="B1882" s="1">
        <f>IFERROR(__xludf.DUMMYFUNCTION("""COMPUTED_VALUE"""),57900.0)</f>
        <v>57900</v>
      </c>
      <c r="C1882" s="1">
        <f>IFERROR(__xludf.DUMMYFUNCTION("""COMPUTED_VALUE"""),59100.0)</f>
        <v>59100</v>
      </c>
      <c r="D1882" s="1">
        <f>IFERROR(__xludf.DUMMYFUNCTION("""COMPUTED_VALUE"""),57600.0)</f>
        <v>57600</v>
      </c>
      <c r="E1882" s="1">
        <f>IFERROR(__xludf.DUMMYFUNCTION("""COMPUTED_VALUE"""),58500.0)</f>
        <v>58500</v>
      </c>
      <c r="F1882" s="1">
        <f>IFERROR(__xludf.DUMMYFUNCTION("""COMPUTED_VALUE"""),7729.0)</f>
        <v>7729</v>
      </c>
    </row>
    <row r="1883">
      <c r="A1883" s="2">
        <f>IFERROR(__xludf.DUMMYFUNCTION("""COMPUTED_VALUE"""),43718.64583333333)</f>
        <v>43718.64583</v>
      </c>
      <c r="B1883" s="1">
        <f>IFERROR(__xludf.DUMMYFUNCTION("""COMPUTED_VALUE"""),58000.0)</f>
        <v>58000</v>
      </c>
      <c r="C1883" s="1">
        <f>IFERROR(__xludf.DUMMYFUNCTION("""COMPUTED_VALUE"""),58900.0)</f>
        <v>58900</v>
      </c>
      <c r="D1883" s="1">
        <f>IFERROR(__xludf.DUMMYFUNCTION("""COMPUTED_VALUE"""),58000.0)</f>
        <v>58000</v>
      </c>
      <c r="E1883" s="1">
        <f>IFERROR(__xludf.DUMMYFUNCTION("""COMPUTED_VALUE"""),58600.0)</f>
        <v>58600</v>
      </c>
      <c r="F1883" s="1">
        <f>IFERROR(__xludf.DUMMYFUNCTION("""COMPUTED_VALUE"""),3387.0)</f>
        <v>3387</v>
      </c>
    </row>
    <row r="1884">
      <c r="A1884" s="2">
        <f>IFERROR(__xludf.DUMMYFUNCTION("""COMPUTED_VALUE"""),43719.64583333333)</f>
        <v>43719.64583</v>
      </c>
      <c r="B1884" s="1">
        <f>IFERROR(__xludf.DUMMYFUNCTION("""COMPUTED_VALUE"""),59000.0)</f>
        <v>59000</v>
      </c>
      <c r="C1884" s="1">
        <f>IFERROR(__xludf.DUMMYFUNCTION("""COMPUTED_VALUE"""),60000.0)</f>
        <v>60000</v>
      </c>
      <c r="D1884" s="1">
        <f>IFERROR(__xludf.DUMMYFUNCTION("""COMPUTED_VALUE"""),58700.0)</f>
        <v>58700</v>
      </c>
      <c r="E1884" s="1">
        <f>IFERROR(__xludf.DUMMYFUNCTION("""COMPUTED_VALUE"""),59300.0)</f>
        <v>59300</v>
      </c>
      <c r="F1884" s="1">
        <f>IFERROR(__xludf.DUMMYFUNCTION("""COMPUTED_VALUE"""),11724.0)</f>
        <v>11724</v>
      </c>
    </row>
    <row r="1885">
      <c r="A1885" s="2">
        <f>IFERROR(__xludf.DUMMYFUNCTION("""COMPUTED_VALUE"""),43724.64583333333)</f>
        <v>43724.64583</v>
      </c>
      <c r="B1885" s="1">
        <f>IFERROR(__xludf.DUMMYFUNCTION("""COMPUTED_VALUE"""),62500.0)</f>
        <v>62500</v>
      </c>
      <c r="C1885" s="1">
        <f>IFERROR(__xludf.DUMMYFUNCTION("""COMPUTED_VALUE"""),62900.0)</f>
        <v>62900</v>
      </c>
      <c r="D1885" s="1">
        <f>IFERROR(__xludf.DUMMYFUNCTION("""COMPUTED_VALUE"""),59800.0)</f>
        <v>59800</v>
      </c>
      <c r="E1885" s="1">
        <f>IFERROR(__xludf.DUMMYFUNCTION("""COMPUTED_VALUE"""),60300.0)</f>
        <v>60300</v>
      </c>
      <c r="F1885" s="1">
        <f>IFERROR(__xludf.DUMMYFUNCTION("""COMPUTED_VALUE"""),29516.0)</f>
        <v>29516</v>
      </c>
    </row>
    <row r="1886">
      <c r="A1886" s="2">
        <f>IFERROR(__xludf.DUMMYFUNCTION("""COMPUTED_VALUE"""),43725.64583333333)</f>
        <v>43725.64583</v>
      </c>
      <c r="B1886" s="1">
        <f>IFERROR(__xludf.DUMMYFUNCTION("""COMPUTED_VALUE"""),60700.0)</f>
        <v>60700</v>
      </c>
      <c r="C1886" s="1">
        <f>IFERROR(__xludf.DUMMYFUNCTION("""COMPUTED_VALUE"""),61100.0)</f>
        <v>61100</v>
      </c>
      <c r="D1886" s="1">
        <f>IFERROR(__xludf.DUMMYFUNCTION("""COMPUTED_VALUE"""),59900.0)</f>
        <v>59900</v>
      </c>
      <c r="E1886" s="1">
        <f>IFERROR(__xludf.DUMMYFUNCTION("""COMPUTED_VALUE"""),60300.0)</f>
        <v>60300</v>
      </c>
      <c r="F1886" s="1">
        <f>IFERROR(__xludf.DUMMYFUNCTION("""COMPUTED_VALUE"""),5009.0)</f>
        <v>5009</v>
      </c>
    </row>
    <row r="1887">
      <c r="A1887" s="2">
        <f>IFERROR(__xludf.DUMMYFUNCTION("""COMPUTED_VALUE"""),43726.64583333333)</f>
        <v>43726.64583</v>
      </c>
      <c r="B1887" s="1">
        <f>IFERROR(__xludf.DUMMYFUNCTION("""COMPUTED_VALUE"""),60400.0)</f>
        <v>60400</v>
      </c>
      <c r="C1887" s="1">
        <f>IFERROR(__xludf.DUMMYFUNCTION("""COMPUTED_VALUE"""),60600.0)</f>
        <v>60600</v>
      </c>
      <c r="D1887" s="1">
        <f>IFERROR(__xludf.DUMMYFUNCTION("""COMPUTED_VALUE"""),59700.0)</f>
        <v>59700</v>
      </c>
      <c r="E1887" s="1">
        <f>IFERROR(__xludf.DUMMYFUNCTION("""COMPUTED_VALUE"""),59800.0)</f>
        <v>59800</v>
      </c>
      <c r="F1887" s="1">
        <f>IFERROR(__xludf.DUMMYFUNCTION("""COMPUTED_VALUE"""),7553.0)</f>
        <v>7553</v>
      </c>
    </row>
    <row r="1888">
      <c r="A1888" s="2">
        <f>IFERROR(__xludf.DUMMYFUNCTION("""COMPUTED_VALUE"""),43727.64583333333)</f>
        <v>43727.64583</v>
      </c>
      <c r="B1888" s="1">
        <f>IFERROR(__xludf.DUMMYFUNCTION("""COMPUTED_VALUE"""),59600.0)</f>
        <v>59600</v>
      </c>
      <c r="C1888" s="1">
        <f>IFERROR(__xludf.DUMMYFUNCTION("""COMPUTED_VALUE"""),60200.0)</f>
        <v>60200</v>
      </c>
      <c r="D1888" s="1">
        <f>IFERROR(__xludf.DUMMYFUNCTION("""COMPUTED_VALUE"""),59600.0)</f>
        <v>59600</v>
      </c>
      <c r="E1888" s="1">
        <f>IFERROR(__xludf.DUMMYFUNCTION("""COMPUTED_VALUE"""),60200.0)</f>
        <v>60200</v>
      </c>
      <c r="F1888" s="1">
        <f>IFERROR(__xludf.DUMMYFUNCTION("""COMPUTED_VALUE"""),4672.0)</f>
        <v>4672</v>
      </c>
    </row>
    <row r="1889">
      <c r="A1889" s="2">
        <f>IFERROR(__xludf.DUMMYFUNCTION("""COMPUTED_VALUE"""),43728.64583333333)</f>
        <v>43728.64583</v>
      </c>
      <c r="B1889" s="1">
        <f>IFERROR(__xludf.DUMMYFUNCTION("""COMPUTED_VALUE"""),60200.0)</f>
        <v>60200</v>
      </c>
      <c r="C1889" s="1">
        <f>IFERROR(__xludf.DUMMYFUNCTION("""COMPUTED_VALUE"""),60700.0)</f>
        <v>60700</v>
      </c>
      <c r="D1889" s="1">
        <f>IFERROR(__xludf.DUMMYFUNCTION("""COMPUTED_VALUE"""),59700.0)</f>
        <v>59700</v>
      </c>
      <c r="E1889" s="1">
        <f>IFERROR(__xludf.DUMMYFUNCTION("""COMPUTED_VALUE"""),60600.0)</f>
        <v>60600</v>
      </c>
      <c r="F1889" s="1">
        <f>IFERROR(__xludf.DUMMYFUNCTION("""COMPUTED_VALUE"""),5885.0)</f>
        <v>5885</v>
      </c>
    </row>
    <row r="1890">
      <c r="A1890" s="2">
        <f>IFERROR(__xludf.DUMMYFUNCTION("""COMPUTED_VALUE"""),43731.64583333333)</f>
        <v>43731.64583</v>
      </c>
      <c r="B1890" s="1">
        <f>IFERROR(__xludf.DUMMYFUNCTION("""COMPUTED_VALUE"""),60800.0)</f>
        <v>60800</v>
      </c>
      <c r="C1890" s="1">
        <f>IFERROR(__xludf.DUMMYFUNCTION("""COMPUTED_VALUE"""),60800.0)</f>
        <v>60800</v>
      </c>
      <c r="D1890" s="1">
        <f>IFERROR(__xludf.DUMMYFUNCTION("""COMPUTED_VALUE"""),60500.0)</f>
        <v>60500</v>
      </c>
      <c r="E1890" s="1">
        <f>IFERROR(__xludf.DUMMYFUNCTION("""COMPUTED_VALUE"""),60700.0)</f>
        <v>60700</v>
      </c>
      <c r="F1890" s="1">
        <f>IFERROR(__xludf.DUMMYFUNCTION("""COMPUTED_VALUE"""),3077.0)</f>
        <v>3077</v>
      </c>
    </row>
    <row r="1891">
      <c r="A1891" s="2">
        <f>IFERROR(__xludf.DUMMYFUNCTION("""COMPUTED_VALUE"""),43732.64583333333)</f>
        <v>43732.64583</v>
      </c>
      <c r="B1891" s="1">
        <f>IFERROR(__xludf.DUMMYFUNCTION("""COMPUTED_VALUE"""),60400.0)</f>
        <v>60400</v>
      </c>
      <c r="C1891" s="1">
        <f>IFERROR(__xludf.DUMMYFUNCTION("""COMPUTED_VALUE"""),60800.0)</f>
        <v>60800</v>
      </c>
      <c r="D1891" s="1">
        <f>IFERROR(__xludf.DUMMYFUNCTION("""COMPUTED_VALUE"""),60400.0)</f>
        <v>60400</v>
      </c>
      <c r="E1891" s="1">
        <f>IFERROR(__xludf.DUMMYFUNCTION("""COMPUTED_VALUE"""),60800.0)</f>
        <v>60800</v>
      </c>
      <c r="F1891" s="1">
        <f>IFERROR(__xludf.DUMMYFUNCTION("""COMPUTED_VALUE"""),4066.0)</f>
        <v>4066</v>
      </c>
    </row>
    <row r="1892">
      <c r="A1892" s="2">
        <f>IFERROR(__xludf.DUMMYFUNCTION("""COMPUTED_VALUE"""),43733.64583333333)</f>
        <v>43733.64583</v>
      </c>
      <c r="B1892" s="1">
        <f>IFERROR(__xludf.DUMMYFUNCTION("""COMPUTED_VALUE"""),60700.0)</f>
        <v>60700</v>
      </c>
      <c r="C1892" s="1">
        <f>IFERROR(__xludf.DUMMYFUNCTION("""COMPUTED_VALUE"""),60800.0)</f>
        <v>60800</v>
      </c>
      <c r="D1892" s="1">
        <f>IFERROR(__xludf.DUMMYFUNCTION("""COMPUTED_VALUE"""),60000.0)</f>
        <v>60000</v>
      </c>
      <c r="E1892" s="1">
        <f>IFERROR(__xludf.DUMMYFUNCTION("""COMPUTED_VALUE"""),60400.0)</f>
        <v>60400</v>
      </c>
      <c r="F1892" s="1">
        <f>IFERROR(__xludf.DUMMYFUNCTION("""COMPUTED_VALUE"""),4626.0)</f>
        <v>4626</v>
      </c>
    </row>
    <row r="1893">
      <c r="A1893" s="2">
        <f>IFERROR(__xludf.DUMMYFUNCTION("""COMPUTED_VALUE"""),43734.64583333333)</f>
        <v>43734.64583</v>
      </c>
      <c r="B1893" s="1">
        <f>IFERROR(__xludf.DUMMYFUNCTION("""COMPUTED_VALUE"""),60400.0)</f>
        <v>60400</v>
      </c>
      <c r="C1893" s="1">
        <f>IFERROR(__xludf.DUMMYFUNCTION("""COMPUTED_VALUE"""),60800.0)</f>
        <v>60800</v>
      </c>
      <c r="D1893" s="1">
        <f>IFERROR(__xludf.DUMMYFUNCTION("""COMPUTED_VALUE"""),59700.0)</f>
        <v>59700</v>
      </c>
      <c r="E1893" s="1">
        <f>IFERROR(__xludf.DUMMYFUNCTION("""COMPUTED_VALUE"""),60300.0)</f>
        <v>60300</v>
      </c>
      <c r="F1893" s="1">
        <f>IFERROR(__xludf.DUMMYFUNCTION("""COMPUTED_VALUE"""),3780.0)</f>
        <v>3780</v>
      </c>
    </row>
    <row r="1894">
      <c r="A1894" s="2">
        <f>IFERROR(__xludf.DUMMYFUNCTION("""COMPUTED_VALUE"""),43735.64583333333)</f>
        <v>43735.64583</v>
      </c>
      <c r="B1894" s="1">
        <f>IFERROR(__xludf.DUMMYFUNCTION("""COMPUTED_VALUE"""),59300.0)</f>
        <v>59300</v>
      </c>
      <c r="C1894" s="1">
        <f>IFERROR(__xludf.DUMMYFUNCTION("""COMPUTED_VALUE"""),60400.0)</f>
        <v>60400</v>
      </c>
      <c r="D1894" s="1">
        <f>IFERROR(__xludf.DUMMYFUNCTION("""COMPUTED_VALUE"""),59000.0)</f>
        <v>59000</v>
      </c>
      <c r="E1894" s="1">
        <f>IFERROR(__xludf.DUMMYFUNCTION("""COMPUTED_VALUE"""),59500.0)</f>
        <v>59500</v>
      </c>
      <c r="F1894" s="1">
        <f>IFERROR(__xludf.DUMMYFUNCTION("""COMPUTED_VALUE"""),10868.0)</f>
        <v>10868</v>
      </c>
    </row>
    <row r="1895">
      <c r="A1895" s="2">
        <f>IFERROR(__xludf.DUMMYFUNCTION("""COMPUTED_VALUE"""),43738.64583333333)</f>
        <v>43738.64583</v>
      </c>
      <c r="B1895" s="1">
        <f>IFERROR(__xludf.DUMMYFUNCTION("""COMPUTED_VALUE"""),58900.0)</f>
        <v>58900</v>
      </c>
      <c r="C1895" s="1">
        <f>IFERROR(__xludf.DUMMYFUNCTION("""COMPUTED_VALUE"""),59800.0)</f>
        <v>59800</v>
      </c>
      <c r="D1895" s="1">
        <f>IFERROR(__xludf.DUMMYFUNCTION("""COMPUTED_VALUE"""),58900.0)</f>
        <v>58900</v>
      </c>
      <c r="E1895" s="1">
        <f>IFERROR(__xludf.DUMMYFUNCTION("""COMPUTED_VALUE"""),59400.0)</f>
        <v>59400</v>
      </c>
      <c r="F1895" s="1">
        <f>IFERROR(__xludf.DUMMYFUNCTION("""COMPUTED_VALUE"""),2749.0)</f>
        <v>2749</v>
      </c>
    </row>
    <row r="1896">
      <c r="A1896" s="2">
        <f>IFERROR(__xludf.DUMMYFUNCTION("""COMPUTED_VALUE"""),43739.64583333333)</f>
        <v>43739.64583</v>
      </c>
      <c r="B1896" s="1">
        <f>IFERROR(__xludf.DUMMYFUNCTION("""COMPUTED_VALUE"""),59400.0)</f>
        <v>59400</v>
      </c>
      <c r="C1896" s="1">
        <f>IFERROR(__xludf.DUMMYFUNCTION("""COMPUTED_VALUE"""),60000.0)</f>
        <v>60000</v>
      </c>
      <c r="D1896" s="1">
        <f>IFERROR(__xludf.DUMMYFUNCTION("""COMPUTED_VALUE"""),59400.0)</f>
        <v>59400</v>
      </c>
      <c r="E1896" s="1">
        <f>IFERROR(__xludf.DUMMYFUNCTION("""COMPUTED_VALUE"""),59900.0)</f>
        <v>59900</v>
      </c>
      <c r="F1896" s="1">
        <f>IFERROR(__xludf.DUMMYFUNCTION("""COMPUTED_VALUE"""),4035.0)</f>
        <v>4035</v>
      </c>
    </row>
    <row r="1897">
      <c r="A1897" s="2">
        <f>IFERROR(__xludf.DUMMYFUNCTION("""COMPUTED_VALUE"""),43740.64583333333)</f>
        <v>43740.64583</v>
      </c>
      <c r="B1897" s="1">
        <f>IFERROR(__xludf.DUMMYFUNCTION("""COMPUTED_VALUE"""),59400.0)</f>
        <v>59400</v>
      </c>
      <c r="C1897" s="1">
        <f>IFERROR(__xludf.DUMMYFUNCTION("""COMPUTED_VALUE"""),60000.0)</f>
        <v>60000</v>
      </c>
      <c r="D1897" s="1">
        <f>IFERROR(__xludf.DUMMYFUNCTION("""COMPUTED_VALUE"""),59300.0)</f>
        <v>59300</v>
      </c>
      <c r="E1897" s="1">
        <f>IFERROR(__xludf.DUMMYFUNCTION("""COMPUTED_VALUE"""),59800.0)</f>
        <v>59800</v>
      </c>
      <c r="F1897" s="1">
        <f>IFERROR(__xludf.DUMMYFUNCTION("""COMPUTED_VALUE"""),5612.0)</f>
        <v>5612</v>
      </c>
    </row>
    <row r="1898">
      <c r="A1898" s="2">
        <f>IFERROR(__xludf.DUMMYFUNCTION("""COMPUTED_VALUE"""),43742.64583333333)</f>
        <v>43742.64583</v>
      </c>
      <c r="B1898" s="1">
        <f>IFERROR(__xludf.DUMMYFUNCTION("""COMPUTED_VALUE"""),59000.0)</f>
        <v>59000</v>
      </c>
      <c r="C1898" s="1">
        <f>IFERROR(__xludf.DUMMYFUNCTION("""COMPUTED_VALUE"""),60000.0)</f>
        <v>60000</v>
      </c>
      <c r="D1898" s="1">
        <f>IFERROR(__xludf.DUMMYFUNCTION("""COMPUTED_VALUE"""),59000.0)</f>
        <v>59000</v>
      </c>
      <c r="E1898" s="1">
        <f>IFERROR(__xludf.DUMMYFUNCTION("""COMPUTED_VALUE"""),59500.0)</f>
        <v>59500</v>
      </c>
      <c r="F1898" s="1">
        <f>IFERROR(__xludf.DUMMYFUNCTION("""COMPUTED_VALUE"""),4343.0)</f>
        <v>4343</v>
      </c>
    </row>
    <row r="1899">
      <c r="A1899" s="2">
        <f>IFERROR(__xludf.DUMMYFUNCTION("""COMPUTED_VALUE"""),43745.64583333333)</f>
        <v>43745.64583</v>
      </c>
      <c r="B1899" s="1">
        <f>IFERROR(__xludf.DUMMYFUNCTION("""COMPUTED_VALUE"""),59500.0)</f>
        <v>59500</v>
      </c>
      <c r="C1899" s="1">
        <f>IFERROR(__xludf.DUMMYFUNCTION("""COMPUTED_VALUE"""),60100.0)</f>
        <v>60100</v>
      </c>
      <c r="D1899" s="1">
        <f>IFERROR(__xludf.DUMMYFUNCTION("""COMPUTED_VALUE"""),59500.0)</f>
        <v>59500</v>
      </c>
      <c r="E1899" s="1">
        <f>IFERROR(__xludf.DUMMYFUNCTION("""COMPUTED_VALUE"""),59700.0)</f>
        <v>59700</v>
      </c>
      <c r="F1899" s="1">
        <f>IFERROR(__xludf.DUMMYFUNCTION("""COMPUTED_VALUE"""),5118.0)</f>
        <v>5118</v>
      </c>
    </row>
    <row r="1900">
      <c r="A1900" s="2">
        <f>IFERROR(__xludf.DUMMYFUNCTION("""COMPUTED_VALUE"""),43746.64583333333)</f>
        <v>43746.64583</v>
      </c>
      <c r="B1900" s="1">
        <f>IFERROR(__xludf.DUMMYFUNCTION("""COMPUTED_VALUE"""),59700.0)</f>
        <v>59700</v>
      </c>
      <c r="C1900" s="1">
        <f>IFERROR(__xludf.DUMMYFUNCTION("""COMPUTED_VALUE"""),60300.0)</f>
        <v>60300</v>
      </c>
      <c r="D1900" s="1">
        <f>IFERROR(__xludf.DUMMYFUNCTION("""COMPUTED_VALUE"""),59500.0)</f>
        <v>59500</v>
      </c>
      <c r="E1900" s="1">
        <f>IFERROR(__xludf.DUMMYFUNCTION("""COMPUTED_VALUE"""),60100.0)</f>
        <v>60100</v>
      </c>
      <c r="F1900" s="1">
        <f>IFERROR(__xludf.DUMMYFUNCTION("""COMPUTED_VALUE"""),4742.0)</f>
        <v>4742</v>
      </c>
    </row>
    <row r="1901">
      <c r="A1901" s="2">
        <f>IFERROR(__xludf.DUMMYFUNCTION("""COMPUTED_VALUE"""),43748.64583333333)</f>
        <v>43748.64583</v>
      </c>
      <c r="B1901" s="1">
        <f>IFERROR(__xludf.DUMMYFUNCTION("""COMPUTED_VALUE"""),60500.0)</f>
        <v>60500</v>
      </c>
      <c r="C1901" s="1">
        <f>IFERROR(__xludf.DUMMYFUNCTION("""COMPUTED_VALUE"""),60500.0)</f>
        <v>60500</v>
      </c>
      <c r="D1901" s="1">
        <f>IFERROR(__xludf.DUMMYFUNCTION("""COMPUTED_VALUE"""),59700.0)</f>
        <v>59700</v>
      </c>
      <c r="E1901" s="1">
        <f>IFERROR(__xludf.DUMMYFUNCTION("""COMPUTED_VALUE"""),59800.0)</f>
        <v>59800</v>
      </c>
      <c r="F1901" s="1">
        <f>IFERROR(__xludf.DUMMYFUNCTION("""COMPUTED_VALUE"""),3015.0)</f>
        <v>3015</v>
      </c>
    </row>
    <row r="1902">
      <c r="A1902" s="2">
        <f>IFERROR(__xludf.DUMMYFUNCTION("""COMPUTED_VALUE"""),43749.64583333333)</f>
        <v>43749.64583</v>
      </c>
      <c r="B1902" s="1">
        <f>IFERROR(__xludf.DUMMYFUNCTION("""COMPUTED_VALUE"""),59800.0)</f>
        <v>59800</v>
      </c>
      <c r="C1902" s="1">
        <f>IFERROR(__xludf.DUMMYFUNCTION("""COMPUTED_VALUE"""),60600.0)</f>
        <v>60600</v>
      </c>
      <c r="D1902" s="1">
        <f>IFERROR(__xludf.DUMMYFUNCTION("""COMPUTED_VALUE"""),59800.0)</f>
        <v>59800</v>
      </c>
      <c r="E1902" s="1">
        <f>IFERROR(__xludf.DUMMYFUNCTION("""COMPUTED_VALUE"""),60500.0)</f>
        <v>60500</v>
      </c>
      <c r="F1902" s="1">
        <f>IFERROR(__xludf.DUMMYFUNCTION("""COMPUTED_VALUE"""),4054.0)</f>
        <v>4054</v>
      </c>
    </row>
    <row r="1903">
      <c r="A1903" s="2">
        <f>IFERROR(__xludf.DUMMYFUNCTION("""COMPUTED_VALUE"""),43752.64583333333)</f>
        <v>43752.64583</v>
      </c>
      <c r="B1903" s="1">
        <f>IFERROR(__xludf.DUMMYFUNCTION("""COMPUTED_VALUE"""),61100.0)</f>
        <v>61100</v>
      </c>
      <c r="C1903" s="1">
        <f>IFERROR(__xludf.DUMMYFUNCTION("""COMPUTED_VALUE"""),61100.0)</f>
        <v>61100</v>
      </c>
      <c r="D1903" s="1">
        <f>IFERROR(__xludf.DUMMYFUNCTION("""COMPUTED_VALUE"""),60700.0)</f>
        <v>60700</v>
      </c>
      <c r="E1903" s="1">
        <f>IFERROR(__xludf.DUMMYFUNCTION("""COMPUTED_VALUE"""),61000.0)</f>
        <v>61000</v>
      </c>
      <c r="F1903" s="1">
        <f>IFERROR(__xludf.DUMMYFUNCTION("""COMPUTED_VALUE"""),5413.0)</f>
        <v>5413</v>
      </c>
    </row>
    <row r="1904">
      <c r="A1904" s="2">
        <f>IFERROR(__xludf.DUMMYFUNCTION("""COMPUTED_VALUE"""),43753.64583333333)</f>
        <v>43753.64583</v>
      </c>
      <c r="B1904" s="1">
        <f>IFERROR(__xludf.DUMMYFUNCTION("""COMPUTED_VALUE"""),61000.0)</f>
        <v>61000</v>
      </c>
      <c r="C1904" s="1">
        <f>IFERROR(__xludf.DUMMYFUNCTION("""COMPUTED_VALUE"""),61000.0)</f>
        <v>61000</v>
      </c>
      <c r="D1904" s="1">
        <f>IFERROR(__xludf.DUMMYFUNCTION("""COMPUTED_VALUE"""),60100.0)</f>
        <v>60100</v>
      </c>
      <c r="E1904" s="1">
        <f>IFERROR(__xludf.DUMMYFUNCTION("""COMPUTED_VALUE"""),60500.0)</f>
        <v>60500</v>
      </c>
      <c r="F1904" s="1">
        <f>IFERROR(__xludf.DUMMYFUNCTION("""COMPUTED_VALUE"""),3198.0)</f>
        <v>3198</v>
      </c>
    </row>
    <row r="1905">
      <c r="A1905" s="2">
        <f>IFERROR(__xludf.DUMMYFUNCTION("""COMPUTED_VALUE"""),43754.64583333333)</f>
        <v>43754.64583</v>
      </c>
      <c r="B1905" s="1">
        <f>IFERROR(__xludf.DUMMYFUNCTION("""COMPUTED_VALUE"""),60200.0)</f>
        <v>60200</v>
      </c>
      <c r="C1905" s="1">
        <f>IFERROR(__xludf.DUMMYFUNCTION("""COMPUTED_VALUE"""),60800.0)</f>
        <v>60800</v>
      </c>
      <c r="D1905" s="1">
        <f>IFERROR(__xludf.DUMMYFUNCTION("""COMPUTED_VALUE"""),60200.0)</f>
        <v>60200</v>
      </c>
      <c r="E1905" s="1">
        <f>IFERROR(__xludf.DUMMYFUNCTION("""COMPUTED_VALUE"""),60600.0)</f>
        <v>60600</v>
      </c>
      <c r="F1905" s="1">
        <f>IFERROR(__xludf.DUMMYFUNCTION("""COMPUTED_VALUE"""),2109.0)</f>
        <v>2109</v>
      </c>
    </row>
    <row r="1906">
      <c r="A1906" s="2">
        <f>IFERROR(__xludf.DUMMYFUNCTION("""COMPUTED_VALUE"""),43755.64583333333)</f>
        <v>43755.64583</v>
      </c>
      <c r="B1906" s="1">
        <f>IFERROR(__xludf.DUMMYFUNCTION("""COMPUTED_VALUE"""),60600.0)</f>
        <v>60600</v>
      </c>
      <c r="C1906" s="1">
        <f>IFERROR(__xludf.DUMMYFUNCTION("""COMPUTED_VALUE"""),61000.0)</f>
        <v>61000</v>
      </c>
      <c r="D1906" s="1">
        <f>IFERROR(__xludf.DUMMYFUNCTION("""COMPUTED_VALUE"""),60300.0)</f>
        <v>60300</v>
      </c>
      <c r="E1906" s="1">
        <f>IFERROR(__xludf.DUMMYFUNCTION("""COMPUTED_VALUE"""),60800.0)</f>
        <v>60800</v>
      </c>
      <c r="F1906" s="1">
        <f>IFERROR(__xludf.DUMMYFUNCTION("""COMPUTED_VALUE"""),2533.0)</f>
        <v>2533</v>
      </c>
    </row>
    <row r="1907">
      <c r="A1907" s="2">
        <f>IFERROR(__xludf.DUMMYFUNCTION("""COMPUTED_VALUE"""),43756.64583333333)</f>
        <v>43756.64583</v>
      </c>
      <c r="B1907" s="1">
        <f>IFERROR(__xludf.DUMMYFUNCTION("""COMPUTED_VALUE"""),60800.0)</f>
        <v>60800</v>
      </c>
      <c r="C1907" s="1">
        <f>IFERROR(__xludf.DUMMYFUNCTION("""COMPUTED_VALUE"""),61100.0)</f>
        <v>61100</v>
      </c>
      <c r="D1907" s="1">
        <f>IFERROR(__xludf.DUMMYFUNCTION("""COMPUTED_VALUE"""),60500.0)</f>
        <v>60500</v>
      </c>
      <c r="E1907" s="1">
        <f>IFERROR(__xludf.DUMMYFUNCTION("""COMPUTED_VALUE"""),61000.0)</f>
        <v>61000</v>
      </c>
      <c r="F1907" s="1">
        <f>IFERROR(__xludf.DUMMYFUNCTION("""COMPUTED_VALUE"""),5596.0)</f>
        <v>5596</v>
      </c>
    </row>
    <row r="1908">
      <c r="A1908" s="2">
        <f>IFERROR(__xludf.DUMMYFUNCTION("""COMPUTED_VALUE"""),43759.64583333333)</f>
        <v>43759.64583</v>
      </c>
      <c r="B1908" s="1">
        <f>IFERROR(__xludf.DUMMYFUNCTION("""COMPUTED_VALUE"""),60800.0)</f>
        <v>60800</v>
      </c>
      <c r="C1908" s="1">
        <f>IFERROR(__xludf.DUMMYFUNCTION("""COMPUTED_VALUE"""),60900.0)</f>
        <v>60900</v>
      </c>
      <c r="D1908" s="1">
        <f>IFERROR(__xludf.DUMMYFUNCTION("""COMPUTED_VALUE"""),59700.0)</f>
        <v>59700</v>
      </c>
      <c r="E1908" s="1">
        <f>IFERROR(__xludf.DUMMYFUNCTION("""COMPUTED_VALUE"""),60200.0)</f>
        <v>60200</v>
      </c>
      <c r="F1908" s="1">
        <f>IFERROR(__xludf.DUMMYFUNCTION("""COMPUTED_VALUE"""),6374.0)</f>
        <v>6374</v>
      </c>
    </row>
    <row r="1909">
      <c r="A1909" s="2">
        <f>IFERROR(__xludf.DUMMYFUNCTION("""COMPUTED_VALUE"""),43760.64583333333)</f>
        <v>43760.64583</v>
      </c>
      <c r="B1909" s="1">
        <f>IFERROR(__xludf.DUMMYFUNCTION("""COMPUTED_VALUE"""),59700.0)</f>
        <v>59700</v>
      </c>
      <c r="C1909" s="1">
        <f>IFERROR(__xludf.DUMMYFUNCTION("""COMPUTED_VALUE"""),60500.0)</f>
        <v>60500</v>
      </c>
      <c r="D1909" s="1">
        <f>IFERROR(__xludf.DUMMYFUNCTION("""COMPUTED_VALUE"""),59700.0)</f>
        <v>59700</v>
      </c>
      <c r="E1909" s="1">
        <f>IFERROR(__xludf.DUMMYFUNCTION("""COMPUTED_VALUE"""),60200.0)</f>
        <v>60200</v>
      </c>
      <c r="F1909" s="1">
        <f>IFERROR(__xludf.DUMMYFUNCTION("""COMPUTED_VALUE"""),4705.0)</f>
        <v>4705</v>
      </c>
    </row>
    <row r="1910">
      <c r="A1910" s="2">
        <f>IFERROR(__xludf.DUMMYFUNCTION("""COMPUTED_VALUE"""),43761.64583333333)</f>
        <v>43761.64583</v>
      </c>
      <c r="B1910" s="1">
        <f>IFERROR(__xludf.DUMMYFUNCTION("""COMPUTED_VALUE"""),59800.0)</f>
        <v>59800</v>
      </c>
      <c r="C1910" s="1">
        <f>IFERROR(__xludf.DUMMYFUNCTION("""COMPUTED_VALUE"""),60600.0)</f>
        <v>60600</v>
      </c>
      <c r="D1910" s="1">
        <f>IFERROR(__xludf.DUMMYFUNCTION("""COMPUTED_VALUE"""),59500.0)</f>
        <v>59500</v>
      </c>
      <c r="E1910" s="1">
        <f>IFERROR(__xludf.DUMMYFUNCTION("""COMPUTED_VALUE"""),60200.0)</f>
        <v>60200</v>
      </c>
      <c r="F1910" s="1">
        <f>IFERROR(__xludf.DUMMYFUNCTION("""COMPUTED_VALUE"""),8899.0)</f>
        <v>8899</v>
      </c>
    </row>
    <row r="1911">
      <c r="A1911" s="2">
        <f>IFERROR(__xludf.DUMMYFUNCTION("""COMPUTED_VALUE"""),43762.64583333333)</f>
        <v>43762.64583</v>
      </c>
      <c r="B1911" s="1">
        <f>IFERROR(__xludf.DUMMYFUNCTION("""COMPUTED_VALUE"""),60800.0)</f>
        <v>60800</v>
      </c>
      <c r="C1911" s="1">
        <f>IFERROR(__xludf.DUMMYFUNCTION("""COMPUTED_VALUE"""),61200.0)</f>
        <v>61200</v>
      </c>
      <c r="D1911" s="1">
        <f>IFERROR(__xludf.DUMMYFUNCTION("""COMPUTED_VALUE"""),60200.0)</f>
        <v>60200</v>
      </c>
      <c r="E1911" s="1">
        <f>IFERROR(__xludf.DUMMYFUNCTION("""COMPUTED_VALUE"""),60800.0)</f>
        <v>60800</v>
      </c>
      <c r="F1911" s="1">
        <f>IFERROR(__xludf.DUMMYFUNCTION("""COMPUTED_VALUE"""),16044.0)</f>
        <v>16044</v>
      </c>
    </row>
    <row r="1912">
      <c r="A1912" s="2">
        <f>IFERROR(__xludf.DUMMYFUNCTION("""COMPUTED_VALUE"""),43763.64583333333)</f>
        <v>43763.64583</v>
      </c>
      <c r="B1912" s="1">
        <f>IFERROR(__xludf.DUMMYFUNCTION("""COMPUTED_VALUE"""),61200.0)</f>
        <v>61200</v>
      </c>
      <c r="C1912" s="1">
        <f>IFERROR(__xludf.DUMMYFUNCTION("""COMPUTED_VALUE"""),61600.0)</f>
        <v>61600</v>
      </c>
      <c r="D1912" s="1">
        <f>IFERROR(__xludf.DUMMYFUNCTION("""COMPUTED_VALUE"""),60900.0)</f>
        <v>60900</v>
      </c>
      <c r="E1912" s="1">
        <f>IFERROR(__xludf.DUMMYFUNCTION("""COMPUTED_VALUE"""),61200.0)</f>
        <v>61200</v>
      </c>
      <c r="F1912" s="1">
        <f>IFERROR(__xludf.DUMMYFUNCTION("""COMPUTED_VALUE"""),10595.0)</f>
        <v>10595</v>
      </c>
    </row>
    <row r="1913">
      <c r="A1913" s="2">
        <f>IFERROR(__xludf.DUMMYFUNCTION("""COMPUTED_VALUE"""),43766.64583333333)</f>
        <v>43766.64583</v>
      </c>
      <c r="B1913" s="1">
        <f>IFERROR(__xludf.DUMMYFUNCTION("""COMPUTED_VALUE"""),61000.0)</f>
        <v>61000</v>
      </c>
      <c r="C1913" s="1">
        <f>IFERROR(__xludf.DUMMYFUNCTION("""COMPUTED_VALUE"""),61200.0)</f>
        <v>61200</v>
      </c>
      <c r="D1913" s="1">
        <f>IFERROR(__xludf.DUMMYFUNCTION("""COMPUTED_VALUE"""),60500.0)</f>
        <v>60500</v>
      </c>
      <c r="E1913" s="1">
        <f>IFERROR(__xludf.DUMMYFUNCTION("""COMPUTED_VALUE"""),60700.0)</f>
        <v>60700</v>
      </c>
      <c r="F1913" s="1">
        <f>IFERROR(__xludf.DUMMYFUNCTION("""COMPUTED_VALUE"""),6435.0)</f>
        <v>6435</v>
      </c>
    </row>
    <row r="1914">
      <c r="A1914" s="2">
        <f>IFERROR(__xludf.DUMMYFUNCTION("""COMPUTED_VALUE"""),43767.64583333333)</f>
        <v>43767.64583</v>
      </c>
      <c r="B1914" s="1">
        <f>IFERROR(__xludf.DUMMYFUNCTION("""COMPUTED_VALUE"""),60300.0)</f>
        <v>60300</v>
      </c>
      <c r="C1914" s="1">
        <f>IFERROR(__xludf.DUMMYFUNCTION("""COMPUTED_VALUE"""),61000.0)</f>
        <v>61000</v>
      </c>
      <c r="D1914" s="1">
        <f>IFERROR(__xludf.DUMMYFUNCTION("""COMPUTED_VALUE"""),60300.0)</f>
        <v>60300</v>
      </c>
      <c r="E1914" s="1">
        <f>IFERROR(__xludf.DUMMYFUNCTION("""COMPUTED_VALUE"""),60600.0)</f>
        <v>60600</v>
      </c>
      <c r="F1914" s="1">
        <f>IFERROR(__xludf.DUMMYFUNCTION("""COMPUTED_VALUE"""),5002.0)</f>
        <v>5002</v>
      </c>
    </row>
    <row r="1915">
      <c r="A1915" s="2">
        <f>IFERROR(__xludf.DUMMYFUNCTION("""COMPUTED_VALUE"""),43768.64583333333)</f>
        <v>43768.64583</v>
      </c>
      <c r="B1915" s="1">
        <f>IFERROR(__xludf.DUMMYFUNCTION("""COMPUTED_VALUE"""),60700.0)</f>
        <v>60700</v>
      </c>
      <c r="C1915" s="1">
        <f>IFERROR(__xludf.DUMMYFUNCTION("""COMPUTED_VALUE"""),60700.0)</f>
        <v>60700</v>
      </c>
      <c r="D1915" s="1">
        <f>IFERROR(__xludf.DUMMYFUNCTION("""COMPUTED_VALUE"""),59200.0)</f>
        <v>59200</v>
      </c>
      <c r="E1915" s="1">
        <f>IFERROR(__xludf.DUMMYFUNCTION("""COMPUTED_VALUE"""),60100.0)</f>
        <v>60100</v>
      </c>
      <c r="F1915" s="1">
        <f>IFERROR(__xludf.DUMMYFUNCTION("""COMPUTED_VALUE"""),12014.0)</f>
        <v>12014</v>
      </c>
    </row>
    <row r="1916">
      <c r="A1916" s="2">
        <f>IFERROR(__xludf.DUMMYFUNCTION("""COMPUTED_VALUE"""),43769.64583333333)</f>
        <v>43769.64583</v>
      </c>
      <c r="B1916" s="1">
        <f>IFERROR(__xludf.DUMMYFUNCTION("""COMPUTED_VALUE"""),60100.0)</f>
        <v>60100</v>
      </c>
      <c r="C1916" s="1">
        <f>IFERROR(__xludf.DUMMYFUNCTION("""COMPUTED_VALUE"""),60500.0)</f>
        <v>60500</v>
      </c>
      <c r="D1916" s="1">
        <f>IFERROR(__xludf.DUMMYFUNCTION("""COMPUTED_VALUE"""),59700.0)</f>
        <v>59700</v>
      </c>
      <c r="E1916" s="1">
        <f>IFERROR(__xludf.DUMMYFUNCTION("""COMPUTED_VALUE"""),60100.0)</f>
        <v>60100</v>
      </c>
      <c r="F1916" s="1">
        <f>IFERROR(__xludf.DUMMYFUNCTION("""COMPUTED_VALUE"""),2177.0)</f>
        <v>2177</v>
      </c>
    </row>
    <row r="1917">
      <c r="A1917" s="2">
        <f>IFERROR(__xludf.DUMMYFUNCTION("""COMPUTED_VALUE"""),43770.64583333333)</f>
        <v>43770.64583</v>
      </c>
      <c r="B1917" s="1">
        <f>IFERROR(__xludf.DUMMYFUNCTION("""COMPUTED_VALUE"""),60100.0)</f>
        <v>60100</v>
      </c>
      <c r="C1917" s="1">
        <f>IFERROR(__xludf.DUMMYFUNCTION("""COMPUTED_VALUE"""),60500.0)</f>
        <v>60500</v>
      </c>
      <c r="D1917" s="1">
        <f>IFERROR(__xludf.DUMMYFUNCTION("""COMPUTED_VALUE"""),59400.0)</f>
        <v>59400</v>
      </c>
      <c r="E1917" s="1">
        <f>IFERROR(__xludf.DUMMYFUNCTION("""COMPUTED_VALUE"""),60100.0)</f>
        <v>60100</v>
      </c>
      <c r="F1917" s="1">
        <f>IFERROR(__xludf.DUMMYFUNCTION("""COMPUTED_VALUE"""),10856.0)</f>
        <v>10856</v>
      </c>
    </row>
    <row r="1918">
      <c r="A1918" s="2">
        <f>IFERROR(__xludf.DUMMYFUNCTION("""COMPUTED_VALUE"""),43773.64583333333)</f>
        <v>43773.64583</v>
      </c>
      <c r="B1918" s="1">
        <f>IFERROR(__xludf.DUMMYFUNCTION("""COMPUTED_VALUE"""),59900.0)</f>
        <v>59900</v>
      </c>
      <c r="C1918" s="1">
        <f>IFERROR(__xludf.DUMMYFUNCTION("""COMPUTED_VALUE"""),60200.0)</f>
        <v>60200</v>
      </c>
      <c r="D1918" s="1">
        <f>IFERROR(__xludf.DUMMYFUNCTION("""COMPUTED_VALUE"""),59500.0)</f>
        <v>59500</v>
      </c>
      <c r="E1918" s="1">
        <f>IFERROR(__xludf.DUMMYFUNCTION("""COMPUTED_VALUE"""),60000.0)</f>
        <v>60000</v>
      </c>
      <c r="F1918" s="1">
        <f>IFERROR(__xludf.DUMMYFUNCTION("""COMPUTED_VALUE"""),6478.0)</f>
        <v>6478</v>
      </c>
    </row>
    <row r="1919">
      <c r="A1919" s="2">
        <f>IFERROR(__xludf.DUMMYFUNCTION("""COMPUTED_VALUE"""),43774.64583333333)</f>
        <v>43774.64583</v>
      </c>
      <c r="B1919" s="1">
        <f>IFERROR(__xludf.DUMMYFUNCTION("""COMPUTED_VALUE"""),59500.0)</f>
        <v>59500</v>
      </c>
      <c r="C1919" s="1">
        <f>IFERROR(__xludf.DUMMYFUNCTION("""COMPUTED_VALUE"""),59900.0)</f>
        <v>59900</v>
      </c>
      <c r="D1919" s="1">
        <f>IFERROR(__xludf.DUMMYFUNCTION("""COMPUTED_VALUE"""),59200.0)</f>
        <v>59200</v>
      </c>
      <c r="E1919" s="1">
        <f>IFERROR(__xludf.DUMMYFUNCTION("""COMPUTED_VALUE"""),59700.0)</f>
        <v>59700</v>
      </c>
      <c r="F1919" s="1">
        <f>IFERROR(__xludf.DUMMYFUNCTION("""COMPUTED_VALUE"""),12359.0)</f>
        <v>12359</v>
      </c>
    </row>
    <row r="1920">
      <c r="A1920" s="2">
        <f>IFERROR(__xludf.DUMMYFUNCTION("""COMPUTED_VALUE"""),43775.64583333333)</f>
        <v>43775.64583</v>
      </c>
      <c r="B1920" s="1">
        <f>IFERROR(__xludf.DUMMYFUNCTION("""COMPUTED_VALUE"""),59500.0)</f>
        <v>59500</v>
      </c>
      <c r="C1920" s="1">
        <f>IFERROR(__xludf.DUMMYFUNCTION("""COMPUTED_VALUE"""),60000.0)</f>
        <v>60000</v>
      </c>
      <c r="D1920" s="1">
        <f>IFERROR(__xludf.DUMMYFUNCTION("""COMPUTED_VALUE"""),59400.0)</f>
        <v>59400</v>
      </c>
      <c r="E1920" s="1">
        <f>IFERROR(__xludf.DUMMYFUNCTION("""COMPUTED_VALUE"""),59600.0)</f>
        <v>59600</v>
      </c>
      <c r="F1920" s="1">
        <f>IFERROR(__xludf.DUMMYFUNCTION("""COMPUTED_VALUE"""),5516.0)</f>
        <v>5516</v>
      </c>
    </row>
    <row r="1921">
      <c r="A1921" s="2">
        <f>IFERROR(__xludf.DUMMYFUNCTION("""COMPUTED_VALUE"""),43776.64583333333)</f>
        <v>43776.64583</v>
      </c>
      <c r="B1921" s="1">
        <f>IFERROR(__xludf.DUMMYFUNCTION("""COMPUTED_VALUE"""),59500.0)</f>
        <v>59500</v>
      </c>
      <c r="C1921" s="1">
        <f>IFERROR(__xludf.DUMMYFUNCTION("""COMPUTED_VALUE"""),59600.0)</f>
        <v>59600</v>
      </c>
      <c r="D1921" s="1">
        <f>IFERROR(__xludf.DUMMYFUNCTION("""COMPUTED_VALUE"""),58600.0)</f>
        <v>58600</v>
      </c>
      <c r="E1921" s="1">
        <f>IFERROR(__xludf.DUMMYFUNCTION("""COMPUTED_VALUE"""),59100.0)</f>
        <v>59100</v>
      </c>
      <c r="F1921" s="1">
        <f>IFERROR(__xludf.DUMMYFUNCTION("""COMPUTED_VALUE"""),13160.0)</f>
        <v>13160</v>
      </c>
    </row>
    <row r="1922">
      <c r="A1922" s="2">
        <f>IFERROR(__xludf.DUMMYFUNCTION("""COMPUTED_VALUE"""),43777.64583333333)</f>
        <v>43777.64583</v>
      </c>
      <c r="B1922" s="1">
        <f>IFERROR(__xludf.DUMMYFUNCTION("""COMPUTED_VALUE"""),59300.0)</f>
        <v>59300</v>
      </c>
      <c r="C1922" s="1">
        <f>IFERROR(__xludf.DUMMYFUNCTION("""COMPUTED_VALUE"""),59800.0)</f>
        <v>59800</v>
      </c>
      <c r="D1922" s="1">
        <f>IFERROR(__xludf.DUMMYFUNCTION("""COMPUTED_VALUE"""),58600.0)</f>
        <v>58600</v>
      </c>
      <c r="E1922" s="1">
        <f>IFERROR(__xludf.DUMMYFUNCTION("""COMPUTED_VALUE"""),59500.0)</f>
        <v>59500</v>
      </c>
      <c r="F1922" s="1">
        <f>IFERROR(__xludf.DUMMYFUNCTION("""COMPUTED_VALUE"""),3834.0)</f>
        <v>3834</v>
      </c>
    </row>
    <row r="1923">
      <c r="A1923" s="2">
        <f>IFERROR(__xludf.DUMMYFUNCTION("""COMPUTED_VALUE"""),43780.64583333333)</f>
        <v>43780.64583</v>
      </c>
      <c r="B1923" s="1">
        <f>IFERROR(__xludf.DUMMYFUNCTION("""COMPUTED_VALUE"""),58600.0)</f>
        <v>58600</v>
      </c>
      <c r="C1923" s="1">
        <f>IFERROR(__xludf.DUMMYFUNCTION("""COMPUTED_VALUE"""),60200.0)</f>
        <v>60200</v>
      </c>
      <c r="D1923" s="1">
        <f>IFERROR(__xludf.DUMMYFUNCTION("""COMPUTED_VALUE"""),58600.0)</f>
        <v>58600</v>
      </c>
      <c r="E1923" s="1">
        <f>IFERROR(__xludf.DUMMYFUNCTION("""COMPUTED_VALUE"""),60000.0)</f>
        <v>60000</v>
      </c>
      <c r="F1923" s="1">
        <f>IFERROR(__xludf.DUMMYFUNCTION("""COMPUTED_VALUE"""),11526.0)</f>
        <v>11526</v>
      </c>
    </row>
    <row r="1924">
      <c r="A1924" s="2">
        <f>IFERROR(__xludf.DUMMYFUNCTION("""COMPUTED_VALUE"""),43781.64583333333)</f>
        <v>43781.64583</v>
      </c>
      <c r="B1924" s="1">
        <f>IFERROR(__xludf.DUMMYFUNCTION("""COMPUTED_VALUE"""),59800.0)</f>
        <v>59800</v>
      </c>
      <c r="C1924" s="1">
        <f>IFERROR(__xludf.DUMMYFUNCTION("""COMPUTED_VALUE"""),60400.0)</f>
        <v>60400</v>
      </c>
      <c r="D1924" s="1">
        <f>IFERROR(__xludf.DUMMYFUNCTION("""COMPUTED_VALUE"""),59600.0)</f>
        <v>59600</v>
      </c>
      <c r="E1924" s="1">
        <f>IFERROR(__xludf.DUMMYFUNCTION("""COMPUTED_VALUE"""),59900.0)</f>
        <v>59900</v>
      </c>
      <c r="F1924" s="1">
        <f>IFERROR(__xludf.DUMMYFUNCTION("""COMPUTED_VALUE"""),11446.0)</f>
        <v>11446</v>
      </c>
    </row>
    <row r="1925">
      <c r="A1925" s="2">
        <f>IFERROR(__xludf.DUMMYFUNCTION("""COMPUTED_VALUE"""),43782.64583333333)</f>
        <v>43782.64583</v>
      </c>
      <c r="B1925" s="1">
        <f>IFERROR(__xludf.DUMMYFUNCTION("""COMPUTED_VALUE"""),59700.0)</f>
        <v>59700</v>
      </c>
      <c r="C1925" s="1">
        <f>IFERROR(__xludf.DUMMYFUNCTION("""COMPUTED_VALUE"""),59700.0)</f>
        <v>59700</v>
      </c>
      <c r="D1925" s="1">
        <f>IFERROR(__xludf.DUMMYFUNCTION("""COMPUTED_VALUE"""),58100.0)</f>
        <v>58100</v>
      </c>
      <c r="E1925" s="1">
        <f>IFERROR(__xludf.DUMMYFUNCTION("""COMPUTED_VALUE"""),58300.0)</f>
        <v>58300</v>
      </c>
      <c r="F1925" s="1">
        <f>IFERROR(__xludf.DUMMYFUNCTION("""COMPUTED_VALUE"""),13814.0)</f>
        <v>13814</v>
      </c>
    </row>
    <row r="1926">
      <c r="A1926" s="2">
        <f>IFERROR(__xludf.DUMMYFUNCTION("""COMPUTED_VALUE"""),43783.6875)</f>
        <v>43783.6875</v>
      </c>
      <c r="B1926" s="1">
        <f>IFERROR(__xludf.DUMMYFUNCTION("""COMPUTED_VALUE"""),58500.0)</f>
        <v>58500</v>
      </c>
      <c r="C1926" s="1">
        <f>IFERROR(__xludf.DUMMYFUNCTION("""COMPUTED_VALUE"""),58700.0)</f>
        <v>58700</v>
      </c>
      <c r="D1926" s="1">
        <f>IFERROR(__xludf.DUMMYFUNCTION("""COMPUTED_VALUE"""),57600.0)</f>
        <v>57600</v>
      </c>
      <c r="E1926" s="1">
        <f>IFERROR(__xludf.DUMMYFUNCTION("""COMPUTED_VALUE"""),58000.0)</f>
        <v>58000</v>
      </c>
      <c r="F1926" s="1">
        <f>IFERROR(__xludf.DUMMYFUNCTION("""COMPUTED_VALUE"""),6418.0)</f>
        <v>6418</v>
      </c>
    </row>
    <row r="1927">
      <c r="A1927" s="2">
        <f>IFERROR(__xludf.DUMMYFUNCTION("""COMPUTED_VALUE"""),43784.64583333333)</f>
        <v>43784.64583</v>
      </c>
      <c r="B1927" s="1">
        <f>IFERROR(__xludf.DUMMYFUNCTION("""COMPUTED_VALUE"""),58100.0)</f>
        <v>58100</v>
      </c>
      <c r="C1927" s="1">
        <f>IFERROR(__xludf.DUMMYFUNCTION("""COMPUTED_VALUE"""),58900.0)</f>
        <v>58900</v>
      </c>
      <c r="D1927" s="1">
        <f>IFERROR(__xludf.DUMMYFUNCTION("""COMPUTED_VALUE"""),57500.0)</f>
        <v>57500</v>
      </c>
      <c r="E1927" s="1">
        <f>IFERROR(__xludf.DUMMYFUNCTION("""COMPUTED_VALUE"""),58400.0)</f>
        <v>58400</v>
      </c>
      <c r="F1927" s="1">
        <f>IFERROR(__xludf.DUMMYFUNCTION("""COMPUTED_VALUE"""),10835.0)</f>
        <v>10835</v>
      </c>
    </row>
    <row r="1928">
      <c r="A1928" s="2">
        <f>IFERROR(__xludf.DUMMYFUNCTION("""COMPUTED_VALUE"""),43787.64583333333)</f>
        <v>43787.64583</v>
      </c>
      <c r="B1928" s="1">
        <f>IFERROR(__xludf.DUMMYFUNCTION("""COMPUTED_VALUE"""),58200.0)</f>
        <v>58200</v>
      </c>
      <c r="C1928" s="1">
        <f>IFERROR(__xludf.DUMMYFUNCTION("""COMPUTED_VALUE"""),58600.0)</f>
        <v>58600</v>
      </c>
      <c r="D1928" s="1">
        <f>IFERROR(__xludf.DUMMYFUNCTION("""COMPUTED_VALUE"""),57800.0)</f>
        <v>57800</v>
      </c>
      <c r="E1928" s="1">
        <f>IFERROR(__xludf.DUMMYFUNCTION("""COMPUTED_VALUE"""),58400.0)</f>
        <v>58400</v>
      </c>
      <c r="F1928" s="1">
        <f>IFERROR(__xludf.DUMMYFUNCTION("""COMPUTED_VALUE"""),4941.0)</f>
        <v>4941</v>
      </c>
    </row>
    <row r="1929">
      <c r="A1929" s="2">
        <f>IFERROR(__xludf.DUMMYFUNCTION("""COMPUTED_VALUE"""),43788.64583333333)</f>
        <v>43788.64583</v>
      </c>
      <c r="B1929" s="1">
        <f>IFERROR(__xludf.DUMMYFUNCTION("""COMPUTED_VALUE"""),58700.0)</f>
        <v>58700</v>
      </c>
      <c r="C1929" s="1">
        <f>IFERROR(__xludf.DUMMYFUNCTION("""COMPUTED_VALUE"""),58900.0)</f>
        <v>58900</v>
      </c>
      <c r="D1929" s="1">
        <f>IFERROR(__xludf.DUMMYFUNCTION("""COMPUTED_VALUE"""),57500.0)</f>
        <v>57500</v>
      </c>
      <c r="E1929" s="1">
        <f>IFERROR(__xludf.DUMMYFUNCTION("""COMPUTED_VALUE"""),58400.0)</f>
        <v>58400</v>
      </c>
      <c r="F1929" s="1">
        <f>IFERROR(__xludf.DUMMYFUNCTION("""COMPUTED_VALUE"""),16516.0)</f>
        <v>16516</v>
      </c>
    </row>
    <row r="1930">
      <c r="A1930" s="2">
        <f>IFERROR(__xludf.DUMMYFUNCTION("""COMPUTED_VALUE"""),43789.64583333333)</f>
        <v>43789.64583</v>
      </c>
      <c r="B1930" s="1">
        <f>IFERROR(__xludf.DUMMYFUNCTION("""COMPUTED_VALUE"""),58900.0)</f>
        <v>58900</v>
      </c>
      <c r="C1930" s="1">
        <f>IFERROR(__xludf.DUMMYFUNCTION("""COMPUTED_VALUE"""),58900.0)</f>
        <v>58900</v>
      </c>
      <c r="D1930" s="1">
        <f>IFERROR(__xludf.DUMMYFUNCTION("""COMPUTED_VALUE"""),57000.0)</f>
        <v>57000</v>
      </c>
      <c r="E1930" s="1">
        <f>IFERROR(__xludf.DUMMYFUNCTION("""COMPUTED_VALUE"""),57000.0)</f>
        <v>57000</v>
      </c>
      <c r="F1930" s="1">
        <f>IFERROR(__xludf.DUMMYFUNCTION("""COMPUTED_VALUE"""),11759.0)</f>
        <v>11759</v>
      </c>
    </row>
    <row r="1931">
      <c r="A1931" s="2">
        <f>IFERROR(__xludf.DUMMYFUNCTION("""COMPUTED_VALUE"""),43790.64583333333)</f>
        <v>43790.64583</v>
      </c>
      <c r="B1931" s="1">
        <f>IFERROR(__xludf.DUMMYFUNCTION("""COMPUTED_VALUE"""),57100.0)</f>
        <v>57100</v>
      </c>
      <c r="C1931" s="1">
        <f>IFERROR(__xludf.DUMMYFUNCTION("""COMPUTED_VALUE"""),57100.0)</f>
        <v>57100</v>
      </c>
      <c r="D1931" s="1">
        <f>IFERROR(__xludf.DUMMYFUNCTION("""COMPUTED_VALUE"""),55500.0)</f>
        <v>55500</v>
      </c>
      <c r="E1931" s="1">
        <f>IFERROR(__xludf.DUMMYFUNCTION("""COMPUTED_VALUE"""),56000.0)</f>
        <v>56000</v>
      </c>
      <c r="F1931" s="1">
        <f>IFERROR(__xludf.DUMMYFUNCTION("""COMPUTED_VALUE"""),10586.0)</f>
        <v>10586</v>
      </c>
    </row>
    <row r="1932">
      <c r="A1932" s="2">
        <f>IFERROR(__xludf.DUMMYFUNCTION("""COMPUTED_VALUE"""),43791.64583333333)</f>
        <v>43791.64583</v>
      </c>
      <c r="B1932" s="1">
        <f>IFERROR(__xludf.DUMMYFUNCTION("""COMPUTED_VALUE"""),56000.0)</f>
        <v>56000</v>
      </c>
      <c r="C1932" s="1">
        <f>IFERROR(__xludf.DUMMYFUNCTION("""COMPUTED_VALUE"""),56300.0)</f>
        <v>56300</v>
      </c>
      <c r="D1932" s="1">
        <f>IFERROR(__xludf.DUMMYFUNCTION("""COMPUTED_VALUE"""),55000.0)</f>
        <v>55000</v>
      </c>
      <c r="E1932" s="1">
        <f>IFERROR(__xludf.DUMMYFUNCTION("""COMPUTED_VALUE"""),55300.0)</f>
        <v>55300</v>
      </c>
      <c r="F1932" s="1">
        <f>IFERROR(__xludf.DUMMYFUNCTION("""COMPUTED_VALUE"""),10223.0)</f>
        <v>10223</v>
      </c>
    </row>
    <row r="1933">
      <c r="A1933" s="2">
        <f>IFERROR(__xludf.DUMMYFUNCTION("""COMPUTED_VALUE"""),43794.64583333333)</f>
        <v>43794.64583</v>
      </c>
      <c r="B1933" s="1">
        <f>IFERROR(__xludf.DUMMYFUNCTION("""COMPUTED_VALUE"""),55900.0)</f>
        <v>55900</v>
      </c>
      <c r="C1933" s="1">
        <f>IFERROR(__xludf.DUMMYFUNCTION("""COMPUTED_VALUE"""),55900.0)</f>
        <v>55900</v>
      </c>
      <c r="D1933" s="1">
        <f>IFERROR(__xludf.DUMMYFUNCTION("""COMPUTED_VALUE"""),52000.0)</f>
        <v>52000</v>
      </c>
      <c r="E1933" s="1">
        <f>IFERROR(__xludf.DUMMYFUNCTION("""COMPUTED_VALUE"""),55200.0)</f>
        <v>55200</v>
      </c>
      <c r="F1933" s="1">
        <f>IFERROR(__xludf.DUMMYFUNCTION("""COMPUTED_VALUE"""),6194.0)</f>
        <v>6194</v>
      </c>
    </row>
    <row r="1934">
      <c r="A1934" s="2">
        <f>IFERROR(__xludf.DUMMYFUNCTION("""COMPUTED_VALUE"""),43795.64583333333)</f>
        <v>43795.64583</v>
      </c>
      <c r="B1934" s="1">
        <f>IFERROR(__xludf.DUMMYFUNCTION("""COMPUTED_VALUE"""),55300.0)</f>
        <v>55300</v>
      </c>
      <c r="C1934" s="1">
        <f>IFERROR(__xludf.DUMMYFUNCTION("""COMPUTED_VALUE"""),55300.0)</f>
        <v>55300</v>
      </c>
      <c r="D1934" s="1">
        <f>IFERROR(__xludf.DUMMYFUNCTION("""COMPUTED_VALUE"""),54200.0)</f>
        <v>54200</v>
      </c>
      <c r="E1934" s="1">
        <f>IFERROR(__xludf.DUMMYFUNCTION("""COMPUTED_VALUE"""),54500.0)</f>
        <v>54500</v>
      </c>
      <c r="F1934" s="1">
        <f>IFERROR(__xludf.DUMMYFUNCTION("""COMPUTED_VALUE"""),14816.0)</f>
        <v>14816</v>
      </c>
    </row>
    <row r="1935">
      <c r="A1935" s="2">
        <f>IFERROR(__xludf.DUMMYFUNCTION("""COMPUTED_VALUE"""),43796.64583333333)</f>
        <v>43796.64583</v>
      </c>
      <c r="B1935" s="1">
        <f>IFERROR(__xludf.DUMMYFUNCTION("""COMPUTED_VALUE"""),54300.0)</f>
        <v>54300</v>
      </c>
      <c r="C1935" s="1">
        <f>IFERROR(__xludf.DUMMYFUNCTION("""COMPUTED_VALUE"""),55100.0)</f>
        <v>55100</v>
      </c>
      <c r="D1935" s="1">
        <f>IFERROR(__xludf.DUMMYFUNCTION("""COMPUTED_VALUE"""),54300.0)</f>
        <v>54300</v>
      </c>
      <c r="E1935" s="1">
        <f>IFERROR(__xludf.DUMMYFUNCTION("""COMPUTED_VALUE"""),54800.0)</f>
        <v>54800</v>
      </c>
      <c r="F1935" s="1">
        <f>IFERROR(__xludf.DUMMYFUNCTION("""COMPUTED_VALUE"""),6688.0)</f>
        <v>6688</v>
      </c>
    </row>
    <row r="1936">
      <c r="A1936" s="2">
        <f>IFERROR(__xludf.DUMMYFUNCTION("""COMPUTED_VALUE"""),43797.64583333333)</f>
        <v>43797.64583</v>
      </c>
      <c r="B1936" s="1">
        <f>IFERROR(__xludf.DUMMYFUNCTION("""COMPUTED_VALUE"""),55100.0)</f>
        <v>55100</v>
      </c>
      <c r="C1936" s="1">
        <f>IFERROR(__xludf.DUMMYFUNCTION("""COMPUTED_VALUE"""),55100.0)</f>
        <v>55100</v>
      </c>
      <c r="D1936" s="1">
        <f>IFERROR(__xludf.DUMMYFUNCTION("""COMPUTED_VALUE"""),54300.0)</f>
        <v>54300</v>
      </c>
      <c r="E1936" s="1">
        <f>IFERROR(__xludf.DUMMYFUNCTION("""COMPUTED_VALUE"""),54600.0)</f>
        <v>54600</v>
      </c>
      <c r="F1936" s="1">
        <f>IFERROR(__xludf.DUMMYFUNCTION("""COMPUTED_VALUE"""),4439.0)</f>
        <v>4439</v>
      </c>
    </row>
    <row r="1937">
      <c r="A1937" s="2">
        <f>IFERROR(__xludf.DUMMYFUNCTION("""COMPUTED_VALUE"""),43798.64583333333)</f>
        <v>43798.64583</v>
      </c>
      <c r="B1937" s="1">
        <f>IFERROR(__xludf.DUMMYFUNCTION("""COMPUTED_VALUE"""),54200.0)</f>
        <v>54200</v>
      </c>
      <c r="C1937" s="1">
        <f>IFERROR(__xludf.DUMMYFUNCTION("""COMPUTED_VALUE"""),55100.0)</f>
        <v>55100</v>
      </c>
      <c r="D1937" s="1">
        <f>IFERROR(__xludf.DUMMYFUNCTION("""COMPUTED_VALUE"""),52300.0)</f>
        <v>52300</v>
      </c>
      <c r="E1937" s="1">
        <f>IFERROR(__xludf.DUMMYFUNCTION("""COMPUTED_VALUE"""),52900.0)</f>
        <v>52900</v>
      </c>
      <c r="F1937" s="1">
        <f>IFERROR(__xludf.DUMMYFUNCTION("""COMPUTED_VALUE"""),29914.0)</f>
        <v>29914</v>
      </c>
    </row>
    <row r="1938">
      <c r="A1938" s="2">
        <f>IFERROR(__xludf.DUMMYFUNCTION("""COMPUTED_VALUE"""),43801.64583333333)</f>
        <v>43801.64583</v>
      </c>
      <c r="B1938" s="1">
        <f>IFERROR(__xludf.DUMMYFUNCTION("""COMPUTED_VALUE"""),53000.0)</f>
        <v>53000</v>
      </c>
      <c r="C1938" s="1">
        <f>IFERROR(__xludf.DUMMYFUNCTION("""COMPUTED_VALUE"""),53700.0)</f>
        <v>53700</v>
      </c>
      <c r="D1938" s="1">
        <f>IFERROR(__xludf.DUMMYFUNCTION("""COMPUTED_VALUE"""),52800.0)</f>
        <v>52800</v>
      </c>
      <c r="E1938" s="1">
        <f>IFERROR(__xludf.DUMMYFUNCTION("""COMPUTED_VALUE"""),53100.0)</f>
        <v>53100</v>
      </c>
      <c r="F1938" s="1">
        <f>IFERROR(__xludf.DUMMYFUNCTION("""COMPUTED_VALUE"""),3746.0)</f>
        <v>3746</v>
      </c>
    </row>
    <row r="1939">
      <c r="A1939" s="2">
        <f>IFERROR(__xludf.DUMMYFUNCTION("""COMPUTED_VALUE"""),43802.64583333333)</f>
        <v>43802.64583</v>
      </c>
      <c r="B1939" s="1">
        <f>IFERROR(__xludf.DUMMYFUNCTION("""COMPUTED_VALUE"""),53400.0)</f>
        <v>53400</v>
      </c>
      <c r="C1939" s="1">
        <f>IFERROR(__xludf.DUMMYFUNCTION("""COMPUTED_VALUE"""),53700.0)</f>
        <v>53700</v>
      </c>
      <c r="D1939" s="1">
        <f>IFERROR(__xludf.DUMMYFUNCTION("""COMPUTED_VALUE"""),52900.0)</f>
        <v>52900</v>
      </c>
      <c r="E1939" s="1">
        <f>IFERROR(__xludf.DUMMYFUNCTION("""COMPUTED_VALUE"""),53600.0)</f>
        <v>53600</v>
      </c>
      <c r="F1939" s="1">
        <f>IFERROR(__xludf.DUMMYFUNCTION("""COMPUTED_VALUE"""),6602.0)</f>
        <v>6602</v>
      </c>
    </row>
    <row r="1940">
      <c r="A1940" s="2">
        <f>IFERROR(__xludf.DUMMYFUNCTION("""COMPUTED_VALUE"""),43803.64583333333)</f>
        <v>43803.64583</v>
      </c>
      <c r="B1940" s="1">
        <f>IFERROR(__xludf.DUMMYFUNCTION("""COMPUTED_VALUE"""),53700.0)</f>
        <v>53700</v>
      </c>
      <c r="C1940" s="1">
        <f>IFERROR(__xludf.DUMMYFUNCTION("""COMPUTED_VALUE"""),53700.0)</f>
        <v>53700</v>
      </c>
      <c r="D1940" s="1">
        <f>IFERROR(__xludf.DUMMYFUNCTION("""COMPUTED_VALUE"""),52700.0)</f>
        <v>52700</v>
      </c>
      <c r="E1940" s="1">
        <f>IFERROR(__xludf.DUMMYFUNCTION("""COMPUTED_VALUE"""),52900.0)</f>
        <v>52900</v>
      </c>
      <c r="F1940" s="1">
        <f>IFERROR(__xludf.DUMMYFUNCTION("""COMPUTED_VALUE"""),4059.0)</f>
        <v>4059</v>
      </c>
    </row>
    <row r="1941">
      <c r="A1941" s="2">
        <f>IFERROR(__xludf.DUMMYFUNCTION("""COMPUTED_VALUE"""),43804.64583333333)</f>
        <v>43804.64583</v>
      </c>
      <c r="B1941" s="1">
        <f>IFERROR(__xludf.DUMMYFUNCTION("""COMPUTED_VALUE"""),53700.0)</f>
        <v>53700</v>
      </c>
      <c r="C1941" s="1">
        <f>IFERROR(__xludf.DUMMYFUNCTION("""COMPUTED_VALUE"""),53700.0)</f>
        <v>53700</v>
      </c>
      <c r="D1941" s="1">
        <f>IFERROR(__xludf.DUMMYFUNCTION("""COMPUTED_VALUE"""),52900.0)</f>
        <v>52900</v>
      </c>
      <c r="E1941" s="1">
        <f>IFERROR(__xludf.DUMMYFUNCTION("""COMPUTED_VALUE"""),53000.0)</f>
        <v>53000</v>
      </c>
      <c r="F1941" s="1">
        <f>IFERROR(__xludf.DUMMYFUNCTION("""COMPUTED_VALUE"""),15319.0)</f>
        <v>15319</v>
      </c>
    </row>
    <row r="1942">
      <c r="A1942" s="2">
        <f>IFERROR(__xludf.DUMMYFUNCTION("""COMPUTED_VALUE"""),43805.64583333333)</f>
        <v>43805.64583</v>
      </c>
      <c r="B1942" s="1">
        <f>IFERROR(__xludf.DUMMYFUNCTION("""COMPUTED_VALUE"""),53300.0)</f>
        <v>53300</v>
      </c>
      <c r="C1942" s="1">
        <f>IFERROR(__xludf.DUMMYFUNCTION("""COMPUTED_VALUE"""),53600.0)</f>
        <v>53600</v>
      </c>
      <c r="D1942" s="1">
        <f>IFERROR(__xludf.DUMMYFUNCTION("""COMPUTED_VALUE"""),52900.0)</f>
        <v>52900</v>
      </c>
      <c r="E1942" s="1">
        <f>IFERROR(__xludf.DUMMYFUNCTION("""COMPUTED_VALUE"""),53400.0)</f>
        <v>53400</v>
      </c>
      <c r="F1942" s="1">
        <f>IFERROR(__xludf.DUMMYFUNCTION("""COMPUTED_VALUE"""),7033.0)</f>
        <v>7033</v>
      </c>
    </row>
    <row r="1943">
      <c r="A1943" s="2">
        <f>IFERROR(__xludf.DUMMYFUNCTION("""COMPUTED_VALUE"""),43808.64583333333)</f>
        <v>43808.64583</v>
      </c>
      <c r="B1943" s="1">
        <f>IFERROR(__xludf.DUMMYFUNCTION("""COMPUTED_VALUE"""),53900.0)</f>
        <v>53900</v>
      </c>
      <c r="C1943" s="1">
        <f>IFERROR(__xludf.DUMMYFUNCTION("""COMPUTED_VALUE"""),53900.0)</f>
        <v>53900</v>
      </c>
      <c r="D1943" s="1">
        <f>IFERROR(__xludf.DUMMYFUNCTION("""COMPUTED_VALUE"""),53300.0)</f>
        <v>53300</v>
      </c>
      <c r="E1943" s="1">
        <f>IFERROR(__xludf.DUMMYFUNCTION("""COMPUTED_VALUE"""),53800.0)</f>
        <v>53800</v>
      </c>
      <c r="F1943" s="1">
        <f>IFERROR(__xludf.DUMMYFUNCTION("""COMPUTED_VALUE"""),8658.0)</f>
        <v>8658</v>
      </c>
    </row>
    <row r="1944">
      <c r="A1944" s="2">
        <f>IFERROR(__xludf.DUMMYFUNCTION("""COMPUTED_VALUE"""),43809.64583333333)</f>
        <v>43809.64583</v>
      </c>
      <c r="B1944" s="1">
        <f>IFERROR(__xludf.DUMMYFUNCTION("""COMPUTED_VALUE"""),53700.0)</f>
        <v>53700</v>
      </c>
      <c r="C1944" s="1">
        <f>IFERROR(__xludf.DUMMYFUNCTION("""COMPUTED_VALUE"""),53700.0)</f>
        <v>53700</v>
      </c>
      <c r="D1944" s="1">
        <f>IFERROR(__xludf.DUMMYFUNCTION("""COMPUTED_VALUE"""),53100.0)</f>
        <v>53100</v>
      </c>
      <c r="E1944" s="1">
        <f>IFERROR(__xludf.DUMMYFUNCTION("""COMPUTED_VALUE"""),53500.0)</f>
        <v>53500</v>
      </c>
      <c r="F1944" s="1">
        <f>IFERROR(__xludf.DUMMYFUNCTION("""COMPUTED_VALUE"""),2081.0)</f>
        <v>2081</v>
      </c>
    </row>
    <row r="1945">
      <c r="A1945" s="2">
        <f>IFERROR(__xludf.DUMMYFUNCTION("""COMPUTED_VALUE"""),43810.64583333333)</f>
        <v>43810.64583</v>
      </c>
      <c r="B1945" s="1">
        <f>IFERROR(__xludf.DUMMYFUNCTION("""COMPUTED_VALUE"""),53700.0)</f>
        <v>53700</v>
      </c>
      <c r="C1945" s="1">
        <f>IFERROR(__xludf.DUMMYFUNCTION("""COMPUTED_VALUE"""),53700.0)</f>
        <v>53700</v>
      </c>
      <c r="D1945" s="1">
        <f>IFERROR(__xludf.DUMMYFUNCTION("""COMPUTED_VALUE"""),53000.0)</f>
        <v>53000</v>
      </c>
      <c r="E1945" s="1">
        <f>IFERROR(__xludf.DUMMYFUNCTION("""COMPUTED_VALUE"""),53500.0)</f>
        <v>53500</v>
      </c>
      <c r="F1945" s="1">
        <f>IFERROR(__xludf.DUMMYFUNCTION("""COMPUTED_VALUE"""),9065.0)</f>
        <v>9065</v>
      </c>
    </row>
    <row r="1946">
      <c r="A1946" s="2">
        <f>IFERROR(__xludf.DUMMYFUNCTION("""COMPUTED_VALUE"""),43811.64583333333)</f>
        <v>43811.64583</v>
      </c>
      <c r="B1946" s="1">
        <f>IFERROR(__xludf.DUMMYFUNCTION("""COMPUTED_VALUE"""),53700.0)</f>
        <v>53700</v>
      </c>
      <c r="C1946" s="1">
        <f>IFERROR(__xludf.DUMMYFUNCTION("""COMPUTED_VALUE"""),54800.0)</f>
        <v>54800</v>
      </c>
      <c r="D1946" s="1">
        <f>IFERROR(__xludf.DUMMYFUNCTION("""COMPUTED_VALUE"""),53300.0)</f>
        <v>53300</v>
      </c>
      <c r="E1946" s="1">
        <f>IFERROR(__xludf.DUMMYFUNCTION("""COMPUTED_VALUE"""),54500.0)</f>
        <v>54500</v>
      </c>
      <c r="F1946" s="1">
        <f>IFERROR(__xludf.DUMMYFUNCTION("""COMPUTED_VALUE"""),8656.0)</f>
        <v>8656</v>
      </c>
    </row>
    <row r="1947">
      <c r="A1947" s="2">
        <f>IFERROR(__xludf.DUMMYFUNCTION("""COMPUTED_VALUE"""),43812.64583333333)</f>
        <v>43812.64583</v>
      </c>
      <c r="B1947" s="1">
        <f>IFERROR(__xludf.DUMMYFUNCTION("""COMPUTED_VALUE"""),54100.0)</f>
        <v>54100</v>
      </c>
      <c r="C1947" s="1">
        <f>IFERROR(__xludf.DUMMYFUNCTION("""COMPUTED_VALUE"""),55100.0)</f>
        <v>55100</v>
      </c>
      <c r="D1947" s="1">
        <f>IFERROR(__xludf.DUMMYFUNCTION("""COMPUTED_VALUE"""),54100.0)</f>
        <v>54100</v>
      </c>
      <c r="E1947" s="1">
        <f>IFERROR(__xludf.DUMMYFUNCTION("""COMPUTED_VALUE"""),54600.0)</f>
        <v>54600</v>
      </c>
      <c r="F1947" s="1">
        <f>IFERROR(__xludf.DUMMYFUNCTION("""COMPUTED_VALUE"""),5548.0)</f>
        <v>5548</v>
      </c>
    </row>
    <row r="1948">
      <c r="A1948" s="2">
        <f>IFERROR(__xludf.DUMMYFUNCTION("""COMPUTED_VALUE"""),43815.64583333333)</f>
        <v>43815.64583</v>
      </c>
      <c r="B1948" s="1">
        <f>IFERROR(__xludf.DUMMYFUNCTION("""COMPUTED_VALUE"""),54500.0)</f>
        <v>54500</v>
      </c>
      <c r="C1948" s="1">
        <f>IFERROR(__xludf.DUMMYFUNCTION("""COMPUTED_VALUE"""),55400.0)</f>
        <v>55400</v>
      </c>
      <c r="D1948" s="1">
        <f>IFERROR(__xludf.DUMMYFUNCTION("""COMPUTED_VALUE"""),54300.0)</f>
        <v>54300</v>
      </c>
      <c r="E1948" s="1">
        <f>IFERROR(__xludf.DUMMYFUNCTION("""COMPUTED_VALUE"""),55200.0)</f>
        <v>55200</v>
      </c>
      <c r="F1948" s="1">
        <f>IFERROR(__xludf.DUMMYFUNCTION("""COMPUTED_VALUE"""),8207.0)</f>
        <v>8207</v>
      </c>
    </row>
    <row r="1949">
      <c r="A1949" s="2">
        <f>IFERROR(__xludf.DUMMYFUNCTION("""COMPUTED_VALUE"""),43816.64583333333)</f>
        <v>43816.64583</v>
      </c>
      <c r="B1949" s="1">
        <f>IFERROR(__xludf.DUMMYFUNCTION("""COMPUTED_VALUE"""),55200.0)</f>
        <v>55200</v>
      </c>
      <c r="C1949" s="1">
        <f>IFERROR(__xludf.DUMMYFUNCTION("""COMPUTED_VALUE"""),55900.0)</f>
        <v>55900</v>
      </c>
      <c r="D1949" s="1">
        <f>IFERROR(__xludf.DUMMYFUNCTION("""COMPUTED_VALUE"""),55200.0)</f>
        <v>55200</v>
      </c>
      <c r="E1949" s="1">
        <f>IFERROR(__xludf.DUMMYFUNCTION("""COMPUTED_VALUE"""),55700.0)</f>
        <v>55700</v>
      </c>
      <c r="F1949" s="1">
        <f>IFERROR(__xludf.DUMMYFUNCTION("""COMPUTED_VALUE"""),9864.0)</f>
        <v>9864</v>
      </c>
    </row>
    <row r="1950">
      <c r="A1950" s="2">
        <f>IFERROR(__xludf.DUMMYFUNCTION("""COMPUTED_VALUE"""),43817.64583333333)</f>
        <v>43817.64583</v>
      </c>
      <c r="B1950" s="1">
        <f>IFERROR(__xludf.DUMMYFUNCTION("""COMPUTED_VALUE"""),55700.0)</f>
        <v>55700</v>
      </c>
      <c r="C1950" s="1">
        <f>IFERROR(__xludf.DUMMYFUNCTION("""COMPUTED_VALUE"""),56200.0)</f>
        <v>56200</v>
      </c>
      <c r="D1950" s="1">
        <f>IFERROR(__xludf.DUMMYFUNCTION("""COMPUTED_VALUE"""),55000.0)</f>
        <v>55000</v>
      </c>
      <c r="E1950" s="1">
        <f>IFERROR(__xludf.DUMMYFUNCTION("""COMPUTED_VALUE"""),55800.0)</f>
        <v>55800</v>
      </c>
      <c r="F1950" s="1">
        <f>IFERROR(__xludf.DUMMYFUNCTION("""COMPUTED_VALUE"""),6258.0)</f>
        <v>6258</v>
      </c>
    </row>
    <row r="1951">
      <c r="A1951" s="2">
        <f>IFERROR(__xludf.DUMMYFUNCTION("""COMPUTED_VALUE"""),43818.64583333333)</f>
        <v>43818.64583</v>
      </c>
      <c r="B1951" s="1">
        <f>IFERROR(__xludf.DUMMYFUNCTION("""COMPUTED_VALUE"""),55800.0)</f>
        <v>55800</v>
      </c>
      <c r="C1951" s="1">
        <f>IFERROR(__xludf.DUMMYFUNCTION("""COMPUTED_VALUE"""),55900.0)</f>
        <v>55900</v>
      </c>
      <c r="D1951" s="1">
        <f>IFERROR(__xludf.DUMMYFUNCTION("""COMPUTED_VALUE"""),55300.0)</f>
        <v>55300</v>
      </c>
      <c r="E1951" s="1">
        <f>IFERROR(__xludf.DUMMYFUNCTION("""COMPUTED_VALUE"""),55800.0)</f>
        <v>55800</v>
      </c>
      <c r="F1951" s="1">
        <f>IFERROR(__xludf.DUMMYFUNCTION("""COMPUTED_VALUE"""),4578.0)</f>
        <v>4578</v>
      </c>
    </row>
    <row r="1952">
      <c r="A1952" s="2">
        <f>IFERROR(__xludf.DUMMYFUNCTION("""COMPUTED_VALUE"""),43819.64583333333)</f>
        <v>43819.64583</v>
      </c>
      <c r="B1952" s="1">
        <f>IFERROR(__xludf.DUMMYFUNCTION("""COMPUTED_VALUE"""),55900.0)</f>
        <v>55900</v>
      </c>
      <c r="C1952" s="1">
        <f>IFERROR(__xludf.DUMMYFUNCTION("""COMPUTED_VALUE"""),56500.0)</f>
        <v>56500</v>
      </c>
      <c r="D1952" s="1">
        <f>IFERROR(__xludf.DUMMYFUNCTION("""COMPUTED_VALUE"""),55700.0)</f>
        <v>55700</v>
      </c>
      <c r="E1952" s="1">
        <f>IFERROR(__xludf.DUMMYFUNCTION("""COMPUTED_VALUE"""),56400.0)</f>
        <v>56400</v>
      </c>
      <c r="F1952" s="1">
        <f>IFERROR(__xludf.DUMMYFUNCTION("""COMPUTED_VALUE"""),9778.0)</f>
        <v>9778</v>
      </c>
    </row>
    <row r="1953">
      <c r="A1953" s="2">
        <f>IFERROR(__xludf.DUMMYFUNCTION("""COMPUTED_VALUE"""),43822.64583333333)</f>
        <v>43822.64583</v>
      </c>
      <c r="B1953" s="1">
        <f>IFERROR(__xludf.DUMMYFUNCTION("""COMPUTED_VALUE"""),56400.0)</f>
        <v>56400</v>
      </c>
      <c r="C1953" s="1">
        <f>IFERROR(__xludf.DUMMYFUNCTION("""COMPUTED_VALUE"""),56700.0)</f>
        <v>56700</v>
      </c>
      <c r="D1953" s="1">
        <f>IFERROR(__xludf.DUMMYFUNCTION("""COMPUTED_VALUE"""),55700.0)</f>
        <v>55700</v>
      </c>
      <c r="E1953" s="1">
        <f>IFERROR(__xludf.DUMMYFUNCTION("""COMPUTED_VALUE"""),56400.0)</f>
        <v>56400</v>
      </c>
      <c r="F1953" s="1">
        <f>IFERROR(__xludf.DUMMYFUNCTION("""COMPUTED_VALUE"""),15427.0)</f>
        <v>15427</v>
      </c>
    </row>
    <row r="1954">
      <c r="A1954" s="2">
        <f>IFERROR(__xludf.DUMMYFUNCTION("""COMPUTED_VALUE"""),43823.64583333333)</f>
        <v>43823.64583</v>
      </c>
      <c r="B1954" s="1">
        <f>IFERROR(__xludf.DUMMYFUNCTION("""COMPUTED_VALUE"""),55900.0)</f>
        <v>55900</v>
      </c>
      <c r="C1954" s="1">
        <f>IFERROR(__xludf.DUMMYFUNCTION("""COMPUTED_VALUE"""),56500.0)</f>
        <v>56500</v>
      </c>
      <c r="D1954" s="1">
        <f>IFERROR(__xludf.DUMMYFUNCTION("""COMPUTED_VALUE"""),55500.0)</f>
        <v>55500</v>
      </c>
      <c r="E1954" s="1">
        <f>IFERROR(__xludf.DUMMYFUNCTION("""COMPUTED_VALUE"""),55800.0)</f>
        <v>55800</v>
      </c>
      <c r="F1954" s="1">
        <f>IFERROR(__xludf.DUMMYFUNCTION("""COMPUTED_VALUE"""),11654.0)</f>
        <v>11654</v>
      </c>
    </row>
    <row r="1955">
      <c r="A1955" s="2">
        <f>IFERROR(__xludf.DUMMYFUNCTION("""COMPUTED_VALUE"""),43825.64583333333)</f>
        <v>43825.64583</v>
      </c>
      <c r="B1955" s="1">
        <f>IFERROR(__xludf.DUMMYFUNCTION("""COMPUTED_VALUE"""),55900.0)</f>
        <v>55900</v>
      </c>
      <c r="C1955" s="1">
        <f>IFERROR(__xludf.DUMMYFUNCTION("""COMPUTED_VALUE"""),56000.0)</f>
        <v>56000</v>
      </c>
      <c r="D1955" s="1">
        <f>IFERROR(__xludf.DUMMYFUNCTION("""COMPUTED_VALUE"""),54800.0)</f>
        <v>54800</v>
      </c>
      <c r="E1955" s="1">
        <f>IFERROR(__xludf.DUMMYFUNCTION("""COMPUTED_VALUE"""),55500.0)</f>
        <v>55500</v>
      </c>
      <c r="F1955" s="1">
        <f>IFERROR(__xludf.DUMMYFUNCTION("""COMPUTED_VALUE"""),11984.0)</f>
        <v>11984</v>
      </c>
    </row>
    <row r="1956">
      <c r="A1956" s="2">
        <f>IFERROR(__xludf.DUMMYFUNCTION("""COMPUTED_VALUE"""),43826.64583333333)</f>
        <v>43826.64583</v>
      </c>
      <c r="B1956" s="1">
        <f>IFERROR(__xludf.DUMMYFUNCTION("""COMPUTED_VALUE"""),55500.0)</f>
        <v>55500</v>
      </c>
      <c r="C1956" s="1">
        <f>IFERROR(__xludf.DUMMYFUNCTION("""COMPUTED_VALUE"""),55500.0)</f>
        <v>55500</v>
      </c>
      <c r="D1956" s="1">
        <f>IFERROR(__xludf.DUMMYFUNCTION("""COMPUTED_VALUE"""),54700.0)</f>
        <v>54700</v>
      </c>
      <c r="E1956" s="1">
        <f>IFERROR(__xludf.DUMMYFUNCTION("""COMPUTED_VALUE"""),54900.0)</f>
        <v>54900</v>
      </c>
      <c r="F1956" s="1">
        <f>IFERROR(__xludf.DUMMYFUNCTION("""COMPUTED_VALUE"""),6294.0)</f>
        <v>6294</v>
      </c>
    </row>
    <row r="1957">
      <c r="A1957" s="2">
        <f>IFERROR(__xludf.DUMMYFUNCTION("""COMPUTED_VALUE"""),43829.64583333333)</f>
        <v>43829.64583</v>
      </c>
      <c r="B1957" s="1">
        <f>IFERROR(__xludf.DUMMYFUNCTION("""COMPUTED_VALUE"""),55800.0)</f>
        <v>55800</v>
      </c>
      <c r="C1957" s="1">
        <f>IFERROR(__xludf.DUMMYFUNCTION("""COMPUTED_VALUE"""),55800.0)</f>
        <v>55800</v>
      </c>
      <c r="D1957" s="1">
        <f>IFERROR(__xludf.DUMMYFUNCTION("""COMPUTED_VALUE"""),54300.0)</f>
        <v>54300</v>
      </c>
      <c r="E1957" s="1">
        <f>IFERROR(__xludf.DUMMYFUNCTION("""COMPUTED_VALUE"""),54400.0)</f>
        <v>54400</v>
      </c>
      <c r="F1957" s="1">
        <f>IFERROR(__xludf.DUMMYFUNCTION("""COMPUTED_VALUE"""),5020.0)</f>
        <v>5020</v>
      </c>
    </row>
    <row r="1958">
      <c r="A1958" s="2">
        <f>IFERROR(__xludf.DUMMYFUNCTION("""COMPUTED_VALUE"""),43832.64583333333)</f>
        <v>43832.64583</v>
      </c>
      <c r="B1958" s="1">
        <f>IFERROR(__xludf.DUMMYFUNCTION("""COMPUTED_VALUE"""),54800.0)</f>
        <v>54800</v>
      </c>
      <c r="C1958" s="1">
        <f>IFERROR(__xludf.DUMMYFUNCTION("""COMPUTED_VALUE"""),54900.0)</f>
        <v>54900</v>
      </c>
      <c r="D1958" s="1">
        <f>IFERROR(__xludf.DUMMYFUNCTION("""COMPUTED_VALUE"""),53000.0)</f>
        <v>53000</v>
      </c>
      <c r="E1958" s="1">
        <f>IFERROR(__xludf.DUMMYFUNCTION("""COMPUTED_VALUE"""),53300.0)</f>
        <v>53300</v>
      </c>
      <c r="F1958" s="1">
        <f>IFERROR(__xludf.DUMMYFUNCTION("""COMPUTED_VALUE"""),9058.0)</f>
        <v>9058</v>
      </c>
    </row>
    <row r="1959">
      <c r="A1959" s="2">
        <f>IFERROR(__xludf.DUMMYFUNCTION("""COMPUTED_VALUE"""),43833.64583333333)</f>
        <v>43833.64583</v>
      </c>
      <c r="B1959" s="1">
        <f>IFERROR(__xludf.DUMMYFUNCTION("""COMPUTED_VALUE"""),53800.0)</f>
        <v>53800</v>
      </c>
      <c r="C1959" s="1">
        <f>IFERROR(__xludf.DUMMYFUNCTION("""COMPUTED_VALUE"""),54300.0)</f>
        <v>54300</v>
      </c>
      <c r="D1959" s="1">
        <f>IFERROR(__xludf.DUMMYFUNCTION("""COMPUTED_VALUE"""),53500.0)</f>
        <v>53500</v>
      </c>
      <c r="E1959" s="1">
        <f>IFERROR(__xludf.DUMMYFUNCTION("""COMPUTED_VALUE"""),53600.0)</f>
        <v>53600</v>
      </c>
      <c r="F1959" s="1">
        <f>IFERROR(__xludf.DUMMYFUNCTION("""COMPUTED_VALUE"""),4363.0)</f>
        <v>4363</v>
      </c>
    </row>
    <row r="1960">
      <c r="A1960" s="2">
        <f>IFERROR(__xludf.DUMMYFUNCTION("""COMPUTED_VALUE"""),43836.64583333333)</f>
        <v>43836.64583</v>
      </c>
      <c r="B1960" s="1">
        <f>IFERROR(__xludf.DUMMYFUNCTION("""COMPUTED_VALUE"""),55400.0)</f>
        <v>55400</v>
      </c>
      <c r="C1960" s="1">
        <f>IFERROR(__xludf.DUMMYFUNCTION("""COMPUTED_VALUE"""),56200.0)</f>
        <v>56200</v>
      </c>
      <c r="D1960" s="1">
        <f>IFERROR(__xludf.DUMMYFUNCTION("""COMPUTED_VALUE"""),53600.0)</f>
        <v>53600</v>
      </c>
      <c r="E1960" s="1">
        <f>IFERROR(__xludf.DUMMYFUNCTION("""COMPUTED_VALUE"""),54200.0)</f>
        <v>54200</v>
      </c>
      <c r="F1960" s="1">
        <f>IFERROR(__xludf.DUMMYFUNCTION("""COMPUTED_VALUE"""),26566.0)</f>
        <v>26566</v>
      </c>
    </row>
    <row r="1961">
      <c r="A1961" s="2">
        <f>IFERROR(__xludf.DUMMYFUNCTION("""COMPUTED_VALUE"""),43837.64583333333)</f>
        <v>43837.64583</v>
      </c>
      <c r="B1961" s="1">
        <f>IFERROR(__xludf.DUMMYFUNCTION("""COMPUTED_VALUE"""),53800.0)</f>
        <v>53800</v>
      </c>
      <c r="C1961" s="1">
        <f>IFERROR(__xludf.DUMMYFUNCTION("""COMPUTED_VALUE"""),54400.0)</f>
        <v>54400</v>
      </c>
      <c r="D1961" s="1">
        <f>IFERROR(__xludf.DUMMYFUNCTION("""COMPUTED_VALUE"""),53300.0)</f>
        <v>53300</v>
      </c>
      <c r="E1961" s="1">
        <f>IFERROR(__xludf.DUMMYFUNCTION("""COMPUTED_VALUE"""),53700.0)</f>
        <v>53700</v>
      </c>
      <c r="F1961" s="1">
        <f>IFERROR(__xludf.DUMMYFUNCTION("""COMPUTED_VALUE"""),5917.0)</f>
        <v>5917</v>
      </c>
    </row>
    <row r="1962">
      <c r="A1962" s="2">
        <f>IFERROR(__xludf.DUMMYFUNCTION("""COMPUTED_VALUE"""),43838.64583333333)</f>
        <v>43838.64583</v>
      </c>
      <c r="B1962" s="1">
        <f>IFERROR(__xludf.DUMMYFUNCTION("""COMPUTED_VALUE"""),53100.0)</f>
        <v>53100</v>
      </c>
      <c r="C1962" s="1">
        <f>IFERROR(__xludf.DUMMYFUNCTION("""COMPUTED_VALUE"""),53300.0)</f>
        <v>53300</v>
      </c>
      <c r="D1962" s="1">
        <f>IFERROR(__xludf.DUMMYFUNCTION("""COMPUTED_VALUE"""),51000.0)</f>
        <v>51000</v>
      </c>
      <c r="E1962" s="1">
        <f>IFERROR(__xludf.DUMMYFUNCTION("""COMPUTED_VALUE"""),51100.0)</f>
        <v>51100</v>
      </c>
      <c r="F1962" s="1">
        <f>IFERROR(__xludf.DUMMYFUNCTION("""COMPUTED_VALUE"""),25079.0)</f>
        <v>25079</v>
      </c>
    </row>
    <row r="1963">
      <c r="A1963" s="2">
        <f>IFERROR(__xludf.DUMMYFUNCTION("""COMPUTED_VALUE"""),43839.64583333333)</f>
        <v>43839.64583</v>
      </c>
      <c r="B1963" s="1">
        <f>IFERROR(__xludf.DUMMYFUNCTION("""COMPUTED_VALUE"""),52500.0)</f>
        <v>52500</v>
      </c>
      <c r="C1963" s="1">
        <f>IFERROR(__xludf.DUMMYFUNCTION("""COMPUTED_VALUE"""),52500.0)</f>
        <v>52500</v>
      </c>
      <c r="D1963" s="1">
        <f>IFERROR(__xludf.DUMMYFUNCTION("""COMPUTED_VALUE"""),50800.0)</f>
        <v>50800</v>
      </c>
      <c r="E1963" s="1">
        <f>IFERROR(__xludf.DUMMYFUNCTION("""COMPUTED_VALUE"""),51100.0)</f>
        <v>51100</v>
      </c>
      <c r="F1963" s="1">
        <f>IFERROR(__xludf.DUMMYFUNCTION("""COMPUTED_VALUE"""),10391.0)</f>
        <v>10391</v>
      </c>
    </row>
    <row r="1964">
      <c r="A1964" s="2">
        <f>IFERROR(__xludf.DUMMYFUNCTION("""COMPUTED_VALUE"""),43840.64583333333)</f>
        <v>43840.64583</v>
      </c>
      <c r="B1964" s="1">
        <f>IFERROR(__xludf.DUMMYFUNCTION("""COMPUTED_VALUE"""),51200.0)</f>
        <v>51200</v>
      </c>
      <c r="C1964" s="1">
        <f>IFERROR(__xludf.DUMMYFUNCTION("""COMPUTED_VALUE"""),51200.0)</f>
        <v>51200</v>
      </c>
      <c r="D1964" s="1">
        <f>IFERROR(__xludf.DUMMYFUNCTION("""COMPUTED_VALUE"""),50100.0)</f>
        <v>50100</v>
      </c>
      <c r="E1964" s="1">
        <f>IFERROR(__xludf.DUMMYFUNCTION("""COMPUTED_VALUE"""),50800.0)</f>
        <v>50800</v>
      </c>
      <c r="F1964" s="1">
        <f>IFERROR(__xludf.DUMMYFUNCTION("""COMPUTED_VALUE"""),24268.0)</f>
        <v>24268</v>
      </c>
    </row>
    <row r="1965">
      <c r="A1965" s="2">
        <f>IFERROR(__xludf.DUMMYFUNCTION("""COMPUTED_VALUE"""),43843.64583333333)</f>
        <v>43843.64583</v>
      </c>
      <c r="B1965" s="1">
        <f>IFERROR(__xludf.DUMMYFUNCTION("""COMPUTED_VALUE"""),51000.0)</f>
        <v>51000</v>
      </c>
      <c r="C1965" s="1">
        <f>IFERROR(__xludf.DUMMYFUNCTION("""COMPUTED_VALUE"""),51000.0)</f>
        <v>51000</v>
      </c>
      <c r="D1965" s="1">
        <f>IFERROR(__xludf.DUMMYFUNCTION("""COMPUTED_VALUE"""),49350.0)</f>
        <v>49350</v>
      </c>
      <c r="E1965" s="1">
        <f>IFERROR(__xludf.DUMMYFUNCTION("""COMPUTED_VALUE"""),49850.0)</f>
        <v>49850</v>
      </c>
      <c r="F1965" s="1">
        <f>IFERROR(__xludf.DUMMYFUNCTION("""COMPUTED_VALUE"""),19308.0)</f>
        <v>19308</v>
      </c>
    </row>
    <row r="1966">
      <c r="A1966" s="2">
        <f>IFERROR(__xludf.DUMMYFUNCTION("""COMPUTED_VALUE"""),43844.64583333333)</f>
        <v>43844.64583</v>
      </c>
      <c r="B1966" s="1">
        <f>IFERROR(__xludf.DUMMYFUNCTION("""COMPUTED_VALUE"""),49850.0)</f>
        <v>49850</v>
      </c>
      <c r="C1966" s="1">
        <f>IFERROR(__xludf.DUMMYFUNCTION("""COMPUTED_VALUE"""),50200.0)</f>
        <v>50200</v>
      </c>
      <c r="D1966" s="1">
        <f>IFERROR(__xludf.DUMMYFUNCTION("""COMPUTED_VALUE"""),49600.0)</f>
        <v>49600</v>
      </c>
      <c r="E1966" s="1">
        <f>IFERROR(__xludf.DUMMYFUNCTION("""COMPUTED_VALUE"""),50000.0)</f>
        <v>50000</v>
      </c>
      <c r="F1966" s="1">
        <f>IFERROR(__xludf.DUMMYFUNCTION("""COMPUTED_VALUE"""),13809.0)</f>
        <v>13809</v>
      </c>
    </row>
    <row r="1967">
      <c r="A1967" s="2">
        <f>IFERROR(__xludf.DUMMYFUNCTION("""COMPUTED_VALUE"""),43845.64583333333)</f>
        <v>43845.64583</v>
      </c>
      <c r="B1967" s="1">
        <f>IFERROR(__xludf.DUMMYFUNCTION("""COMPUTED_VALUE"""),49400.0)</f>
        <v>49400</v>
      </c>
      <c r="C1967" s="1">
        <f>IFERROR(__xludf.DUMMYFUNCTION("""COMPUTED_VALUE"""),49850.0)</f>
        <v>49850</v>
      </c>
      <c r="D1967" s="1">
        <f>IFERROR(__xludf.DUMMYFUNCTION("""COMPUTED_VALUE"""),49400.0)</f>
        <v>49400</v>
      </c>
      <c r="E1967" s="1">
        <f>IFERROR(__xludf.DUMMYFUNCTION("""COMPUTED_VALUE"""),49850.0)</f>
        <v>49850</v>
      </c>
      <c r="F1967" s="1">
        <f>IFERROR(__xludf.DUMMYFUNCTION("""COMPUTED_VALUE"""),5713.0)</f>
        <v>5713</v>
      </c>
    </row>
    <row r="1968">
      <c r="A1968" s="2">
        <f>IFERROR(__xludf.DUMMYFUNCTION("""COMPUTED_VALUE"""),43846.64583333333)</f>
        <v>43846.64583</v>
      </c>
      <c r="B1968" s="1">
        <f>IFERROR(__xludf.DUMMYFUNCTION("""COMPUTED_VALUE"""),49700.0)</f>
        <v>49700</v>
      </c>
      <c r="C1968" s="1">
        <f>IFERROR(__xludf.DUMMYFUNCTION("""COMPUTED_VALUE"""),49850.0)</f>
        <v>49850</v>
      </c>
      <c r="D1968" s="1">
        <f>IFERROR(__xludf.DUMMYFUNCTION("""COMPUTED_VALUE"""),49050.0)</f>
        <v>49050</v>
      </c>
      <c r="E1968" s="1">
        <f>IFERROR(__xludf.DUMMYFUNCTION("""COMPUTED_VALUE"""),49150.0)</f>
        <v>49150</v>
      </c>
      <c r="F1968" s="1">
        <f>IFERROR(__xludf.DUMMYFUNCTION("""COMPUTED_VALUE"""),11707.0)</f>
        <v>11707</v>
      </c>
    </row>
    <row r="1969">
      <c r="A1969" s="2">
        <f>IFERROR(__xludf.DUMMYFUNCTION("""COMPUTED_VALUE"""),43847.64583333333)</f>
        <v>43847.64583</v>
      </c>
      <c r="B1969" s="1">
        <f>IFERROR(__xludf.DUMMYFUNCTION("""COMPUTED_VALUE"""),49050.0)</f>
        <v>49050</v>
      </c>
      <c r="C1969" s="1">
        <f>IFERROR(__xludf.DUMMYFUNCTION("""COMPUTED_VALUE"""),49200.0)</f>
        <v>49200</v>
      </c>
      <c r="D1969" s="1">
        <f>IFERROR(__xludf.DUMMYFUNCTION("""COMPUTED_VALUE"""),48800.0)</f>
        <v>48800</v>
      </c>
      <c r="E1969" s="1">
        <f>IFERROR(__xludf.DUMMYFUNCTION("""COMPUTED_VALUE"""),49100.0)</f>
        <v>49100</v>
      </c>
      <c r="F1969" s="1">
        <f>IFERROR(__xludf.DUMMYFUNCTION("""COMPUTED_VALUE"""),9831.0)</f>
        <v>9831</v>
      </c>
    </row>
    <row r="1970">
      <c r="A1970" s="2">
        <f>IFERROR(__xludf.DUMMYFUNCTION("""COMPUTED_VALUE"""),43850.64583333333)</f>
        <v>43850.64583</v>
      </c>
      <c r="B1970" s="1">
        <f>IFERROR(__xludf.DUMMYFUNCTION("""COMPUTED_VALUE"""),48900.0)</f>
        <v>48900</v>
      </c>
      <c r="C1970" s="1">
        <f>IFERROR(__xludf.DUMMYFUNCTION("""COMPUTED_VALUE"""),49300.0)</f>
        <v>49300</v>
      </c>
      <c r="D1970" s="1">
        <f>IFERROR(__xludf.DUMMYFUNCTION("""COMPUTED_VALUE"""),48850.0)</f>
        <v>48850</v>
      </c>
      <c r="E1970" s="1">
        <f>IFERROR(__xludf.DUMMYFUNCTION("""COMPUTED_VALUE"""),48900.0)</f>
        <v>48900</v>
      </c>
      <c r="F1970" s="1">
        <f>IFERROR(__xludf.DUMMYFUNCTION("""COMPUTED_VALUE"""),11802.0)</f>
        <v>11802</v>
      </c>
    </row>
    <row r="1971">
      <c r="A1971" s="2">
        <f>IFERROR(__xludf.DUMMYFUNCTION("""COMPUTED_VALUE"""),43851.64583333333)</f>
        <v>43851.64583</v>
      </c>
      <c r="B1971" s="1">
        <f>IFERROR(__xludf.DUMMYFUNCTION("""COMPUTED_VALUE"""),48600.0)</f>
        <v>48600</v>
      </c>
      <c r="C1971" s="1">
        <f>IFERROR(__xludf.DUMMYFUNCTION("""COMPUTED_VALUE"""),49050.0)</f>
        <v>49050</v>
      </c>
      <c r="D1971" s="1">
        <f>IFERROR(__xludf.DUMMYFUNCTION("""COMPUTED_VALUE"""),48600.0)</f>
        <v>48600</v>
      </c>
      <c r="E1971" s="1">
        <f>IFERROR(__xludf.DUMMYFUNCTION("""COMPUTED_VALUE"""),48700.0)</f>
        <v>48700</v>
      </c>
      <c r="F1971" s="1">
        <f>IFERROR(__xludf.DUMMYFUNCTION("""COMPUTED_VALUE"""),10388.0)</f>
        <v>10388</v>
      </c>
    </row>
    <row r="1972">
      <c r="A1972" s="2">
        <f>IFERROR(__xludf.DUMMYFUNCTION("""COMPUTED_VALUE"""),43852.64583333333)</f>
        <v>43852.64583</v>
      </c>
      <c r="B1972" s="1">
        <f>IFERROR(__xludf.DUMMYFUNCTION("""COMPUTED_VALUE"""),48500.0)</f>
        <v>48500</v>
      </c>
      <c r="C1972" s="1">
        <f>IFERROR(__xludf.DUMMYFUNCTION("""COMPUTED_VALUE"""),49000.0)</f>
        <v>49000</v>
      </c>
      <c r="D1972" s="1">
        <f>IFERROR(__xludf.DUMMYFUNCTION("""COMPUTED_VALUE"""),48350.0)</f>
        <v>48350</v>
      </c>
      <c r="E1972" s="1">
        <f>IFERROR(__xludf.DUMMYFUNCTION("""COMPUTED_VALUE"""),48800.0)</f>
        <v>48800</v>
      </c>
      <c r="F1972" s="1">
        <f>IFERROR(__xludf.DUMMYFUNCTION("""COMPUTED_VALUE"""),7647.0)</f>
        <v>7647</v>
      </c>
    </row>
    <row r="1973">
      <c r="A1973" s="2">
        <f>IFERROR(__xludf.DUMMYFUNCTION("""COMPUTED_VALUE"""),43853.64583333333)</f>
        <v>43853.64583</v>
      </c>
      <c r="B1973" s="1">
        <f>IFERROR(__xludf.DUMMYFUNCTION("""COMPUTED_VALUE"""),48550.0)</f>
        <v>48550</v>
      </c>
      <c r="C1973" s="1">
        <f>IFERROR(__xludf.DUMMYFUNCTION("""COMPUTED_VALUE"""),49250.0)</f>
        <v>49250</v>
      </c>
      <c r="D1973" s="1">
        <f>IFERROR(__xludf.DUMMYFUNCTION("""COMPUTED_VALUE"""),47650.0)</f>
        <v>47650</v>
      </c>
      <c r="E1973" s="1">
        <f>IFERROR(__xludf.DUMMYFUNCTION("""COMPUTED_VALUE"""),48050.0)</f>
        <v>48050</v>
      </c>
      <c r="F1973" s="1">
        <f>IFERROR(__xludf.DUMMYFUNCTION("""COMPUTED_VALUE"""),17465.0)</f>
        <v>17465</v>
      </c>
    </row>
    <row r="1974">
      <c r="A1974" s="2">
        <f>IFERROR(__xludf.DUMMYFUNCTION("""COMPUTED_VALUE"""),43858.64583333333)</f>
        <v>43858.64583</v>
      </c>
      <c r="B1974" s="1">
        <f>IFERROR(__xludf.DUMMYFUNCTION("""COMPUTED_VALUE"""),46150.0)</f>
        <v>46150</v>
      </c>
      <c r="C1974" s="1">
        <f>IFERROR(__xludf.DUMMYFUNCTION("""COMPUTED_VALUE"""),46800.0)</f>
        <v>46800</v>
      </c>
      <c r="D1974" s="1">
        <f>IFERROR(__xludf.DUMMYFUNCTION("""COMPUTED_VALUE"""),44500.0)</f>
        <v>44500</v>
      </c>
      <c r="E1974" s="1">
        <f>IFERROR(__xludf.DUMMYFUNCTION("""COMPUTED_VALUE"""),45000.0)</f>
        <v>45000</v>
      </c>
      <c r="F1974" s="1">
        <f>IFERROR(__xludf.DUMMYFUNCTION("""COMPUTED_VALUE"""),33852.0)</f>
        <v>33852</v>
      </c>
    </row>
    <row r="1975">
      <c r="A1975" s="2">
        <f>IFERROR(__xludf.DUMMYFUNCTION("""COMPUTED_VALUE"""),43859.64583333333)</f>
        <v>43859.64583</v>
      </c>
      <c r="B1975" s="1">
        <f>IFERROR(__xludf.DUMMYFUNCTION("""COMPUTED_VALUE"""),45600.0)</f>
        <v>45600</v>
      </c>
      <c r="C1975" s="1">
        <f>IFERROR(__xludf.DUMMYFUNCTION("""COMPUTED_VALUE"""),45600.0)</f>
        <v>45600</v>
      </c>
      <c r="D1975" s="1">
        <f>IFERROR(__xludf.DUMMYFUNCTION("""COMPUTED_VALUE"""),45100.0)</f>
        <v>45100</v>
      </c>
      <c r="E1975" s="1">
        <f>IFERROR(__xludf.DUMMYFUNCTION("""COMPUTED_VALUE"""),45250.0)</f>
        <v>45250</v>
      </c>
      <c r="F1975" s="1">
        <f>IFERROR(__xludf.DUMMYFUNCTION("""COMPUTED_VALUE"""),5747.0)</f>
        <v>5747</v>
      </c>
    </row>
    <row r="1976">
      <c r="A1976" s="2">
        <f>IFERROR(__xludf.DUMMYFUNCTION("""COMPUTED_VALUE"""),43860.64583333333)</f>
        <v>43860.64583</v>
      </c>
      <c r="B1976" s="1">
        <f>IFERROR(__xludf.DUMMYFUNCTION("""COMPUTED_VALUE"""),45100.0)</f>
        <v>45100</v>
      </c>
      <c r="C1976" s="1">
        <f>IFERROR(__xludf.DUMMYFUNCTION("""COMPUTED_VALUE"""),45650.0)</f>
        <v>45650</v>
      </c>
      <c r="D1976" s="1">
        <f>IFERROR(__xludf.DUMMYFUNCTION("""COMPUTED_VALUE"""),44500.0)</f>
        <v>44500</v>
      </c>
      <c r="E1976" s="1">
        <f>IFERROR(__xludf.DUMMYFUNCTION("""COMPUTED_VALUE"""),45500.0)</f>
        <v>45500</v>
      </c>
      <c r="F1976" s="1">
        <f>IFERROR(__xludf.DUMMYFUNCTION("""COMPUTED_VALUE"""),9184.0)</f>
        <v>9184</v>
      </c>
    </row>
    <row r="1977">
      <c r="A1977" s="2">
        <f>IFERROR(__xludf.DUMMYFUNCTION("""COMPUTED_VALUE"""),43861.64583333333)</f>
        <v>43861.64583</v>
      </c>
      <c r="B1977" s="1">
        <f>IFERROR(__xludf.DUMMYFUNCTION("""COMPUTED_VALUE"""),45450.0)</f>
        <v>45450</v>
      </c>
      <c r="C1977" s="1">
        <f>IFERROR(__xludf.DUMMYFUNCTION("""COMPUTED_VALUE"""),45450.0)</f>
        <v>45450</v>
      </c>
      <c r="D1977" s="1">
        <f>IFERROR(__xludf.DUMMYFUNCTION("""COMPUTED_VALUE"""),44800.0)</f>
        <v>44800</v>
      </c>
      <c r="E1977" s="1">
        <f>IFERROR(__xludf.DUMMYFUNCTION("""COMPUTED_VALUE"""),45300.0)</f>
        <v>45300</v>
      </c>
      <c r="F1977" s="1">
        <f>IFERROR(__xludf.DUMMYFUNCTION("""COMPUTED_VALUE"""),5826.0)</f>
        <v>5826</v>
      </c>
    </row>
    <row r="1978">
      <c r="A1978" s="2">
        <f>IFERROR(__xludf.DUMMYFUNCTION("""COMPUTED_VALUE"""),43864.64583333333)</f>
        <v>43864.64583</v>
      </c>
      <c r="B1978" s="1">
        <f>IFERROR(__xludf.DUMMYFUNCTION("""COMPUTED_VALUE"""),44850.0)</f>
        <v>44850</v>
      </c>
      <c r="C1978" s="1">
        <f>IFERROR(__xludf.DUMMYFUNCTION("""COMPUTED_VALUE"""),44850.0)</f>
        <v>44850</v>
      </c>
      <c r="D1978" s="1">
        <f>IFERROR(__xludf.DUMMYFUNCTION("""COMPUTED_VALUE"""),43550.0)</f>
        <v>43550</v>
      </c>
      <c r="E1978" s="1">
        <f>IFERROR(__xludf.DUMMYFUNCTION("""COMPUTED_VALUE"""),43900.0)</f>
        <v>43900</v>
      </c>
      <c r="F1978" s="1">
        <f>IFERROR(__xludf.DUMMYFUNCTION("""COMPUTED_VALUE"""),9446.0)</f>
        <v>9446</v>
      </c>
    </row>
    <row r="1979">
      <c r="A1979" s="2">
        <f>IFERROR(__xludf.DUMMYFUNCTION("""COMPUTED_VALUE"""),43865.64583333333)</f>
        <v>43865.64583</v>
      </c>
      <c r="B1979" s="1">
        <f>IFERROR(__xludf.DUMMYFUNCTION("""COMPUTED_VALUE"""),44050.0)</f>
        <v>44050</v>
      </c>
      <c r="C1979" s="1">
        <f>IFERROR(__xludf.DUMMYFUNCTION("""COMPUTED_VALUE"""),44450.0)</f>
        <v>44450</v>
      </c>
      <c r="D1979" s="1">
        <f>IFERROR(__xludf.DUMMYFUNCTION("""COMPUTED_VALUE"""),43850.0)</f>
        <v>43850</v>
      </c>
      <c r="E1979" s="1">
        <f>IFERROR(__xludf.DUMMYFUNCTION("""COMPUTED_VALUE"""),44000.0)</f>
        <v>44000</v>
      </c>
      <c r="F1979" s="1">
        <f>IFERROR(__xludf.DUMMYFUNCTION("""COMPUTED_VALUE"""),7577.0)</f>
        <v>7577</v>
      </c>
    </row>
    <row r="1980">
      <c r="A1980" s="2">
        <f>IFERROR(__xludf.DUMMYFUNCTION("""COMPUTED_VALUE"""),43866.64583333333)</f>
        <v>43866.64583</v>
      </c>
      <c r="B1980" s="1">
        <f>IFERROR(__xludf.DUMMYFUNCTION("""COMPUTED_VALUE"""),44000.0)</f>
        <v>44000</v>
      </c>
      <c r="C1980" s="1">
        <f>IFERROR(__xludf.DUMMYFUNCTION("""COMPUTED_VALUE"""),44800.0)</f>
        <v>44800</v>
      </c>
      <c r="D1980" s="1">
        <f>IFERROR(__xludf.DUMMYFUNCTION("""COMPUTED_VALUE"""),43700.0)</f>
        <v>43700</v>
      </c>
      <c r="E1980" s="1">
        <f>IFERROR(__xludf.DUMMYFUNCTION("""COMPUTED_VALUE"""),44050.0)</f>
        <v>44050</v>
      </c>
      <c r="F1980" s="1">
        <f>IFERROR(__xludf.DUMMYFUNCTION("""COMPUTED_VALUE"""),16174.0)</f>
        <v>16174</v>
      </c>
    </row>
    <row r="1981">
      <c r="A1981" s="2">
        <f>IFERROR(__xludf.DUMMYFUNCTION("""COMPUTED_VALUE"""),43867.64583333333)</f>
        <v>43867.64583</v>
      </c>
      <c r="B1981" s="1">
        <f>IFERROR(__xludf.DUMMYFUNCTION("""COMPUTED_VALUE"""),44100.0)</f>
        <v>44100</v>
      </c>
      <c r="C1981" s="1">
        <f>IFERROR(__xludf.DUMMYFUNCTION("""COMPUTED_VALUE"""),45200.0)</f>
        <v>45200</v>
      </c>
      <c r="D1981" s="1">
        <f>IFERROR(__xludf.DUMMYFUNCTION("""COMPUTED_VALUE"""),44100.0)</f>
        <v>44100</v>
      </c>
      <c r="E1981" s="1">
        <f>IFERROR(__xludf.DUMMYFUNCTION("""COMPUTED_VALUE"""),45200.0)</f>
        <v>45200</v>
      </c>
      <c r="F1981" s="1">
        <f>IFERROR(__xludf.DUMMYFUNCTION("""COMPUTED_VALUE"""),9601.0)</f>
        <v>9601</v>
      </c>
    </row>
    <row r="1982">
      <c r="A1982" s="2">
        <f>IFERROR(__xludf.DUMMYFUNCTION("""COMPUTED_VALUE"""),43868.64583333333)</f>
        <v>43868.64583</v>
      </c>
      <c r="B1982" s="1">
        <f>IFERROR(__xludf.DUMMYFUNCTION("""COMPUTED_VALUE"""),45450.0)</f>
        <v>45450</v>
      </c>
      <c r="C1982" s="1">
        <f>IFERROR(__xludf.DUMMYFUNCTION("""COMPUTED_VALUE"""),45450.0)</f>
        <v>45450</v>
      </c>
      <c r="D1982" s="1">
        <f>IFERROR(__xludf.DUMMYFUNCTION("""COMPUTED_VALUE"""),44400.0)</f>
        <v>44400</v>
      </c>
      <c r="E1982" s="1">
        <f>IFERROR(__xludf.DUMMYFUNCTION("""COMPUTED_VALUE"""),45150.0)</f>
        <v>45150</v>
      </c>
      <c r="F1982" s="1">
        <f>IFERROR(__xludf.DUMMYFUNCTION("""COMPUTED_VALUE"""),3979.0)</f>
        <v>3979</v>
      </c>
    </row>
    <row r="1983">
      <c r="A1983" s="2">
        <f>IFERROR(__xludf.DUMMYFUNCTION("""COMPUTED_VALUE"""),43871.64583333333)</f>
        <v>43871.64583</v>
      </c>
      <c r="B1983" s="1">
        <f>IFERROR(__xludf.DUMMYFUNCTION("""COMPUTED_VALUE"""),44900.0)</f>
        <v>44900</v>
      </c>
      <c r="C1983" s="1">
        <f>IFERROR(__xludf.DUMMYFUNCTION("""COMPUTED_VALUE"""),45150.0)</f>
        <v>45150</v>
      </c>
      <c r="D1983" s="1">
        <f>IFERROR(__xludf.DUMMYFUNCTION("""COMPUTED_VALUE"""),44600.0)</f>
        <v>44600</v>
      </c>
      <c r="E1983" s="1">
        <f>IFERROR(__xludf.DUMMYFUNCTION("""COMPUTED_VALUE"""),45000.0)</f>
        <v>45000</v>
      </c>
      <c r="F1983" s="1">
        <f>IFERROR(__xludf.DUMMYFUNCTION("""COMPUTED_VALUE"""),7495.0)</f>
        <v>7495</v>
      </c>
    </row>
    <row r="1984">
      <c r="A1984" s="2">
        <f>IFERROR(__xludf.DUMMYFUNCTION("""COMPUTED_VALUE"""),43872.64583333333)</f>
        <v>43872.64583</v>
      </c>
      <c r="B1984" s="1">
        <f>IFERROR(__xludf.DUMMYFUNCTION("""COMPUTED_VALUE"""),45450.0)</f>
        <v>45450</v>
      </c>
      <c r="C1984" s="1">
        <f>IFERROR(__xludf.DUMMYFUNCTION("""COMPUTED_VALUE"""),45700.0)</f>
        <v>45700</v>
      </c>
      <c r="D1984" s="1">
        <f>IFERROR(__xludf.DUMMYFUNCTION("""COMPUTED_VALUE"""),45000.0)</f>
        <v>45000</v>
      </c>
      <c r="E1984" s="1">
        <f>IFERROR(__xludf.DUMMYFUNCTION("""COMPUTED_VALUE"""),45400.0)</f>
        <v>45400</v>
      </c>
      <c r="F1984" s="1">
        <f>IFERROR(__xludf.DUMMYFUNCTION("""COMPUTED_VALUE"""),6039.0)</f>
        <v>6039</v>
      </c>
    </row>
    <row r="1985">
      <c r="A1985" s="2">
        <f>IFERROR(__xludf.DUMMYFUNCTION("""COMPUTED_VALUE"""),43873.64583333333)</f>
        <v>43873.64583</v>
      </c>
      <c r="B1985" s="1">
        <f>IFERROR(__xludf.DUMMYFUNCTION("""COMPUTED_VALUE"""),45300.0)</f>
        <v>45300</v>
      </c>
      <c r="C1985" s="1">
        <f>IFERROR(__xludf.DUMMYFUNCTION("""COMPUTED_VALUE"""),45500.0)</f>
        <v>45500</v>
      </c>
      <c r="D1985" s="1">
        <f>IFERROR(__xludf.DUMMYFUNCTION("""COMPUTED_VALUE"""),44800.0)</f>
        <v>44800</v>
      </c>
      <c r="E1985" s="1">
        <f>IFERROR(__xludf.DUMMYFUNCTION("""COMPUTED_VALUE"""),45100.0)</f>
        <v>45100</v>
      </c>
      <c r="F1985" s="1">
        <f>IFERROR(__xludf.DUMMYFUNCTION("""COMPUTED_VALUE"""),6751.0)</f>
        <v>6751</v>
      </c>
    </row>
    <row r="1986">
      <c r="A1986" s="2">
        <f>IFERROR(__xludf.DUMMYFUNCTION("""COMPUTED_VALUE"""),43874.64583333333)</f>
        <v>43874.64583</v>
      </c>
      <c r="B1986" s="1">
        <f>IFERROR(__xludf.DUMMYFUNCTION("""COMPUTED_VALUE"""),45100.0)</f>
        <v>45100</v>
      </c>
      <c r="C1986" s="1">
        <f>IFERROR(__xludf.DUMMYFUNCTION("""COMPUTED_VALUE"""),46000.0)</f>
        <v>46000</v>
      </c>
      <c r="D1986" s="1">
        <f>IFERROR(__xludf.DUMMYFUNCTION("""COMPUTED_VALUE"""),45100.0)</f>
        <v>45100</v>
      </c>
      <c r="E1986" s="1">
        <f>IFERROR(__xludf.DUMMYFUNCTION("""COMPUTED_VALUE"""),45650.0)</f>
        <v>45650</v>
      </c>
      <c r="F1986" s="1">
        <f>IFERROR(__xludf.DUMMYFUNCTION("""COMPUTED_VALUE"""),7214.0)</f>
        <v>7214</v>
      </c>
    </row>
    <row r="1987">
      <c r="A1987" s="2">
        <f>IFERROR(__xludf.DUMMYFUNCTION("""COMPUTED_VALUE"""),43875.64583333333)</f>
        <v>43875.64583</v>
      </c>
      <c r="B1987" s="1">
        <f>IFERROR(__xludf.DUMMYFUNCTION("""COMPUTED_VALUE"""),45650.0)</f>
        <v>45650</v>
      </c>
      <c r="C1987" s="1">
        <f>IFERROR(__xludf.DUMMYFUNCTION("""COMPUTED_VALUE"""),45700.0)</f>
        <v>45700</v>
      </c>
      <c r="D1987" s="1">
        <f>IFERROR(__xludf.DUMMYFUNCTION("""COMPUTED_VALUE"""),45300.0)</f>
        <v>45300</v>
      </c>
      <c r="E1987" s="1">
        <f>IFERROR(__xludf.DUMMYFUNCTION("""COMPUTED_VALUE"""),45500.0)</f>
        <v>45500</v>
      </c>
      <c r="F1987" s="1">
        <f>IFERROR(__xludf.DUMMYFUNCTION("""COMPUTED_VALUE"""),3847.0)</f>
        <v>3847</v>
      </c>
    </row>
    <row r="1988">
      <c r="A1988" s="2">
        <f>IFERROR(__xludf.DUMMYFUNCTION("""COMPUTED_VALUE"""),43878.64583333333)</f>
        <v>43878.64583</v>
      </c>
      <c r="B1988" s="1">
        <f>IFERROR(__xludf.DUMMYFUNCTION("""COMPUTED_VALUE"""),45500.0)</f>
        <v>45500</v>
      </c>
      <c r="C1988" s="1">
        <f>IFERROR(__xludf.DUMMYFUNCTION("""COMPUTED_VALUE"""),45750.0)</f>
        <v>45750</v>
      </c>
      <c r="D1988" s="1">
        <f>IFERROR(__xludf.DUMMYFUNCTION("""COMPUTED_VALUE"""),45050.0)</f>
        <v>45050</v>
      </c>
      <c r="E1988" s="1">
        <f>IFERROR(__xludf.DUMMYFUNCTION("""COMPUTED_VALUE"""),45650.0)</f>
        <v>45650</v>
      </c>
      <c r="F1988" s="1">
        <f>IFERROR(__xludf.DUMMYFUNCTION("""COMPUTED_VALUE"""),7326.0)</f>
        <v>7326</v>
      </c>
    </row>
    <row r="1989">
      <c r="A1989" s="2">
        <f>IFERROR(__xludf.DUMMYFUNCTION("""COMPUTED_VALUE"""),43879.64583333333)</f>
        <v>43879.64583</v>
      </c>
      <c r="B1989" s="1">
        <f>IFERROR(__xludf.DUMMYFUNCTION("""COMPUTED_VALUE"""),45600.0)</f>
        <v>45600</v>
      </c>
      <c r="C1989" s="1">
        <f>IFERROR(__xludf.DUMMYFUNCTION("""COMPUTED_VALUE"""),46100.0)</f>
        <v>46100</v>
      </c>
      <c r="D1989" s="1">
        <f>IFERROR(__xludf.DUMMYFUNCTION("""COMPUTED_VALUE"""),45300.0)</f>
        <v>45300</v>
      </c>
      <c r="E1989" s="1">
        <f>IFERROR(__xludf.DUMMYFUNCTION("""COMPUTED_VALUE"""),45550.0)</f>
        <v>45550</v>
      </c>
      <c r="F1989" s="1">
        <f>IFERROR(__xludf.DUMMYFUNCTION("""COMPUTED_VALUE"""),5581.0)</f>
        <v>5581</v>
      </c>
    </row>
    <row r="1990">
      <c r="A1990" s="2">
        <f>IFERROR(__xludf.DUMMYFUNCTION("""COMPUTED_VALUE"""),43880.64583333333)</f>
        <v>43880.64583</v>
      </c>
      <c r="B1990" s="1">
        <f>IFERROR(__xludf.DUMMYFUNCTION("""COMPUTED_VALUE"""),45500.0)</f>
        <v>45500</v>
      </c>
      <c r="C1990" s="1">
        <f>IFERROR(__xludf.DUMMYFUNCTION("""COMPUTED_VALUE"""),45500.0)</f>
        <v>45500</v>
      </c>
      <c r="D1990" s="1">
        <f>IFERROR(__xludf.DUMMYFUNCTION("""COMPUTED_VALUE"""),44800.0)</f>
        <v>44800</v>
      </c>
      <c r="E1990" s="1">
        <f>IFERROR(__xludf.DUMMYFUNCTION("""COMPUTED_VALUE"""),44850.0)</f>
        <v>44850</v>
      </c>
      <c r="F1990" s="1">
        <f>IFERROR(__xludf.DUMMYFUNCTION("""COMPUTED_VALUE"""),3551.0)</f>
        <v>3551</v>
      </c>
    </row>
    <row r="1991">
      <c r="A1991" s="2">
        <f>IFERROR(__xludf.DUMMYFUNCTION("""COMPUTED_VALUE"""),43881.64583333333)</f>
        <v>43881.64583</v>
      </c>
      <c r="B1991" s="1">
        <f>IFERROR(__xludf.DUMMYFUNCTION("""COMPUTED_VALUE"""),44900.0)</f>
        <v>44900</v>
      </c>
      <c r="C1991" s="1">
        <f>IFERROR(__xludf.DUMMYFUNCTION("""COMPUTED_VALUE"""),45450.0)</f>
        <v>45450</v>
      </c>
      <c r="D1991" s="1">
        <f>IFERROR(__xludf.DUMMYFUNCTION("""COMPUTED_VALUE"""),44350.0)</f>
        <v>44350</v>
      </c>
      <c r="E1991" s="1">
        <f>IFERROR(__xludf.DUMMYFUNCTION("""COMPUTED_VALUE"""),44450.0)</f>
        <v>44450</v>
      </c>
      <c r="F1991" s="1">
        <f>IFERROR(__xludf.DUMMYFUNCTION("""COMPUTED_VALUE"""),3455.0)</f>
        <v>3455</v>
      </c>
    </row>
    <row r="1992">
      <c r="A1992" s="2">
        <f>IFERROR(__xludf.DUMMYFUNCTION("""COMPUTED_VALUE"""),43882.64583333333)</f>
        <v>43882.64583</v>
      </c>
      <c r="B1992" s="1">
        <f>IFERROR(__xludf.DUMMYFUNCTION("""COMPUTED_VALUE"""),44000.0)</f>
        <v>44000</v>
      </c>
      <c r="C1992" s="1">
        <f>IFERROR(__xludf.DUMMYFUNCTION("""COMPUTED_VALUE"""),44400.0)</f>
        <v>44400</v>
      </c>
      <c r="D1992" s="1">
        <f>IFERROR(__xludf.DUMMYFUNCTION("""COMPUTED_VALUE"""),43200.0)</f>
        <v>43200</v>
      </c>
      <c r="E1992" s="1">
        <f>IFERROR(__xludf.DUMMYFUNCTION("""COMPUTED_VALUE"""),43300.0)</f>
        <v>43300</v>
      </c>
      <c r="F1992" s="1">
        <f>IFERROR(__xludf.DUMMYFUNCTION("""COMPUTED_VALUE"""),7624.0)</f>
        <v>7624</v>
      </c>
    </row>
    <row r="1993">
      <c r="A1993" s="2">
        <f>IFERROR(__xludf.DUMMYFUNCTION("""COMPUTED_VALUE"""),43885.64583333333)</f>
        <v>43885.64583</v>
      </c>
      <c r="B1993" s="1">
        <f>IFERROR(__xludf.DUMMYFUNCTION("""COMPUTED_VALUE"""),41550.0)</f>
        <v>41550</v>
      </c>
      <c r="C1993" s="1">
        <f>IFERROR(__xludf.DUMMYFUNCTION("""COMPUTED_VALUE"""),42350.0)</f>
        <v>42350</v>
      </c>
      <c r="D1993" s="1">
        <f>IFERROR(__xludf.DUMMYFUNCTION("""COMPUTED_VALUE"""),41000.0)</f>
        <v>41000</v>
      </c>
      <c r="E1993" s="1">
        <f>IFERROR(__xludf.DUMMYFUNCTION("""COMPUTED_VALUE"""),41150.0)</f>
        <v>41150</v>
      </c>
      <c r="F1993" s="1">
        <f>IFERROR(__xludf.DUMMYFUNCTION("""COMPUTED_VALUE"""),20116.0)</f>
        <v>20116</v>
      </c>
    </row>
    <row r="1994">
      <c r="A1994" s="2">
        <f>IFERROR(__xludf.DUMMYFUNCTION("""COMPUTED_VALUE"""),43886.64583333333)</f>
        <v>43886.64583</v>
      </c>
      <c r="B1994" s="1">
        <f>IFERROR(__xludf.DUMMYFUNCTION("""COMPUTED_VALUE"""),40600.0)</f>
        <v>40600</v>
      </c>
      <c r="C1994" s="1">
        <f>IFERROR(__xludf.DUMMYFUNCTION("""COMPUTED_VALUE"""),41550.0)</f>
        <v>41550</v>
      </c>
      <c r="D1994" s="1">
        <f>IFERROR(__xludf.DUMMYFUNCTION("""COMPUTED_VALUE"""),40150.0)</f>
        <v>40150</v>
      </c>
      <c r="E1994" s="1">
        <f>IFERROR(__xludf.DUMMYFUNCTION("""COMPUTED_VALUE"""),41500.0)</f>
        <v>41500</v>
      </c>
      <c r="F1994" s="1">
        <f>IFERROR(__xludf.DUMMYFUNCTION("""COMPUTED_VALUE"""),10548.0)</f>
        <v>10548</v>
      </c>
    </row>
    <row r="1995">
      <c r="A1995" s="2">
        <f>IFERROR(__xludf.DUMMYFUNCTION("""COMPUTED_VALUE"""),43887.64583333333)</f>
        <v>43887.64583</v>
      </c>
      <c r="B1995" s="1">
        <f>IFERROR(__xludf.DUMMYFUNCTION("""COMPUTED_VALUE"""),40400.0)</f>
        <v>40400</v>
      </c>
      <c r="C1995" s="1">
        <f>IFERROR(__xludf.DUMMYFUNCTION("""COMPUTED_VALUE"""),41800.0)</f>
        <v>41800</v>
      </c>
      <c r="D1995" s="1">
        <f>IFERROR(__xludf.DUMMYFUNCTION("""COMPUTED_VALUE"""),40400.0)</f>
        <v>40400</v>
      </c>
      <c r="E1995" s="1">
        <f>IFERROR(__xludf.DUMMYFUNCTION("""COMPUTED_VALUE"""),40650.0)</f>
        <v>40650</v>
      </c>
      <c r="F1995" s="1">
        <f>IFERROR(__xludf.DUMMYFUNCTION("""COMPUTED_VALUE"""),9520.0)</f>
        <v>9520</v>
      </c>
    </row>
    <row r="1996">
      <c r="A1996" s="2">
        <f>IFERROR(__xludf.DUMMYFUNCTION("""COMPUTED_VALUE"""),43888.64583333333)</f>
        <v>43888.64583</v>
      </c>
      <c r="B1996" s="1">
        <f>IFERROR(__xludf.DUMMYFUNCTION("""COMPUTED_VALUE"""),40650.0)</f>
        <v>40650</v>
      </c>
      <c r="C1996" s="1">
        <f>IFERROR(__xludf.DUMMYFUNCTION("""COMPUTED_VALUE"""),40900.0)</f>
        <v>40900</v>
      </c>
      <c r="D1996" s="1">
        <f>IFERROR(__xludf.DUMMYFUNCTION("""COMPUTED_VALUE"""),39500.0)</f>
        <v>39500</v>
      </c>
      <c r="E1996" s="1">
        <f>IFERROR(__xludf.DUMMYFUNCTION("""COMPUTED_VALUE"""),39750.0)</f>
        <v>39750</v>
      </c>
      <c r="F1996" s="1">
        <f>IFERROR(__xludf.DUMMYFUNCTION("""COMPUTED_VALUE"""),15352.0)</f>
        <v>15352</v>
      </c>
    </row>
    <row r="1997">
      <c r="A1997" s="2">
        <f>IFERROR(__xludf.DUMMYFUNCTION("""COMPUTED_VALUE"""),43889.64583333333)</f>
        <v>43889.64583</v>
      </c>
      <c r="B1997" s="1">
        <f>IFERROR(__xludf.DUMMYFUNCTION("""COMPUTED_VALUE"""),39100.0)</f>
        <v>39100</v>
      </c>
      <c r="C1997" s="1">
        <f>IFERROR(__xludf.DUMMYFUNCTION("""COMPUTED_VALUE"""),39100.0)</f>
        <v>39100</v>
      </c>
      <c r="D1997" s="1">
        <f>IFERROR(__xludf.DUMMYFUNCTION("""COMPUTED_VALUE"""),37850.0)</f>
        <v>37850</v>
      </c>
      <c r="E1997" s="1">
        <f>IFERROR(__xludf.DUMMYFUNCTION("""COMPUTED_VALUE"""),38550.0)</f>
        <v>38550</v>
      </c>
      <c r="F1997" s="1">
        <f>IFERROR(__xludf.DUMMYFUNCTION("""COMPUTED_VALUE"""),15948.0)</f>
        <v>15948</v>
      </c>
    </row>
    <row r="1998">
      <c r="A1998" s="2">
        <f>IFERROR(__xludf.DUMMYFUNCTION("""COMPUTED_VALUE"""),43892.64583333333)</f>
        <v>43892.64583</v>
      </c>
      <c r="B1998" s="1">
        <f>IFERROR(__xludf.DUMMYFUNCTION("""COMPUTED_VALUE"""),38900.0)</f>
        <v>38900</v>
      </c>
      <c r="C1998" s="1">
        <f>IFERROR(__xludf.DUMMYFUNCTION("""COMPUTED_VALUE"""),39500.0)</f>
        <v>39500</v>
      </c>
      <c r="D1998" s="1">
        <f>IFERROR(__xludf.DUMMYFUNCTION("""COMPUTED_VALUE"""),37700.0)</f>
        <v>37700</v>
      </c>
      <c r="E1998" s="1">
        <f>IFERROR(__xludf.DUMMYFUNCTION("""COMPUTED_VALUE"""),38600.0)</f>
        <v>38600</v>
      </c>
      <c r="F1998" s="1">
        <f>IFERROR(__xludf.DUMMYFUNCTION("""COMPUTED_VALUE"""),10698.0)</f>
        <v>10698</v>
      </c>
    </row>
    <row r="1999">
      <c r="A1999" s="2">
        <f>IFERROR(__xludf.DUMMYFUNCTION("""COMPUTED_VALUE"""),43893.64583333333)</f>
        <v>43893.64583</v>
      </c>
      <c r="B1999" s="1">
        <f>IFERROR(__xludf.DUMMYFUNCTION("""COMPUTED_VALUE"""),39100.0)</f>
        <v>39100</v>
      </c>
      <c r="C1999" s="1">
        <f>IFERROR(__xludf.DUMMYFUNCTION("""COMPUTED_VALUE"""),41000.0)</f>
        <v>41000</v>
      </c>
      <c r="D1999" s="1">
        <f>IFERROR(__xludf.DUMMYFUNCTION("""COMPUTED_VALUE"""),39100.0)</f>
        <v>39100</v>
      </c>
      <c r="E1999" s="1">
        <f>IFERROR(__xludf.DUMMYFUNCTION("""COMPUTED_VALUE"""),39200.0)</f>
        <v>39200</v>
      </c>
      <c r="F1999" s="1">
        <f>IFERROR(__xludf.DUMMYFUNCTION("""COMPUTED_VALUE"""),5671.0)</f>
        <v>5671</v>
      </c>
    </row>
    <row r="2000">
      <c r="A2000" s="2">
        <f>IFERROR(__xludf.DUMMYFUNCTION("""COMPUTED_VALUE"""),43894.64583333333)</f>
        <v>43894.64583</v>
      </c>
      <c r="B2000" s="1">
        <f>IFERROR(__xludf.DUMMYFUNCTION("""COMPUTED_VALUE"""),39000.0)</f>
        <v>39000</v>
      </c>
      <c r="C2000" s="1">
        <f>IFERROR(__xludf.DUMMYFUNCTION("""COMPUTED_VALUE"""),39600.0)</f>
        <v>39600</v>
      </c>
      <c r="D2000" s="1">
        <f>IFERROR(__xludf.DUMMYFUNCTION("""COMPUTED_VALUE"""),39000.0)</f>
        <v>39000</v>
      </c>
      <c r="E2000" s="1">
        <f>IFERROR(__xludf.DUMMYFUNCTION("""COMPUTED_VALUE"""),39400.0)</f>
        <v>39400</v>
      </c>
      <c r="F2000" s="1">
        <f>IFERROR(__xludf.DUMMYFUNCTION("""COMPUTED_VALUE"""),6719.0)</f>
        <v>6719</v>
      </c>
    </row>
    <row r="2001">
      <c r="A2001" s="2">
        <f>IFERROR(__xludf.DUMMYFUNCTION("""COMPUTED_VALUE"""),43895.64583333333)</f>
        <v>43895.64583</v>
      </c>
      <c r="B2001" s="1">
        <f>IFERROR(__xludf.DUMMYFUNCTION("""COMPUTED_VALUE"""),39750.0)</f>
        <v>39750</v>
      </c>
      <c r="C2001" s="1">
        <f>IFERROR(__xludf.DUMMYFUNCTION("""COMPUTED_VALUE"""),39900.0)</f>
        <v>39900</v>
      </c>
      <c r="D2001" s="1">
        <f>IFERROR(__xludf.DUMMYFUNCTION("""COMPUTED_VALUE"""),39450.0)</f>
        <v>39450</v>
      </c>
      <c r="E2001" s="1">
        <f>IFERROR(__xludf.DUMMYFUNCTION("""COMPUTED_VALUE"""),39850.0)</f>
        <v>39850</v>
      </c>
      <c r="F2001" s="1">
        <f>IFERROR(__xludf.DUMMYFUNCTION("""COMPUTED_VALUE"""),2696.0)</f>
        <v>2696</v>
      </c>
    </row>
    <row r="2002">
      <c r="A2002" s="2">
        <f>IFERROR(__xludf.DUMMYFUNCTION("""COMPUTED_VALUE"""),43896.64583333333)</f>
        <v>43896.64583</v>
      </c>
      <c r="B2002" s="1">
        <f>IFERROR(__xludf.DUMMYFUNCTION("""COMPUTED_VALUE"""),39550.0)</f>
        <v>39550</v>
      </c>
      <c r="C2002" s="1">
        <f>IFERROR(__xludf.DUMMYFUNCTION("""COMPUTED_VALUE"""),40150.0)</f>
        <v>40150</v>
      </c>
      <c r="D2002" s="1">
        <f>IFERROR(__xludf.DUMMYFUNCTION("""COMPUTED_VALUE"""),37000.0)</f>
        <v>37000</v>
      </c>
      <c r="E2002" s="1">
        <f>IFERROR(__xludf.DUMMYFUNCTION("""COMPUTED_VALUE"""),37900.0)</f>
        <v>37900</v>
      </c>
      <c r="F2002" s="1">
        <f>IFERROR(__xludf.DUMMYFUNCTION("""COMPUTED_VALUE"""),33061.0)</f>
        <v>33061</v>
      </c>
    </row>
    <row r="2003">
      <c r="A2003" s="2">
        <f>IFERROR(__xludf.DUMMYFUNCTION("""COMPUTED_VALUE"""),43899.64583333333)</f>
        <v>43899.64583</v>
      </c>
      <c r="B2003" s="1">
        <f>IFERROR(__xludf.DUMMYFUNCTION("""COMPUTED_VALUE"""),36300.0)</f>
        <v>36300</v>
      </c>
      <c r="C2003" s="1">
        <f>IFERROR(__xludf.DUMMYFUNCTION("""COMPUTED_VALUE"""),36450.0)</f>
        <v>36450</v>
      </c>
      <c r="D2003" s="1">
        <f>IFERROR(__xludf.DUMMYFUNCTION("""COMPUTED_VALUE"""),34450.0)</f>
        <v>34450</v>
      </c>
      <c r="E2003" s="1">
        <f>IFERROR(__xludf.DUMMYFUNCTION("""COMPUTED_VALUE"""),34500.0)</f>
        <v>34500</v>
      </c>
      <c r="F2003" s="1">
        <f>IFERROR(__xludf.DUMMYFUNCTION("""COMPUTED_VALUE"""),45280.0)</f>
        <v>45280</v>
      </c>
    </row>
    <row r="2004">
      <c r="A2004" s="2">
        <f>IFERROR(__xludf.DUMMYFUNCTION("""COMPUTED_VALUE"""),43900.64583333333)</f>
        <v>43900.64583</v>
      </c>
      <c r="B2004" s="1">
        <f>IFERROR(__xludf.DUMMYFUNCTION("""COMPUTED_VALUE"""),33050.0)</f>
        <v>33050</v>
      </c>
      <c r="C2004" s="1">
        <f>IFERROR(__xludf.DUMMYFUNCTION("""COMPUTED_VALUE"""),36550.0)</f>
        <v>36550</v>
      </c>
      <c r="D2004" s="1">
        <f>IFERROR(__xludf.DUMMYFUNCTION("""COMPUTED_VALUE"""),33000.0)</f>
        <v>33000</v>
      </c>
      <c r="E2004" s="1">
        <f>IFERROR(__xludf.DUMMYFUNCTION("""COMPUTED_VALUE"""),35950.0)</f>
        <v>35950</v>
      </c>
      <c r="F2004" s="1">
        <f>IFERROR(__xludf.DUMMYFUNCTION("""COMPUTED_VALUE"""),38604.0)</f>
        <v>38604</v>
      </c>
    </row>
    <row r="2005">
      <c r="A2005" s="2">
        <f>IFERROR(__xludf.DUMMYFUNCTION("""COMPUTED_VALUE"""),43901.64583333333)</f>
        <v>43901.64583</v>
      </c>
      <c r="B2005" s="1">
        <f>IFERROR(__xludf.DUMMYFUNCTION("""COMPUTED_VALUE"""),36200.0)</f>
        <v>36200</v>
      </c>
      <c r="C2005" s="1">
        <f>IFERROR(__xludf.DUMMYFUNCTION("""COMPUTED_VALUE"""),36750.0)</f>
        <v>36750</v>
      </c>
      <c r="D2005" s="1">
        <f>IFERROR(__xludf.DUMMYFUNCTION("""COMPUTED_VALUE"""),35500.0)</f>
        <v>35500</v>
      </c>
      <c r="E2005" s="1">
        <f>IFERROR(__xludf.DUMMYFUNCTION("""COMPUTED_VALUE"""),36100.0)</f>
        <v>36100</v>
      </c>
      <c r="F2005" s="1">
        <f>IFERROR(__xludf.DUMMYFUNCTION("""COMPUTED_VALUE"""),20242.0)</f>
        <v>20242</v>
      </c>
    </row>
    <row r="2006">
      <c r="A2006" s="2">
        <f>IFERROR(__xludf.DUMMYFUNCTION("""COMPUTED_VALUE"""),43902.64583333333)</f>
        <v>43902.64583</v>
      </c>
      <c r="B2006" s="1">
        <f>IFERROR(__xludf.DUMMYFUNCTION("""COMPUTED_VALUE"""),36100.0)</f>
        <v>36100</v>
      </c>
      <c r="C2006" s="1">
        <f>IFERROR(__xludf.DUMMYFUNCTION("""COMPUTED_VALUE"""),36100.0)</f>
        <v>36100</v>
      </c>
      <c r="D2006" s="1">
        <f>IFERROR(__xludf.DUMMYFUNCTION("""COMPUTED_VALUE"""),33600.0)</f>
        <v>33600</v>
      </c>
      <c r="E2006" s="1">
        <f>IFERROR(__xludf.DUMMYFUNCTION("""COMPUTED_VALUE"""),34050.0)</f>
        <v>34050</v>
      </c>
      <c r="F2006" s="1">
        <f>IFERROR(__xludf.DUMMYFUNCTION("""COMPUTED_VALUE"""),22665.0)</f>
        <v>22665</v>
      </c>
    </row>
    <row r="2007">
      <c r="A2007" s="2">
        <f>IFERROR(__xludf.DUMMYFUNCTION("""COMPUTED_VALUE"""),43903.64583333333)</f>
        <v>43903.64583</v>
      </c>
      <c r="B2007" s="1">
        <f>IFERROR(__xludf.DUMMYFUNCTION("""COMPUTED_VALUE"""),28450.0)</f>
        <v>28450</v>
      </c>
      <c r="C2007" s="1">
        <f>IFERROR(__xludf.DUMMYFUNCTION("""COMPUTED_VALUE"""),32900.0)</f>
        <v>32900</v>
      </c>
      <c r="D2007" s="1">
        <f>IFERROR(__xludf.DUMMYFUNCTION("""COMPUTED_VALUE"""),28450.0)</f>
        <v>28450</v>
      </c>
      <c r="E2007" s="1">
        <f>IFERROR(__xludf.DUMMYFUNCTION("""COMPUTED_VALUE"""),32050.0)</f>
        <v>32050</v>
      </c>
      <c r="F2007" s="1">
        <f>IFERROR(__xludf.DUMMYFUNCTION("""COMPUTED_VALUE"""),38323.0)</f>
        <v>38323</v>
      </c>
    </row>
    <row r="2008">
      <c r="A2008" s="2">
        <f>IFERROR(__xludf.DUMMYFUNCTION("""COMPUTED_VALUE"""),43906.64583333333)</f>
        <v>43906.64583</v>
      </c>
      <c r="B2008" s="1">
        <f>IFERROR(__xludf.DUMMYFUNCTION("""COMPUTED_VALUE"""),33000.0)</f>
        <v>33000</v>
      </c>
      <c r="C2008" s="1">
        <f>IFERROR(__xludf.DUMMYFUNCTION("""COMPUTED_VALUE"""),35200.0)</f>
        <v>35200</v>
      </c>
      <c r="D2008" s="1">
        <f>IFERROR(__xludf.DUMMYFUNCTION("""COMPUTED_VALUE"""),31300.0)</f>
        <v>31300</v>
      </c>
      <c r="E2008" s="1">
        <f>IFERROR(__xludf.DUMMYFUNCTION("""COMPUTED_VALUE"""),32050.0)</f>
        <v>32050</v>
      </c>
      <c r="F2008" s="1">
        <f>IFERROR(__xludf.DUMMYFUNCTION("""COMPUTED_VALUE"""),8897.0)</f>
        <v>8897</v>
      </c>
    </row>
    <row r="2009">
      <c r="A2009" s="2">
        <f>IFERROR(__xludf.DUMMYFUNCTION("""COMPUTED_VALUE"""),43907.64583333333)</f>
        <v>43907.64583</v>
      </c>
      <c r="B2009" s="1">
        <f>IFERROR(__xludf.DUMMYFUNCTION("""COMPUTED_VALUE"""),29500.0)</f>
        <v>29500</v>
      </c>
      <c r="C2009" s="1">
        <f>IFERROR(__xludf.DUMMYFUNCTION("""COMPUTED_VALUE"""),32600.0)</f>
        <v>32600</v>
      </c>
      <c r="D2009" s="1">
        <f>IFERROR(__xludf.DUMMYFUNCTION("""COMPUTED_VALUE"""),29500.0)</f>
        <v>29500</v>
      </c>
      <c r="E2009" s="1">
        <f>IFERROR(__xludf.DUMMYFUNCTION("""COMPUTED_VALUE"""),32400.0)</f>
        <v>32400</v>
      </c>
      <c r="F2009" s="1">
        <f>IFERROR(__xludf.DUMMYFUNCTION("""COMPUTED_VALUE"""),11884.0)</f>
        <v>11884</v>
      </c>
    </row>
    <row r="2010">
      <c r="A2010" s="2">
        <f>IFERROR(__xludf.DUMMYFUNCTION("""COMPUTED_VALUE"""),43908.64583333333)</f>
        <v>43908.64583</v>
      </c>
      <c r="B2010" s="1">
        <f>IFERROR(__xludf.DUMMYFUNCTION("""COMPUTED_VALUE"""),32950.0)</f>
        <v>32950</v>
      </c>
      <c r="C2010" s="1">
        <f>IFERROR(__xludf.DUMMYFUNCTION("""COMPUTED_VALUE"""),32950.0)</f>
        <v>32950</v>
      </c>
      <c r="D2010" s="1">
        <f>IFERROR(__xludf.DUMMYFUNCTION("""COMPUTED_VALUE"""),31050.0)</f>
        <v>31050</v>
      </c>
      <c r="E2010" s="1">
        <f>IFERROR(__xludf.DUMMYFUNCTION("""COMPUTED_VALUE"""),31150.0)</f>
        <v>31150</v>
      </c>
      <c r="F2010" s="1">
        <f>IFERROR(__xludf.DUMMYFUNCTION("""COMPUTED_VALUE"""),8669.0)</f>
        <v>8669</v>
      </c>
    </row>
    <row r="2011">
      <c r="A2011" s="2">
        <f>IFERROR(__xludf.DUMMYFUNCTION("""COMPUTED_VALUE"""),43909.64583333333)</f>
        <v>43909.64583</v>
      </c>
      <c r="B2011" s="1">
        <f>IFERROR(__xludf.DUMMYFUNCTION("""COMPUTED_VALUE"""),31150.0)</f>
        <v>31150</v>
      </c>
      <c r="C2011" s="1">
        <f>IFERROR(__xludf.DUMMYFUNCTION("""COMPUTED_VALUE"""),31300.0)</f>
        <v>31300</v>
      </c>
      <c r="D2011" s="1">
        <f>IFERROR(__xludf.DUMMYFUNCTION("""COMPUTED_VALUE"""),26100.0)</f>
        <v>26100</v>
      </c>
      <c r="E2011" s="1">
        <f>IFERROR(__xludf.DUMMYFUNCTION("""COMPUTED_VALUE"""),26300.0)</f>
        <v>26300</v>
      </c>
      <c r="F2011" s="1">
        <f>IFERROR(__xludf.DUMMYFUNCTION("""COMPUTED_VALUE"""),44981.0)</f>
        <v>44981</v>
      </c>
    </row>
    <row r="2012">
      <c r="A2012" s="2">
        <f>IFERROR(__xludf.DUMMYFUNCTION("""COMPUTED_VALUE"""),43910.64583333333)</f>
        <v>43910.64583</v>
      </c>
      <c r="B2012" s="1">
        <f>IFERROR(__xludf.DUMMYFUNCTION("""COMPUTED_VALUE"""),26300.0)</f>
        <v>26300</v>
      </c>
      <c r="C2012" s="1">
        <f>IFERROR(__xludf.DUMMYFUNCTION("""COMPUTED_VALUE"""),28450.0)</f>
        <v>28450</v>
      </c>
      <c r="D2012" s="1">
        <f>IFERROR(__xludf.DUMMYFUNCTION("""COMPUTED_VALUE"""),26150.0)</f>
        <v>26150</v>
      </c>
      <c r="E2012" s="1">
        <f>IFERROR(__xludf.DUMMYFUNCTION("""COMPUTED_VALUE"""),27900.0)</f>
        <v>27900</v>
      </c>
      <c r="F2012" s="1">
        <f>IFERROR(__xludf.DUMMYFUNCTION("""COMPUTED_VALUE"""),31692.0)</f>
        <v>31692</v>
      </c>
    </row>
    <row r="2013">
      <c r="A2013" s="2">
        <f>IFERROR(__xludf.DUMMYFUNCTION("""COMPUTED_VALUE"""),43913.64583333333)</f>
        <v>43913.64583</v>
      </c>
      <c r="B2013" s="1">
        <f>IFERROR(__xludf.DUMMYFUNCTION("""COMPUTED_VALUE"""),25600.0)</f>
        <v>25600</v>
      </c>
      <c r="C2013" s="1">
        <f>IFERROR(__xludf.DUMMYFUNCTION("""COMPUTED_VALUE"""),26900.0)</f>
        <v>26900</v>
      </c>
      <c r="D2013" s="1">
        <f>IFERROR(__xludf.DUMMYFUNCTION("""COMPUTED_VALUE"""),25500.0)</f>
        <v>25500</v>
      </c>
      <c r="E2013" s="1">
        <f>IFERROR(__xludf.DUMMYFUNCTION("""COMPUTED_VALUE"""),26500.0)</f>
        <v>26500</v>
      </c>
      <c r="F2013" s="1">
        <f>IFERROR(__xludf.DUMMYFUNCTION("""COMPUTED_VALUE"""),24342.0)</f>
        <v>24342</v>
      </c>
    </row>
    <row r="2014">
      <c r="A2014" s="2">
        <f>IFERROR(__xludf.DUMMYFUNCTION("""COMPUTED_VALUE"""),43914.64583333333)</f>
        <v>43914.64583</v>
      </c>
      <c r="B2014" s="1">
        <f>IFERROR(__xludf.DUMMYFUNCTION("""COMPUTED_VALUE"""),27150.0)</f>
        <v>27150</v>
      </c>
      <c r="C2014" s="1">
        <f>IFERROR(__xludf.DUMMYFUNCTION("""COMPUTED_VALUE"""),29000.0)</f>
        <v>29000</v>
      </c>
      <c r="D2014" s="1">
        <f>IFERROR(__xludf.DUMMYFUNCTION("""COMPUTED_VALUE"""),26550.0)</f>
        <v>26550</v>
      </c>
      <c r="E2014" s="1">
        <f>IFERROR(__xludf.DUMMYFUNCTION("""COMPUTED_VALUE"""),28850.0)</f>
        <v>28850</v>
      </c>
      <c r="F2014" s="1">
        <f>IFERROR(__xludf.DUMMYFUNCTION("""COMPUTED_VALUE"""),26458.0)</f>
        <v>26458</v>
      </c>
    </row>
    <row r="2015">
      <c r="A2015" s="2">
        <f>IFERROR(__xludf.DUMMYFUNCTION("""COMPUTED_VALUE"""),43915.64583333333)</f>
        <v>43915.64583</v>
      </c>
      <c r="B2015" s="1">
        <f>IFERROR(__xludf.DUMMYFUNCTION("""COMPUTED_VALUE"""),31400.0)</f>
        <v>31400</v>
      </c>
      <c r="C2015" s="1">
        <f>IFERROR(__xludf.DUMMYFUNCTION("""COMPUTED_VALUE"""),32200.0)</f>
        <v>32200</v>
      </c>
      <c r="D2015" s="1">
        <f>IFERROR(__xludf.DUMMYFUNCTION("""COMPUTED_VALUE"""),29500.0)</f>
        <v>29500</v>
      </c>
      <c r="E2015" s="1">
        <f>IFERROR(__xludf.DUMMYFUNCTION("""COMPUTED_VALUE"""),32100.0)</f>
        <v>32100</v>
      </c>
      <c r="F2015" s="1">
        <f>IFERROR(__xludf.DUMMYFUNCTION("""COMPUTED_VALUE"""),37623.0)</f>
        <v>37623</v>
      </c>
    </row>
    <row r="2016">
      <c r="A2016" s="2">
        <f>IFERROR(__xludf.DUMMYFUNCTION("""COMPUTED_VALUE"""),43916.64583333333)</f>
        <v>43916.64583</v>
      </c>
      <c r="B2016" s="1">
        <f>IFERROR(__xludf.DUMMYFUNCTION("""COMPUTED_VALUE"""),34050.0)</f>
        <v>34050</v>
      </c>
      <c r="C2016" s="1">
        <f>IFERROR(__xludf.DUMMYFUNCTION("""COMPUTED_VALUE"""),34050.0)</f>
        <v>34050</v>
      </c>
      <c r="D2016" s="1">
        <f>IFERROR(__xludf.DUMMYFUNCTION("""COMPUTED_VALUE"""),31300.0)</f>
        <v>31300</v>
      </c>
      <c r="E2016" s="1">
        <f>IFERROR(__xludf.DUMMYFUNCTION("""COMPUTED_VALUE"""),32150.0)</f>
        <v>32150</v>
      </c>
      <c r="F2016" s="1">
        <f>IFERROR(__xludf.DUMMYFUNCTION("""COMPUTED_VALUE"""),26951.0)</f>
        <v>26951</v>
      </c>
    </row>
    <row r="2017">
      <c r="A2017" s="2">
        <f>IFERROR(__xludf.DUMMYFUNCTION("""COMPUTED_VALUE"""),43917.64583333333)</f>
        <v>43917.64583</v>
      </c>
      <c r="B2017" s="1">
        <f>IFERROR(__xludf.DUMMYFUNCTION("""COMPUTED_VALUE"""),32650.0)</f>
        <v>32650</v>
      </c>
      <c r="C2017" s="1">
        <f>IFERROR(__xludf.DUMMYFUNCTION("""COMPUTED_VALUE"""),33500.0)</f>
        <v>33500</v>
      </c>
      <c r="D2017" s="1">
        <f>IFERROR(__xludf.DUMMYFUNCTION("""COMPUTED_VALUE"""),31900.0)</f>
        <v>31900</v>
      </c>
      <c r="E2017" s="1">
        <f>IFERROR(__xludf.DUMMYFUNCTION("""COMPUTED_VALUE"""),32650.0)</f>
        <v>32650</v>
      </c>
      <c r="F2017" s="1">
        <f>IFERROR(__xludf.DUMMYFUNCTION("""COMPUTED_VALUE"""),22252.0)</f>
        <v>22252</v>
      </c>
    </row>
    <row r="2018">
      <c r="A2018" s="2">
        <f>IFERROR(__xludf.DUMMYFUNCTION("""COMPUTED_VALUE"""),43920.64583333333)</f>
        <v>43920.64583</v>
      </c>
      <c r="B2018" s="1">
        <f>IFERROR(__xludf.DUMMYFUNCTION("""COMPUTED_VALUE"""),31400.0)</f>
        <v>31400</v>
      </c>
      <c r="C2018" s="1">
        <f>IFERROR(__xludf.DUMMYFUNCTION("""COMPUTED_VALUE"""),32750.0)</f>
        <v>32750</v>
      </c>
      <c r="D2018" s="1">
        <f>IFERROR(__xludf.DUMMYFUNCTION("""COMPUTED_VALUE"""),29900.0)</f>
        <v>29900</v>
      </c>
      <c r="E2018" s="1">
        <f>IFERROR(__xludf.DUMMYFUNCTION("""COMPUTED_VALUE"""),31500.0)</f>
        <v>31500</v>
      </c>
      <c r="F2018" s="1">
        <f>IFERROR(__xludf.DUMMYFUNCTION("""COMPUTED_VALUE"""),13299.0)</f>
        <v>13299</v>
      </c>
    </row>
    <row r="2019">
      <c r="A2019" s="2">
        <f>IFERROR(__xludf.DUMMYFUNCTION("""COMPUTED_VALUE"""),43921.64583333333)</f>
        <v>43921.64583</v>
      </c>
      <c r="B2019" s="1">
        <f>IFERROR(__xludf.DUMMYFUNCTION("""COMPUTED_VALUE"""),32150.0)</f>
        <v>32150</v>
      </c>
      <c r="C2019" s="1">
        <f>IFERROR(__xludf.DUMMYFUNCTION("""COMPUTED_VALUE"""),32550.0)</f>
        <v>32550</v>
      </c>
      <c r="D2019" s="1">
        <f>IFERROR(__xludf.DUMMYFUNCTION("""COMPUTED_VALUE"""),31600.0)</f>
        <v>31600</v>
      </c>
      <c r="E2019" s="1">
        <f>IFERROR(__xludf.DUMMYFUNCTION("""COMPUTED_VALUE"""),32250.0)</f>
        <v>32250</v>
      </c>
      <c r="F2019" s="1">
        <f>IFERROR(__xludf.DUMMYFUNCTION("""COMPUTED_VALUE"""),26580.0)</f>
        <v>26580</v>
      </c>
    </row>
    <row r="2020">
      <c r="A2020" s="2">
        <f>IFERROR(__xludf.DUMMYFUNCTION("""COMPUTED_VALUE"""),43922.64583333333)</f>
        <v>43922.64583</v>
      </c>
      <c r="B2020" s="1">
        <f>IFERROR(__xludf.DUMMYFUNCTION("""COMPUTED_VALUE"""),32200.0)</f>
        <v>32200</v>
      </c>
      <c r="C2020" s="1">
        <f>IFERROR(__xludf.DUMMYFUNCTION("""COMPUTED_VALUE"""),32450.0)</f>
        <v>32450</v>
      </c>
      <c r="D2020" s="1">
        <f>IFERROR(__xludf.DUMMYFUNCTION("""COMPUTED_VALUE"""),31550.0)</f>
        <v>31550</v>
      </c>
      <c r="E2020" s="1">
        <f>IFERROR(__xludf.DUMMYFUNCTION("""COMPUTED_VALUE"""),31550.0)</f>
        <v>31550</v>
      </c>
      <c r="F2020" s="1">
        <f>IFERROR(__xludf.DUMMYFUNCTION("""COMPUTED_VALUE"""),17687.0)</f>
        <v>17687</v>
      </c>
    </row>
    <row r="2021">
      <c r="A2021" s="2">
        <f>IFERROR(__xludf.DUMMYFUNCTION("""COMPUTED_VALUE"""),43923.64583333333)</f>
        <v>43923.64583</v>
      </c>
      <c r="B2021" s="1">
        <f>IFERROR(__xludf.DUMMYFUNCTION("""COMPUTED_VALUE"""),31450.0)</f>
        <v>31450</v>
      </c>
      <c r="C2021" s="1">
        <f>IFERROR(__xludf.DUMMYFUNCTION("""COMPUTED_VALUE"""),38150.0)</f>
        <v>38150</v>
      </c>
      <c r="D2021" s="1">
        <f>IFERROR(__xludf.DUMMYFUNCTION("""COMPUTED_VALUE"""),31450.0)</f>
        <v>31450</v>
      </c>
      <c r="E2021" s="1">
        <f>IFERROR(__xludf.DUMMYFUNCTION("""COMPUTED_VALUE"""),35500.0)</f>
        <v>35500</v>
      </c>
      <c r="F2021" s="1">
        <f>IFERROR(__xludf.DUMMYFUNCTION("""COMPUTED_VALUE"""),82921.0)</f>
        <v>82921</v>
      </c>
    </row>
    <row r="2022">
      <c r="A2022" s="2">
        <f>IFERROR(__xludf.DUMMYFUNCTION("""COMPUTED_VALUE"""),43924.64583333333)</f>
        <v>43924.64583</v>
      </c>
      <c r="B2022" s="1">
        <f>IFERROR(__xludf.DUMMYFUNCTION("""COMPUTED_VALUE"""),39000.0)</f>
        <v>39000</v>
      </c>
      <c r="C2022" s="1">
        <f>IFERROR(__xludf.DUMMYFUNCTION("""COMPUTED_VALUE"""),39600.0)</f>
        <v>39600</v>
      </c>
      <c r="D2022" s="1">
        <f>IFERROR(__xludf.DUMMYFUNCTION("""COMPUTED_VALUE"""),35100.0)</f>
        <v>35100</v>
      </c>
      <c r="E2022" s="1">
        <f>IFERROR(__xludf.DUMMYFUNCTION("""COMPUTED_VALUE"""),35650.0)</f>
        <v>35650</v>
      </c>
      <c r="F2022" s="1">
        <f>IFERROR(__xludf.DUMMYFUNCTION("""COMPUTED_VALUE"""),67089.0)</f>
        <v>67089</v>
      </c>
    </row>
    <row r="2023">
      <c r="A2023" s="2">
        <f>IFERROR(__xludf.DUMMYFUNCTION("""COMPUTED_VALUE"""),43927.64583333333)</f>
        <v>43927.64583</v>
      </c>
      <c r="B2023" s="1">
        <f>IFERROR(__xludf.DUMMYFUNCTION("""COMPUTED_VALUE"""),35900.0)</f>
        <v>35900</v>
      </c>
      <c r="C2023" s="1">
        <f>IFERROR(__xludf.DUMMYFUNCTION("""COMPUTED_VALUE"""),37500.0)</f>
        <v>37500</v>
      </c>
      <c r="D2023" s="1">
        <f>IFERROR(__xludf.DUMMYFUNCTION("""COMPUTED_VALUE"""),35400.0)</f>
        <v>35400</v>
      </c>
      <c r="E2023" s="1">
        <f>IFERROR(__xludf.DUMMYFUNCTION("""COMPUTED_VALUE"""),37400.0)</f>
        <v>37400</v>
      </c>
      <c r="F2023" s="1">
        <f>IFERROR(__xludf.DUMMYFUNCTION("""COMPUTED_VALUE"""),30449.0)</f>
        <v>30449</v>
      </c>
    </row>
    <row r="2024">
      <c r="A2024" s="2">
        <f>IFERROR(__xludf.DUMMYFUNCTION("""COMPUTED_VALUE"""),43928.64583333333)</f>
        <v>43928.64583</v>
      </c>
      <c r="B2024" s="1">
        <f>IFERROR(__xludf.DUMMYFUNCTION("""COMPUTED_VALUE"""),38000.0)</f>
        <v>38000</v>
      </c>
      <c r="C2024" s="1">
        <f>IFERROR(__xludf.DUMMYFUNCTION("""COMPUTED_VALUE"""),38100.0)</f>
        <v>38100</v>
      </c>
      <c r="D2024" s="1">
        <f>IFERROR(__xludf.DUMMYFUNCTION("""COMPUTED_VALUE"""),36700.0)</f>
        <v>36700</v>
      </c>
      <c r="E2024" s="1">
        <f>IFERROR(__xludf.DUMMYFUNCTION("""COMPUTED_VALUE"""),38100.0)</f>
        <v>38100</v>
      </c>
      <c r="F2024" s="1">
        <f>IFERROR(__xludf.DUMMYFUNCTION("""COMPUTED_VALUE"""),33042.0)</f>
        <v>33042</v>
      </c>
    </row>
    <row r="2025">
      <c r="A2025" s="2">
        <f>IFERROR(__xludf.DUMMYFUNCTION("""COMPUTED_VALUE"""),43929.64583333333)</f>
        <v>43929.64583</v>
      </c>
      <c r="B2025" s="1">
        <f>IFERROR(__xludf.DUMMYFUNCTION("""COMPUTED_VALUE"""),38100.0)</f>
        <v>38100</v>
      </c>
      <c r="C2025" s="1">
        <f>IFERROR(__xludf.DUMMYFUNCTION("""COMPUTED_VALUE"""),38500.0)</f>
        <v>38500</v>
      </c>
      <c r="D2025" s="1">
        <f>IFERROR(__xludf.DUMMYFUNCTION("""COMPUTED_VALUE"""),37400.0)</f>
        <v>37400</v>
      </c>
      <c r="E2025" s="1">
        <f>IFERROR(__xludf.DUMMYFUNCTION("""COMPUTED_VALUE"""),37750.0)</f>
        <v>37750</v>
      </c>
      <c r="F2025" s="1">
        <f>IFERROR(__xludf.DUMMYFUNCTION("""COMPUTED_VALUE"""),28185.0)</f>
        <v>28185</v>
      </c>
    </row>
    <row r="2026">
      <c r="A2026" s="2">
        <f>IFERROR(__xludf.DUMMYFUNCTION("""COMPUTED_VALUE"""),43930.64583333333)</f>
        <v>43930.64583</v>
      </c>
      <c r="B2026" s="1">
        <f>IFERROR(__xludf.DUMMYFUNCTION("""COMPUTED_VALUE"""),38500.0)</f>
        <v>38500</v>
      </c>
      <c r="C2026" s="1">
        <f>IFERROR(__xludf.DUMMYFUNCTION("""COMPUTED_VALUE"""),39700.0)</f>
        <v>39700</v>
      </c>
      <c r="D2026" s="1">
        <f>IFERROR(__xludf.DUMMYFUNCTION("""COMPUTED_VALUE"""),38500.0)</f>
        <v>38500</v>
      </c>
      <c r="E2026" s="1">
        <f>IFERROR(__xludf.DUMMYFUNCTION("""COMPUTED_VALUE"""),39700.0)</f>
        <v>39700</v>
      </c>
      <c r="F2026" s="1">
        <f>IFERROR(__xludf.DUMMYFUNCTION("""COMPUTED_VALUE"""),29103.0)</f>
        <v>29103</v>
      </c>
    </row>
    <row r="2027">
      <c r="A2027" s="2">
        <f>IFERROR(__xludf.DUMMYFUNCTION("""COMPUTED_VALUE"""),43931.64583333333)</f>
        <v>43931.64583</v>
      </c>
      <c r="B2027" s="1">
        <f>IFERROR(__xludf.DUMMYFUNCTION("""COMPUTED_VALUE"""),39000.0)</f>
        <v>39000</v>
      </c>
      <c r="C2027" s="1">
        <f>IFERROR(__xludf.DUMMYFUNCTION("""COMPUTED_VALUE"""),40750.0)</f>
        <v>40750</v>
      </c>
      <c r="D2027" s="1">
        <f>IFERROR(__xludf.DUMMYFUNCTION("""COMPUTED_VALUE"""),38500.0)</f>
        <v>38500</v>
      </c>
      <c r="E2027" s="1">
        <f>IFERROR(__xludf.DUMMYFUNCTION("""COMPUTED_VALUE"""),40000.0)</f>
        <v>40000</v>
      </c>
      <c r="F2027" s="1">
        <f>IFERROR(__xludf.DUMMYFUNCTION("""COMPUTED_VALUE"""),32267.0)</f>
        <v>32267</v>
      </c>
    </row>
    <row r="2028">
      <c r="A2028" s="2">
        <f>IFERROR(__xludf.DUMMYFUNCTION("""COMPUTED_VALUE"""),43934.64583333333)</f>
        <v>43934.64583</v>
      </c>
      <c r="B2028" s="1">
        <f>IFERROR(__xludf.DUMMYFUNCTION("""COMPUTED_VALUE"""),40000.0)</f>
        <v>40000</v>
      </c>
      <c r="C2028" s="1">
        <f>IFERROR(__xludf.DUMMYFUNCTION("""COMPUTED_VALUE"""),40400.0)</f>
        <v>40400</v>
      </c>
      <c r="D2028" s="1">
        <f>IFERROR(__xludf.DUMMYFUNCTION("""COMPUTED_VALUE"""),38150.0)</f>
        <v>38150</v>
      </c>
      <c r="E2028" s="1">
        <f>IFERROR(__xludf.DUMMYFUNCTION("""COMPUTED_VALUE"""),38150.0)</f>
        <v>38150</v>
      </c>
      <c r="F2028" s="1">
        <f>IFERROR(__xludf.DUMMYFUNCTION("""COMPUTED_VALUE"""),21244.0)</f>
        <v>21244</v>
      </c>
    </row>
    <row r="2029">
      <c r="A2029" s="2">
        <f>IFERROR(__xludf.DUMMYFUNCTION("""COMPUTED_VALUE"""),43935.64583333333)</f>
        <v>43935.64583</v>
      </c>
      <c r="B2029" s="1">
        <f>IFERROR(__xludf.DUMMYFUNCTION("""COMPUTED_VALUE"""),38150.0)</f>
        <v>38150</v>
      </c>
      <c r="C2029" s="1">
        <f>IFERROR(__xludf.DUMMYFUNCTION("""COMPUTED_VALUE"""),39100.0)</f>
        <v>39100</v>
      </c>
      <c r="D2029" s="1">
        <f>IFERROR(__xludf.DUMMYFUNCTION("""COMPUTED_VALUE"""),38100.0)</f>
        <v>38100</v>
      </c>
      <c r="E2029" s="1">
        <f>IFERROR(__xludf.DUMMYFUNCTION("""COMPUTED_VALUE"""),38300.0)</f>
        <v>38300</v>
      </c>
      <c r="F2029" s="1">
        <f>IFERROR(__xludf.DUMMYFUNCTION("""COMPUTED_VALUE"""),13939.0)</f>
        <v>13939</v>
      </c>
    </row>
    <row r="2030">
      <c r="A2030" s="2">
        <f>IFERROR(__xludf.DUMMYFUNCTION("""COMPUTED_VALUE"""),43937.64583333333)</f>
        <v>43937.64583</v>
      </c>
      <c r="B2030" s="1">
        <f>IFERROR(__xludf.DUMMYFUNCTION("""COMPUTED_VALUE"""),37600.0)</f>
        <v>37600</v>
      </c>
      <c r="C2030" s="1">
        <f>IFERROR(__xludf.DUMMYFUNCTION("""COMPUTED_VALUE"""),38200.0)</f>
        <v>38200</v>
      </c>
      <c r="D2030" s="1">
        <f>IFERROR(__xludf.DUMMYFUNCTION("""COMPUTED_VALUE"""),37250.0)</f>
        <v>37250</v>
      </c>
      <c r="E2030" s="1">
        <f>IFERROR(__xludf.DUMMYFUNCTION("""COMPUTED_VALUE"""),38150.0)</f>
        <v>38150</v>
      </c>
      <c r="F2030" s="1">
        <f>IFERROR(__xludf.DUMMYFUNCTION("""COMPUTED_VALUE"""),12038.0)</f>
        <v>12038</v>
      </c>
    </row>
    <row r="2031">
      <c r="A2031" s="2">
        <f>IFERROR(__xludf.DUMMYFUNCTION("""COMPUTED_VALUE"""),43938.64583333333)</f>
        <v>43938.64583</v>
      </c>
      <c r="B2031" s="1">
        <f>IFERROR(__xludf.DUMMYFUNCTION("""COMPUTED_VALUE"""),38150.0)</f>
        <v>38150</v>
      </c>
      <c r="C2031" s="1">
        <f>IFERROR(__xludf.DUMMYFUNCTION("""COMPUTED_VALUE"""),39200.0)</f>
        <v>39200</v>
      </c>
      <c r="D2031" s="1">
        <f>IFERROR(__xludf.DUMMYFUNCTION("""COMPUTED_VALUE"""),38150.0)</f>
        <v>38150</v>
      </c>
      <c r="E2031" s="1">
        <f>IFERROR(__xludf.DUMMYFUNCTION("""COMPUTED_VALUE"""),39000.0)</f>
        <v>39000</v>
      </c>
      <c r="F2031" s="1">
        <f>IFERROR(__xludf.DUMMYFUNCTION("""COMPUTED_VALUE"""),19885.0)</f>
        <v>19885</v>
      </c>
    </row>
    <row r="2032">
      <c r="A2032" s="2">
        <f>IFERROR(__xludf.DUMMYFUNCTION("""COMPUTED_VALUE"""),43941.64583333333)</f>
        <v>43941.64583</v>
      </c>
      <c r="B2032" s="1">
        <f>IFERROR(__xludf.DUMMYFUNCTION("""COMPUTED_VALUE"""),39150.0)</f>
        <v>39150</v>
      </c>
      <c r="C2032" s="1">
        <f>IFERROR(__xludf.DUMMYFUNCTION("""COMPUTED_VALUE"""),40300.0)</f>
        <v>40300</v>
      </c>
      <c r="D2032" s="1">
        <f>IFERROR(__xludf.DUMMYFUNCTION("""COMPUTED_VALUE"""),38450.0)</f>
        <v>38450</v>
      </c>
      <c r="E2032" s="1">
        <f>IFERROR(__xludf.DUMMYFUNCTION("""COMPUTED_VALUE"""),38750.0)</f>
        <v>38750</v>
      </c>
      <c r="F2032" s="1">
        <f>IFERROR(__xludf.DUMMYFUNCTION("""COMPUTED_VALUE"""),34602.0)</f>
        <v>34602</v>
      </c>
    </row>
    <row r="2033">
      <c r="A2033" s="2">
        <f>IFERROR(__xludf.DUMMYFUNCTION("""COMPUTED_VALUE"""),43942.64583333333)</f>
        <v>43942.64583</v>
      </c>
      <c r="B2033" s="1">
        <f>IFERROR(__xludf.DUMMYFUNCTION("""COMPUTED_VALUE"""),37550.0)</f>
        <v>37550</v>
      </c>
      <c r="C2033" s="1">
        <f>IFERROR(__xludf.DUMMYFUNCTION("""COMPUTED_VALUE"""),38750.0)</f>
        <v>38750</v>
      </c>
      <c r="D2033" s="1">
        <f>IFERROR(__xludf.DUMMYFUNCTION("""COMPUTED_VALUE"""),37000.0)</f>
        <v>37000</v>
      </c>
      <c r="E2033" s="1">
        <f>IFERROR(__xludf.DUMMYFUNCTION("""COMPUTED_VALUE"""),38350.0)</f>
        <v>38350</v>
      </c>
      <c r="F2033" s="1">
        <f>IFERROR(__xludf.DUMMYFUNCTION("""COMPUTED_VALUE"""),28649.0)</f>
        <v>28649</v>
      </c>
    </row>
    <row r="2034">
      <c r="A2034" s="2">
        <f>IFERROR(__xludf.DUMMYFUNCTION("""COMPUTED_VALUE"""),43943.64583333333)</f>
        <v>43943.64583</v>
      </c>
      <c r="B2034" s="1">
        <f>IFERROR(__xludf.DUMMYFUNCTION("""COMPUTED_VALUE"""),37200.0)</f>
        <v>37200</v>
      </c>
      <c r="C2034" s="1">
        <f>IFERROR(__xludf.DUMMYFUNCTION("""COMPUTED_VALUE"""),37900.0)</f>
        <v>37900</v>
      </c>
      <c r="D2034" s="1">
        <f>IFERROR(__xludf.DUMMYFUNCTION("""COMPUTED_VALUE"""),36950.0)</f>
        <v>36950</v>
      </c>
      <c r="E2034" s="1">
        <f>IFERROR(__xludf.DUMMYFUNCTION("""COMPUTED_VALUE"""),37850.0)</f>
        <v>37850</v>
      </c>
      <c r="F2034" s="1">
        <f>IFERROR(__xludf.DUMMYFUNCTION("""COMPUTED_VALUE"""),20396.0)</f>
        <v>20396</v>
      </c>
    </row>
    <row r="2035">
      <c r="A2035" s="2">
        <f>IFERROR(__xludf.DUMMYFUNCTION("""COMPUTED_VALUE"""),43944.64583333333)</f>
        <v>43944.64583</v>
      </c>
      <c r="B2035" s="1">
        <f>IFERROR(__xludf.DUMMYFUNCTION("""COMPUTED_VALUE"""),38300.0)</f>
        <v>38300</v>
      </c>
      <c r="C2035" s="1">
        <f>IFERROR(__xludf.DUMMYFUNCTION("""COMPUTED_VALUE"""),39650.0)</f>
        <v>39650</v>
      </c>
      <c r="D2035" s="1">
        <f>IFERROR(__xludf.DUMMYFUNCTION("""COMPUTED_VALUE"""),38100.0)</f>
        <v>38100</v>
      </c>
      <c r="E2035" s="1">
        <f>IFERROR(__xludf.DUMMYFUNCTION("""COMPUTED_VALUE"""),39200.0)</f>
        <v>39200</v>
      </c>
      <c r="F2035" s="1">
        <f>IFERROR(__xludf.DUMMYFUNCTION("""COMPUTED_VALUE"""),25696.0)</f>
        <v>25696</v>
      </c>
    </row>
    <row r="2036">
      <c r="A2036" s="2">
        <f>IFERROR(__xludf.DUMMYFUNCTION("""COMPUTED_VALUE"""),43945.64583333333)</f>
        <v>43945.64583</v>
      </c>
      <c r="B2036" s="1">
        <f>IFERROR(__xludf.DUMMYFUNCTION("""COMPUTED_VALUE"""),39700.0)</f>
        <v>39700</v>
      </c>
      <c r="C2036" s="1">
        <f>IFERROR(__xludf.DUMMYFUNCTION("""COMPUTED_VALUE"""),40000.0)</f>
        <v>40000</v>
      </c>
      <c r="D2036" s="1">
        <f>IFERROR(__xludf.DUMMYFUNCTION("""COMPUTED_VALUE"""),38500.0)</f>
        <v>38500</v>
      </c>
      <c r="E2036" s="1">
        <f>IFERROR(__xludf.DUMMYFUNCTION("""COMPUTED_VALUE"""),38500.0)</f>
        <v>38500</v>
      </c>
      <c r="F2036" s="1">
        <f>IFERROR(__xludf.DUMMYFUNCTION("""COMPUTED_VALUE"""),17901.0)</f>
        <v>17901</v>
      </c>
    </row>
    <row r="2037">
      <c r="A2037" s="2">
        <f>IFERROR(__xludf.DUMMYFUNCTION("""COMPUTED_VALUE"""),43948.64583333333)</f>
        <v>43948.64583</v>
      </c>
      <c r="B2037" s="1">
        <f>IFERROR(__xludf.DUMMYFUNCTION("""COMPUTED_VALUE"""),39100.0)</f>
        <v>39100</v>
      </c>
      <c r="C2037" s="1">
        <f>IFERROR(__xludf.DUMMYFUNCTION("""COMPUTED_VALUE"""),39300.0)</f>
        <v>39300</v>
      </c>
      <c r="D2037" s="1">
        <f>IFERROR(__xludf.DUMMYFUNCTION("""COMPUTED_VALUE"""),38550.0)</f>
        <v>38550</v>
      </c>
      <c r="E2037" s="1">
        <f>IFERROR(__xludf.DUMMYFUNCTION("""COMPUTED_VALUE"""),39250.0)</f>
        <v>39250</v>
      </c>
      <c r="F2037" s="1">
        <f>IFERROR(__xludf.DUMMYFUNCTION("""COMPUTED_VALUE"""),12314.0)</f>
        <v>12314</v>
      </c>
    </row>
    <row r="2038">
      <c r="A2038" s="2">
        <f>IFERROR(__xludf.DUMMYFUNCTION("""COMPUTED_VALUE"""),43949.64583333333)</f>
        <v>43949.64583</v>
      </c>
      <c r="B2038" s="1">
        <f>IFERROR(__xludf.DUMMYFUNCTION("""COMPUTED_VALUE"""),38200.0)</f>
        <v>38200</v>
      </c>
      <c r="C2038" s="1">
        <f>IFERROR(__xludf.DUMMYFUNCTION("""COMPUTED_VALUE"""),39100.0)</f>
        <v>39100</v>
      </c>
      <c r="D2038" s="1">
        <f>IFERROR(__xludf.DUMMYFUNCTION("""COMPUTED_VALUE"""),38050.0)</f>
        <v>38050</v>
      </c>
      <c r="E2038" s="1">
        <f>IFERROR(__xludf.DUMMYFUNCTION("""COMPUTED_VALUE"""),38650.0)</f>
        <v>38650</v>
      </c>
      <c r="F2038" s="1">
        <f>IFERROR(__xludf.DUMMYFUNCTION("""COMPUTED_VALUE"""),15655.0)</f>
        <v>15655</v>
      </c>
    </row>
    <row r="2039">
      <c r="A2039" s="2">
        <f>IFERROR(__xludf.DUMMYFUNCTION("""COMPUTED_VALUE"""),43950.64583333333)</f>
        <v>43950.64583</v>
      </c>
      <c r="B2039" s="1">
        <f>IFERROR(__xludf.DUMMYFUNCTION("""COMPUTED_VALUE"""),39000.0)</f>
        <v>39000</v>
      </c>
      <c r="C2039" s="1">
        <f>IFERROR(__xludf.DUMMYFUNCTION("""COMPUTED_VALUE"""),39250.0)</f>
        <v>39250</v>
      </c>
      <c r="D2039" s="1">
        <f>IFERROR(__xludf.DUMMYFUNCTION("""COMPUTED_VALUE"""),38550.0)</f>
        <v>38550</v>
      </c>
      <c r="E2039" s="1">
        <f>IFERROR(__xludf.DUMMYFUNCTION("""COMPUTED_VALUE"""),39050.0)</f>
        <v>39050</v>
      </c>
      <c r="F2039" s="1">
        <f>IFERROR(__xludf.DUMMYFUNCTION("""COMPUTED_VALUE"""),25554.0)</f>
        <v>25554</v>
      </c>
    </row>
    <row r="2040">
      <c r="A2040" s="2">
        <f>IFERROR(__xludf.DUMMYFUNCTION("""COMPUTED_VALUE"""),43955.64583333333)</f>
        <v>43955.64583</v>
      </c>
      <c r="B2040" s="1">
        <f>IFERROR(__xludf.DUMMYFUNCTION("""COMPUTED_VALUE"""),39050.0)</f>
        <v>39050</v>
      </c>
      <c r="C2040" s="1">
        <f>IFERROR(__xludf.DUMMYFUNCTION("""COMPUTED_VALUE"""),39050.0)</f>
        <v>39050</v>
      </c>
      <c r="D2040" s="1">
        <f>IFERROR(__xludf.DUMMYFUNCTION("""COMPUTED_VALUE"""),38000.0)</f>
        <v>38000</v>
      </c>
      <c r="E2040" s="1">
        <f>IFERROR(__xludf.DUMMYFUNCTION("""COMPUTED_VALUE"""),38150.0)</f>
        <v>38150</v>
      </c>
      <c r="F2040" s="1">
        <f>IFERROR(__xludf.DUMMYFUNCTION("""COMPUTED_VALUE"""),14581.0)</f>
        <v>14581</v>
      </c>
    </row>
    <row r="2041">
      <c r="A2041" s="2">
        <f>IFERROR(__xludf.DUMMYFUNCTION("""COMPUTED_VALUE"""),43957.64583333333)</f>
        <v>43957.64583</v>
      </c>
      <c r="B2041" s="1">
        <f>IFERROR(__xludf.DUMMYFUNCTION("""COMPUTED_VALUE"""),39450.0)</f>
        <v>39450</v>
      </c>
      <c r="C2041" s="1">
        <f>IFERROR(__xludf.DUMMYFUNCTION("""COMPUTED_VALUE"""),39650.0)</f>
        <v>39650</v>
      </c>
      <c r="D2041" s="1">
        <f>IFERROR(__xludf.DUMMYFUNCTION("""COMPUTED_VALUE"""),38550.0)</f>
        <v>38550</v>
      </c>
      <c r="E2041" s="1">
        <f>IFERROR(__xludf.DUMMYFUNCTION("""COMPUTED_VALUE"""),39000.0)</f>
        <v>39000</v>
      </c>
      <c r="F2041" s="1">
        <f>IFERROR(__xludf.DUMMYFUNCTION("""COMPUTED_VALUE"""),12538.0)</f>
        <v>12538</v>
      </c>
    </row>
    <row r="2042">
      <c r="A2042" s="2">
        <f>IFERROR(__xludf.DUMMYFUNCTION("""COMPUTED_VALUE"""),43958.64583333333)</f>
        <v>43958.64583</v>
      </c>
      <c r="B2042" s="1">
        <f>IFERROR(__xludf.DUMMYFUNCTION("""COMPUTED_VALUE"""),39300.0)</f>
        <v>39300</v>
      </c>
      <c r="C2042" s="1">
        <f>IFERROR(__xludf.DUMMYFUNCTION("""COMPUTED_VALUE"""),39300.0)</f>
        <v>39300</v>
      </c>
      <c r="D2042" s="1">
        <f>IFERROR(__xludf.DUMMYFUNCTION("""COMPUTED_VALUE"""),38700.0)</f>
        <v>38700</v>
      </c>
      <c r="E2042" s="1">
        <f>IFERROR(__xludf.DUMMYFUNCTION("""COMPUTED_VALUE"""),39000.0)</f>
        <v>39000</v>
      </c>
      <c r="F2042" s="1">
        <f>IFERROR(__xludf.DUMMYFUNCTION("""COMPUTED_VALUE"""),6688.0)</f>
        <v>6688</v>
      </c>
    </row>
    <row r="2043">
      <c r="A2043" s="2">
        <f>IFERROR(__xludf.DUMMYFUNCTION("""COMPUTED_VALUE"""),43959.64583333333)</f>
        <v>43959.64583</v>
      </c>
      <c r="B2043" s="1">
        <f>IFERROR(__xludf.DUMMYFUNCTION("""COMPUTED_VALUE"""),39400.0)</f>
        <v>39400</v>
      </c>
      <c r="C2043" s="1">
        <f>IFERROR(__xludf.DUMMYFUNCTION("""COMPUTED_VALUE"""),39400.0)</f>
        <v>39400</v>
      </c>
      <c r="D2043" s="1">
        <f>IFERROR(__xludf.DUMMYFUNCTION("""COMPUTED_VALUE"""),38800.0)</f>
        <v>38800</v>
      </c>
      <c r="E2043" s="1">
        <f>IFERROR(__xludf.DUMMYFUNCTION("""COMPUTED_VALUE"""),39100.0)</f>
        <v>39100</v>
      </c>
      <c r="F2043" s="1">
        <f>IFERROR(__xludf.DUMMYFUNCTION("""COMPUTED_VALUE"""),7284.0)</f>
        <v>7284</v>
      </c>
    </row>
    <row r="2044">
      <c r="A2044" s="2">
        <f>IFERROR(__xludf.DUMMYFUNCTION("""COMPUTED_VALUE"""),43962.64583333333)</f>
        <v>43962.64583</v>
      </c>
      <c r="B2044" s="1">
        <f>IFERROR(__xludf.DUMMYFUNCTION("""COMPUTED_VALUE"""),39100.0)</f>
        <v>39100</v>
      </c>
      <c r="C2044" s="1">
        <f>IFERROR(__xludf.DUMMYFUNCTION("""COMPUTED_VALUE"""),39100.0)</f>
        <v>39100</v>
      </c>
      <c r="D2044" s="1">
        <f>IFERROR(__xludf.DUMMYFUNCTION("""COMPUTED_VALUE"""),38500.0)</f>
        <v>38500</v>
      </c>
      <c r="E2044" s="1">
        <f>IFERROR(__xludf.DUMMYFUNCTION("""COMPUTED_VALUE"""),38600.0)</f>
        <v>38600</v>
      </c>
      <c r="F2044" s="1">
        <f>IFERROR(__xludf.DUMMYFUNCTION("""COMPUTED_VALUE"""),8392.0)</f>
        <v>8392</v>
      </c>
    </row>
    <row r="2045">
      <c r="A2045" s="2">
        <f>IFERROR(__xludf.DUMMYFUNCTION("""COMPUTED_VALUE"""),43963.64583333333)</f>
        <v>43963.64583</v>
      </c>
      <c r="B2045" s="1">
        <f>IFERROR(__xludf.DUMMYFUNCTION("""COMPUTED_VALUE"""),38700.0)</f>
        <v>38700</v>
      </c>
      <c r="C2045" s="1">
        <f>IFERROR(__xludf.DUMMYFUNCTION("""COMPUTED_VALUE"""),38700.0)</f>
        <v>38700</v>
      </c>
      <c r="D2045" s="1">
        <f>IFERROR(__xludf.DUMMYFUNCTION("""COMPUTED_VALUE"""),37600.0)</f>
        <v>37600</v>
      </c>
      <c r="E2045" s="1">
        <f>IFERROR(__xludf.DUMMYFUNCTION("""COMPUTED_VALUE"""),37900.0)</f>
        <v>37900</v>
      </c>
      <c r="F2045" s="1">
        <f>IFERROR(__xludf.DUMMYFUNCTION("""COMPUTED_VALUE"""),8863.0)</f>
        <v>8863</v>
      </c>
    </row>
    <row r="2046">
      <c r="A2046" s="2">
        <f>IFERROR(__xludf.DUMMYFUNCTION("""COMPUTED_VALUE"""),43964.64583333333)</f>
        <v>43964.64583</v>
      </c>
      <c r="B2046" s="1">
        <f>IFERROR(__xludf.DUMMYFUNCTION("""COMPUTED_VALUE"""),37850.0)</f>
        <v>37850</v>
      </c>
      <c r="C2046" s="1">
        <f>IFERROR(__xludf.DUMMYFUNCTION("""COMPUTED_VALUE"""),37850.0)</f>
        <v>37850</v>
      </c>
      <c r="D2046" s="1">
        <f>IFERROR(__xludf.DUMMYFUNCTION("""COMPUTED_VALUE"""),37250.0)</f>
        <v>37250</v>
      </c>
      <c r="E2046" s="1">
        <f>IFERROR(__xludf.DUMMYFUNCTION("""COMPUTED_VALUE"""),37800.0)</f>
        <v>37800</v>
      </c>
      <c r="F2046" s="1">
        <f>IFERROR(__xludf.DUMMYFUNCTION("""COMPUTED_VALUE"""),3356.0)</f>
        <v>3356</v>
      </c>
    </row>
    <row r="2047">
      <c r="A2047" s="2">
        <f>IFERROR(__xludf.DUMMYFUNCTION("""COMPUTED_VALUE"""),43965.64583333333)</f>
        <v>43965.64583</v>
      </c>
      <c r="B2047" s="1">
        <f>IFERROR(__xludf.DUMMYFUNCTION("""COMPUTED_VALUE"""),37750.0)</f>
        <v>37750</v>
      </c>
      <c r="C2047" s="1">
        <f>IFERROR(__xludf.DUMMYFUNCTION("""COMPUTED_VALUE"""),37750.0)</f>
        <v>37750</v>
      </c>
      <c r="D2047" s="1">
        <f>IFERROR(__xludf.DUMMYFUNCTION("""COMPUTED_VALUE"""),35950.0)</f>
        <v>35950</v>
      </c>
      <c r="E2047" s="1">
        <f>IFERROR(__xludf.DUMMYFUNCTION("""COMPUTED_VALUE"""),36200.0)</f>
        <v>36200</v>
      </c>
      <c r="F2047" s="1">
        <f>IFERROR(__xludf.DUMMYFUNCTION("""COMPUTED_VALUE"""),16295.0)</f>
        <v>16295</v>
      </c>
    </row>
    <row r="2048">
      <c r="A2048" s="2">
        <f>IFERROR(__xludf.DUMMYFUNCTION("""COMPUTED_VALUE"""),43966.64583333333)</f>
        <v>43966.64583</v>
      </c>
      <c r="B2048" s="1">
        <f>IFERROR(__xludf.DUMMYFUNCTION("""COMPUTED_VALUE"""),36450.0)</f>
        <v>36450</v>
      </c>
      <c r="C2048" s="1">
        <f>IFERROR(__xludf.DUMMYFUNCTION("""COMPUTED_VALUE"""),37250.0)</f>
        <v>37250</v>
      </c>
      <c r="D2048" s="1">
        <f>IFERROR(__xludf.DUMMYFUNCTION("""COMPUTED_VALUE"""),36450.0)</f>
        <v>36450</v>
      </c>
      <c r="E2048" s="1">
        <f>IFERROR(__xludf.DUMMYFUNCTION("""COMPUTED_VALUE"""),36700.0)</f>
        <v>36700</v>
      </c>
      <c r="F2048" s="1">
        <f>IFERROR(__xludf.DUMMYFUNCTION("""COMPUTED_VALUE"""),8536.0)</f>
        <v>8536</v>
      </c>
    </row>
    <row r="2049">
      <c r="A2049" s="2">
        <f>IFERROR(__xludf.DUMMYFUNCTION("""COMPUTED_VALUE"""),43969.64583333333)</f>
        <v>43969.64583</v>
      </c>
      <c r="B2049" s="1">
        <f>IFERROR(__xludf.DUMMYFUNCTION("""COMPUTED_VALUE"""),36650.0)</f>
        <v>36650</v>
      </c>
      <c r="C2049" s="1">
        <f>IFERROR(__xludf.DUMMYFUNCTION("""COMPUTED_VALUE"""),37450.0)</f>
        <v>37450</v>
      </c>
      <c r="D2049" s="1">
        <f>IFERROR(__xludf.DUMMYFUNCTION("""COMPUTED_VALUE"""),36650.0)</f>
        <v>36650</v>
      </c>
      <c r="E2049" s="1">
        <f>IFERROR(__xludf.DUMMYFUNCTION("""COMPUTED_VALUE"""),37450.0)</f>
        <v>37450</v>
      </c>
      <c r="F2049" s="1">
        <f>IFERROR(__xludf.DUMMYFUNCTION("""COMPUTED_VALUE"""),6361.0)</f>
        <v>6361</v>
      </c>
    </row>
    <row r="2050">
      <c r="A2050" s="2">
        <f>IFERROR(__xludf.DUMMYFUNCTION("""COMPUTED_VALUE"""),43970.64583333333)</f>
        <v>43970.64583</v>
      </c>
      <c r="B2050" s="1">
        <f>IFERROR(__xludf.DUMMYFUNCTION("""COMPUTED_VALUE"""),38900.0)</f>
        <v>38900</v>
      </c>
      <c r="C2050" s="1">
        <f>IFERROR(__xludf.DUMMYFUNCTION("""COMPUTED_VALUE"""),39600.0)</f>
        <v>39600</v>
      </c>
      <c r="D2050" s="1">
        <f>IFERROR(__xludf.DUMMYFUNCTION("""COMPUTED_VALUE"""),38350.0)</f>
        <v>38350</v>
      </c>
      <c r="E2050" s="1">
        <f>IFERROR(__xludf.DUMMYFUNCTION("""COMPUTED_VALUE"""),39050.0)</f>
        <v>39050</v>
      </c>
      <c r="F2050" s="1">
        <f>IFERROR(__xludf.DUMMYFUNCTION("""COMPUTED_VALUE"""),44264.0)</f>
        <v>44264</v>
      </c>
    </row>
    <row r="2051">
      <c r="A2051" s="2">
        <f>IFERROR(__xludf.DUMMYFUNCTION("""COMPUTED_VALUE"""),43971.64583333333)</f>
        <v>43971.64583</v>
      </c>
      <c r="B2051" s="1">
        <f>IFERROR(__xludf.DUMMYFUNCTION("""COMPUTED_VALUE"""),39050.0)</f>
        <v>39050</v>
      </c>
      <c r="C2051" s="1">
        <f>IFERROR(__xludf.DUMMYFUNCTION("""COMPUTED_VALUE"""),39350.0)</f>
        <v>39350</v>
      </c>
      <c r="D2051" s="1">
        <f>IFERROR(__xludf.DUMMYFUNCTION("""COMPUTED_VALUE"""),38600.0)</f>
        <v>38600</v>
      </c>
      <c r="E2051" s="1">
        <f>IFERROR(__xludf.DUMMYFUNCTION("""COMPUTED_VALUE"""),39000.0)</f>
        <v>39000</v>
      </c>
      <c r="F2051" s="1">
        <f>IFERROR(__xludf.DUMMYFUNCTION("""COMPUTED_VALUE"""),16087.0)</f>
        <v>16087</v>
      </c>
    </row>
    <row r="2052">
      <c r="A2052" s="2">
        <f>IFERROR(__xludf.DUMMYFUNCTION("""COMPUTED_VALUE"""),43972.64583333333)</f>
        <v>43972.64583</v>
      </c>
      <c r="B2052" s="1">
        <f>IFERROR(__xludf.DUMMYFUNCTION("""COMPUTED_VALUE"""),39600.0)</f>
        <v>39600</v>
      </c>
      <c r="C2052" s="1">
        <f>IFERROR(__xludf.DUMMYFUNCTION("""COMPUTED_VALUE"""),39950.0)</f>
        <v>39950</v>
      </c>
      <c r="D2052" s="1">
        <f>IFERROR(__xludf.DUMMYFUNCTION("""COMPUTED_VALUE"""),38950.0)</f>
        <v>38950</v>
      </c>
      <c r="E2052" s="1">
        <f>IFERROR(__xludf.DUMMYFUNCTION("""COMPUTED_VALUE"""),39050.0)</f>
        <v>39050</v>
      </c>
      <c r="F2052" s="1">
        <f>IFERROR(__xludf.DUMMYFUNCTION("""COMPUTED_VALUE"""),15578.0)</f>
        <v>15578</v>
      </c>
    </row>
    <row r="2053">
      <c r="A2053" s="2">
        <f>IFERROR(__xludf.DUMMYFUNCTION("""COMPUTED_VALUE"""),43973.64583333333)</f>
        <v>43973.64583</v>
      </c>
      <c r="B2053" s="1">
        <f>IFERROR(__xludf.DUMMYFUNCTION("""COMPUTED_VALUE"""),38650.0)</f>
        <v>38650</v>
      </c>
      <c r="C2053" s="1">
        <f>IFERROR(__xludf.DUMMYFUNCTION("""COMPUTED_VALUE"""),39000.0)</f>
        <v>39000</v>
      </c>
      <c r="D2053" s="1">
        <f>IFERROR(__xludf.DUMMYFUNCTION("""COMPUTED_VALUE"""),37750.0)</f>
        <v>37750</v>
      </c>
      <c r="E2053" s="1">
        <f>IFERROR(__xludf.DUMMYFUNCTION("""COMPUTED_VALUE"""),38400.0)</f>
        <v>38400</v>
      </c>
      <c r="F2053" s="1">
        <f>IFERROR(__xludf.DUMMYFUNCTION("""COMPUTED_VALUE"""),13416.0)</f>
        <v>13416</v>
      </c>
    </row>
    <row r="2054">
      <c r="A2054" s="2">
        <f>IFERROR(__xludf.DUMMYFUNCTION("""COMPUTED_VALUE"""),43976.64583333333)</f>
        <v>43976.64583</v>
      </c>
      <c r="B2054" s="1">
        <f>IFERROR(__xludf.DUMMYFUNCTION("""COMPUTED_VALUE"""),38100.0)</f>
        <v>38100</v>
      </c>
      <c r="C2054" s="1">
        <f>IFERROR(__xludf.DUMMYFUNCTION("""COMPUTED_VALUE"""),38350.0)</f>
        <v>38350</v>
      </c>
      <c r="D2054" s="1">
        <f>IFERROR(__xludf.DUMMYFUNCTION("""COMPUTED_VALUE"""),37800.0)</f>
        <v>37800</v>
      </c>
      <c r="E2054" s="1">
        <f>IFERROR(__xludf.DUMMYFUNCTION("""COMPUTED_VALUE"""),38350.0)</f>
        <v>38350</v>
      </c>
      <c r="F2054" s="1">
        <f>IFERROR(__xludf.DUMMYFUNCTION("""COMPUTED_VALUE"""),5548.0)</f>
        <v>5548</v>
      </c>
    </row>
    <row r="2055">
      <c r="A2055" s="2">
        <f>IFERROR(__xludf.DUMMYFUNCTION("""COMPUTED_VALUE"""),43977.64583333333)</f>
        <v>43977.64583</v>
      </c>
      <c r="B2055" s="1">
        <f>IFERROR(__xludf.DUMMYFUNCTION("""COMPUTED_VALUE"""),38450.0)</f>
        <v>38450</v>
      </c>
      <c r="C2055" s="1">
        <f>IFERROR(__xludf.DUMMYFUNCTION("""COMPUTED_VALUE"""),40250.0)</f>
        <v>40250</v>
      </c>
      <c r="D2055" s="1">
        <f>IFERROR(__xludf.DUMMYFUNCTION("""COMPUTED_VALUE"""),38450.0)</f>
        <v>38450</v>
      </c>
      <c r="E2055" s="1">
        <f>IFERROR(__xludf.DUMMYFUNCTION("""COMPUTED_VALUE"""),39600.0)</f>
        <v>39600</v>
      </c>
      <c r="F2055" s="1">
        <f>IFERROR(__xludf.DUMMYFUNCTION("""COMPUTED_VALUE"""),24741.0)</f>
        <v>24741</v>
      </c>
    </row>
    <row r="2056">
      <c r="A2056" s="2">
        <f>IFERROR(__xludf.DUMMYFUNCTION("""COMPUTED_VALUE"""),43978.64583333333)</f>
        <v>43978.64583</v>
      </c>
      <c r="B2056" s="1">
        <f>IFERROR(__xludf.DUMMYFUNCTION("""COMPUTED_VALUE"""),39600.0)</f>
        <v>39600</v>
      </c>
      <c r="C2056" s="1">
        <f>IFERROR(__xludf.DUMMYFUNCTION("""COMPUTED_VALUE"""),40350.0)</f>
        <v>40350</v>
      </c>
      <c r="D2056" s="1">
        <f>IFERROR(__xludf.DUMMYFUNCTION("""COMPUTED_VALUE"""),39350.0)</f>
        <v>39350</v>
      </c>
      <c r="E2056" s="1">
        <f>IFERROR(__xludf.DUMMYFUNCTION("""COMPUTED_VALUE"""),39450.0)</f>
        <v>39450</v>
      </c>
      <c r="F2056" s="1">
        <f>IFERROR(__xludf.DUMMYFUNCTION("""COMPUTED_VALUE"""),16370.0)</f>
        <v>16370</v>
      </c>
    </row>
    <row r="2057">
      <c r="A2057" s="2">
        <f>IFERROR(__xludf.DUMMYFUNCTION("""COMPUTED_VALUE"""),43979.64583333333)</f>
        <v>43979.64583</v>
      </c>
      <c r="B2057" s="1">
        <f>IFERROR(__xludf.DUMMYFUNCTION("""COMPUTED_VALUE"""),39450.0)</f>
        <v>39450</v>
      </c>
      <c r="C2057" s="1">
        <f>IFERROR(__xludf.DUMMYFUNCTION("""COMPUTED_VALUE"""),39700.0)</f>
        <v>39700</v>
      </c>
      <c r="D2057" s="1">
        <f>IFERROR(__xludf.DUMMYFUNCTION("""COMPUTED_VALUE"""),38800.0)</f>
        <v>38800</v>
      </c>
      <c r="E2057" s="1">
        <f>IFERROR(__xludf.DUMMYFUNCTION("""COMPUTED_VALUE"""),39150.0)</f>
        <v>39150</v>
      </c>
      <c r="F2057" s="1">
        <f>IFERROR(__xludf.DUMMYFUNCTION("""COMPUTED_VALUE"""),14301.0)</f>
        <v>14301</v>
      </c>
    </row>
    <row r="2058">
      <c r="A2058" s="2">
        <f>IFERROR(__xludf.DUMMYFUNCTION("""COMPUTED_VALUE"""),43980.64583333333)</f>
        <v>43980.64583</v>
      </c>
      <c r="B2058" s="1">
        <f>IFERROR(__xludf.DUMMYFUNCTION("""COMPUTED_VALUE"""),38900.0)</f>
        <v>38900</v>
      </c>
      <c r="C2058" s="1">
        <f>IFERROR(__xludf.DUMMYFUNCTION("""COMPUTED_VALUE"""),39300.0)</f>
        <v>39300</v>
      </c>
      <c r="D2058" s="1">
        <f>IFERROR(__xludf.DUMMYFUNCTION("""COMPUTED_VALUE"""),38400.0)</f>
        <v>38400</v>
      </c>
      <c r="E2058" s="1">
        <f>IFERROR(__xludf.DUMMYFUNCTION("""COMPUTED_VALUE"""),38900.0)</f>
        <v>38900</v>
      </c>
      <c r="F2058" s="1">
        <f>IFERROR(__xludf.DUMMYFUNCTION("""COMPUTED_VALUE"""),17259.0)</f>
        <v>17259</v>
      </c>
    </row>
    <row r="2059">
      <c r="A2059" s="2">
        <f>IFERROR(__xludf.DUMMYFUNCTION("""COMPUTED_VALUE"""),43983.64583333333)</f>
        <v>43983.64583</v>
      </c>
      <c r="B2059" s="1">
        <f>IFERROR(__xludf.DUMMYFUNCTION("""COMPUTED_VALUE"""),38900.0)</f>
        <v>38900</v>
      </c>
      <c r="C2059" s="1">
        <f>IFERROR(__xludf.DUMMYFUNCTION("""COMPUTED_VALUE"""),40000.0)</f>
        <v>40000</v>
      </c>
      <c r="D2059" s="1">
        <f>IFERROR(__xludf.DUMMYFUNCTION("""COMPUTED_VALUE"""),38900.0)</f>
        <v>38900</v>
      </c>
      <c r="E2059" s="1">
        <f>IFERROR(__xludf.DUMMYFUNCTION("""COMPUTED_VALUE"""),39850.0)</f>
        <v>39850</v>
      </c>
      <c r="F2059" s="1">
        <f>IFERROR(__xludf.DUMMYFUNCTION("""COMPUTED_VALUE"""),15665.0)</f>
        <v>15665</v>
      </c>
    </row>
    <row r="2060">
      <c r="A2060" s="2">
        <f>IFERROR(__xludf.DUMMYFUNCTION("""COMPUTED_VALUE"""),43984.64583333333)</f>
        <v>43984.64583</v>
      </c>
      <c r="B2060" s="1">
        <f>IFERROR(__xludf.DUMMYFUNCTION("""COMPUTED_VALUE"""),39850.0)</f>
        <v>39850</v>
      </c>
      <c r="C2060" s="1">
        <f>IFERROR(__xludf.DUMMYFUNCTION("""COMPUTED_VALUE"""),40250.0)</f>
        <v>40250</v>
      </c>
      <c r="D2060" s="1">
        <f>IFERROR(__xludf.DUMMYFUNCTION("""COMPUTED_VALUE"""),39700.0)</f>
        <v>39700</v>
      </c>
      <c r="E2060" s="1">
        <f>IFERROR(__xludf.DUMMYFUNCTION("""COMPUTED_VALUE"""),40250.0)</f>
        <v>40250</v>
      </c>
      <c r="F2060" s="1">
        <f>IFERROR(__xludf.DUMMYFUNCTION("""COMPUTED_VALUE"""),12050.0)</f>
        <v>12050</v>
      </c>
    </row>
    <row r="2061">
      <c r="A2061" s="2">
        <f>IFERROR(__xludf.DUMMYFUNCTION("""COMPUTED_VALUE"""),43985.64583333333)</f>
        <v>43985.64583</v>
      </c>
      <c r="B2061" s="1">
        <f>IFERROR(__xludf.DUMMYFUNCTION("""COMPUTED_VALUE"""),41000.0)</f>
        <v>41000</v>
      </c>
      <c r="C2061" s="1">
        <f>IFERROR(__xludf.DUMMYFUNCTION("""COMPUTED_VALUE"""),41300.0)</f>
        <v>41300</v>
      </c>
      <c r="D2061" s="1">
        <f>IFERROR(__xludf.DUMMYFUNCTION("""COMPUTED_VALUE"""),40600.0)</f>
        <v>40600</v>
      </c>
      <c r="E2061" s="1">
        <f>IFERROR(__xludf.DUMMYFUNCTION("""COMPUTED_VALUE"""),41300.0)</f>
        <v>41300</v>
      </c>
      <c r="F2061" s="1">
        <f>IFERROR(__xludf.DUMMYFUNCTION("""COMPUTED_VALUE"""),21058.0)</f>
        <v>21058</v>
      </c>
    </row>
    <row r="2062">
      <c r="A2062" s="2">
        <f>IFERROR(__xludf.DUMMYFUNCTION("""COMPUTED_VALUE"""),43986.64583333333)</f>
        <v>43986.64583</v>
      </c>
      <c r="B2062" s="1">
        <f>IFERROR(__xludf.DUMMYFUNCTION("""COMPUTED_VALUE"""),42000.0)</f>
        <v>42000</v>
      </c>
      <c r="C2062" s="1">
        <f>IFERROR(__xludf.DUMMYFUNCTION("""COMPUTED_VALUE"""),42400.0)</f>
        <v>42400</v>
      </c>
      <c r="D2062" s="1">
        <f>IFERROR(__xludf.DUMMYFUNCTION("""COMPUTED_VALUE"""),40550.0)</f>
        <v>40550</v>
      </c>
      <c r="E2062" s="1">
        <f>IFERROR(__xludf.DUMMYFUNCTION("""COMPUTED_VALUE"""),41150.0)</f>
        <v>41150</v>
      </c>
      <c r="F2062" s="1">
        <f>IFERROR(__xludf.DUMMYFUNCTION("""COMPUTED_VALUE"""),18995.0)</f>
        <v>18995</v>
      </c>
    </row>
    <row r="2063">
      <c r="A2063" s="2">
        <f>IFERROR(__xludf.DUMMYFUNCTION("""COMPUTED_VALUE"""),43987.64583333333)</f>
        <v>43987.64583</v>
      </c>
      <c r="B2063" s="1">
        <f>IFERROR(__xludf.DUMMYFUNCTION("""COMPUTED_VALUE"""),41400.0)</f>
        <v>41400</v>
      </c>
      <c r="C2063" s="1">
        <f>IFERROR(__xludf.DUMMYFUNCTION("""COMPUTED_VALUE"""),41750.0)</f>
        <v>41750</v>
      </c>
      <c r="D2063" s="1">
        <f>IFERROR(__xludf.DUMMYFUNCTION("""COMPUTED_VALUE"""),41100.0)</f>
        <v>41100</v>
      </c>
      <c r="E2063" s="1">
        <f>IFERROR(__xludf.DUMMYFUNCTION("""COMPUTED_VALUE"""),41300.0)</f>
        <v>41300</v>
      </c>
      <c r="F2063" s="1">
        <f>IFERROR(__xludf.DUMMYFUNCTION("""COMPUTED_VALUE"""),9215.0)</f>
        <v>9215</v>
      </c>
    </row>
    <row r="2064">
      <c r="A2064" s="2">
        <f>IFERROR(__xludf.DUMMYFUNCTION("""COMPUTED_VALUE"""),43990.64583333333)</f>
        <v>43990.64583</v>
      </c>
      <c r="B2064" s="1">
        <f>IFERROR(__xludf.DUMMYFUNCTION("""COMPUTED_VALUE"""),42100.0)</f>
        <v>42100</v>
      </c>
      <c r="C2064" s="1">
        <f>IFERROR(__xludf.DUMMYFUNCTION("""COMPUTED_VALUE"""),42900.0)</f>
        <v>42900</v>
      </c>
      <c r="D2064" s="1">
        <f>IFERROR(__xludf.DUMMYFUNCTION("""COMPUTED_VALUE"""),42100.0)</f>
        <v>42100</v>
      </c>
      <c r="E2064" s="1">
        <f>IFERROR(__xludf.DUMMYFUNCTION("""COMPUTED_VALUE"""),42150.0)</f>
        <v>42150</v>
      </c>
      <c r="F2064" s="1">
        <f>IFERROR(__xludf.DUMMYFUNCTION("""COMPUTED_VALUE"""),25854.0)</f>
        <v>25854</v>
      </c>
    </row>
    <row r="2065">
      <c r="A2065" s="2">
        <f>IFERROR(__xludf.DUMMYFUNCTION("""COMPUTED_VALUE"""),43991.64583333333)</f>
        <v>43991.64583</v>
      </c>
      <c r="B2065" s="1">
        <f>IFERROR(__xludf.DUMMYFUNCTION("""COMPUTED_VALUE"""),42200.0)</f>
        <v>42200</v>
      </c>
      <c r="C2065" s="1">
        <f>IFERROR(__xludf.DUMMYFUNCTION("""COMPUTED_VALUE"""),42900.0)</f>
        <v>42900</v>
      </c>
      <c r="D2065" s="1">
        <f>IFERROR(__xludf.DUMMYFUNCTION("""COMPUTED_VALUE"""),41550.0)</f>
        <v>41550</v>
      </c>
      <c r="E2065" s="1">
        <f>IFERROR(__xludf.DUMMYFUNCTION("""COMPUTED_VALUE"""),42500.0)</f>
        <v>42500</v>
      </c>
      <c r="F2065" s="1">
        <f>IFERROR(__xludf.DUMMYFUNCTION("""COMPUTED_VALUE"""),39089.0)</f>
        <v>39089</v>
      </c>
    </row>
    <row r="2066">
      <c r="A2066" s="2">
        <f>IFERROR(__xludf.DUMMYFUNCTION("""COMPUTED_VALUE"""),43992.64583333333)</f>
        <v>43992.64583</v>
      </c>
      <c r="B2066" s="1">
        <f>IFERROR(__xludf.DUMMYFUNCTION("""COMPUTED_VALUE"""),42500.0)</f>
        <v>42500</v>
      </c>
      <c r="C2066" s="1">
        <f>IFERROR(__xludf.DUMMYFUNCTION("""COMPUTED_VALUE"""),42600.0)</f>
        <v>42600</v>
      </c>
      <c r="D2066" s="1">
        <f>IFERROR(__xludf.DUMMYFUNCTION("""COMPUTED_VALUE"""),41650.0)</f>
        <v>41650</v>
      </c>
      <c r="E2066" s="1">
        <f>IFERROR(__xludf.DUMMYFUNCTION("""COMPUTED_VALUE"""),41950.0)</f>
        <v>41950</v>
      </c>
      <c r="F2066" s="1">
        <f>IFERROR(__xludf.DUMMYFUNCTION("""COMPUTED_VALUE"""),17666.0)</f>
        <v>17666</v>
      </c>
    </row>
    <row r="2067">
      <c r="A2067" s="2">
        <f>IFERROR(__xludf.DUMMYFUNCTION("""COMPUTED_VALUE"""),43993.64583333333)</f>
        <v>43993.64583</v>
      </c>
      <c r="B2067" s="1">
        <f>IFERROR(__xludf.DUMMYFUNCTION("""COMPUTED_VALUE"""),41150.0)</f>
        <v>41150</v>
      </c>
      <c r="C2067" s="1">
        <f>IFERROR(__xludf.DUMMYFUNCTION("""COMPUTED_VALUE"""),42250.0)</f>
        <v>42250</v>
      </c>
      <c r="D2067" s="1">
        <f>IFERROR(__xludf.DUMMYFUNCTION("""COMPUTED_VALUE"""),40150.0)</f>
        <v>40150</v>
      </c>
      <c r="E2067" s="1">
        <f>IFERROR(__xludf.DUMMYFUNCTION("""COMPUTED_VALUE"""),40900.0)</f>
        <v>40900</v>
      </c>
      <c r="F2067" s="1">
        <f>IFERROR(__xludf.DUMMYFUNCTION("""COMPUTED_VALUE"""),26742.0)</f>
        <v>26742</v>
      </c>
    </row>
    <row r="2068">
      <c r="A2068" s="2">
        <f>IFERROR(__xludf.DUMMYFUNCTION("""COMPUTED_VALUE"""),43994.64583333333)</f>
        <v>43994.64583</v>
      </c>
      <c r="B2068" s="1">
        <f>IFERROR(__xludf.DUMMYFUNCTION("""COMPUTED_VALUE"""),37550.0)</f>
        <v>37550</v>
      </c>
      <c r="C2068" s="1">
        <f>IFERROR(__xludf.DUMMYFUNCTION("""COMPUTED_VALUE"""),39500.0)</f>
        <v>39500</v>
      </c>
      <c r="D2068" s="1">
        <f>IFERROR(__xludf.DUMMYFUNCTION("""COMPUTED_VALUE"""),36500.0)</f>
        <v>36500</v>
      </c>
      <c r="E2068" s="1">
        <f>IFERROR(__xludf.DUMMYFUNCTION("""COMPUTED_VALUE"""),39050.0)</f>
        <v>39050</v>
      </c>
      <c r="F2068" s="1">
        <f>IFERROR(__xludf.DUMMYFUNCTION("""COMPUTED_VALUE"""),34995.0)</f>
        <v>34995</v>
      </c>
    </row>
    <row r="2069">
      <c r="A2069" s="2">
        <f>IFERROR(__xludf.DUMMYFUNCTION("""COMPUTED_VALUE"""),43997.64583333333)</f>
        <v>43997.64583</v>
      </c>
      <c r="B2069" s="1">
        <f>IFERROR(__xludf.DUMMYFUNCTION("""COMPUTED_VALUE"""),39100.0)</f>
        <v>39100</v>
      </c>
      <c r="C2069" s="1">
        <f>IFERROR(__xludf.DUMMYFUNCTION("""COMPUTED_VALUE"""),40000.0)</f>
        <v>40000</v>
      </c>
      <c r="D2069" s="1">
        <f>IFERROR(__xludf.DUMMYFUNCTION("""COMPUTED_VALUE"""),36750.0)</f>
        <v>36750</v>
      </c>
      <c r="E2069" s="1">
        <f>IFERROR(__xludf.DUMMYFUNCTION("""COMPUTED_VALUE"""),37150.0)</f>
        <v>37150</v>
      </c>
      <c r="F2069" s="1">
        <f>IFERROR(__xludf.DUMMYFUNCTION("""COMPUTED_VALUE"""),30983.0)</f>
        <v>30983</v>
      </c>
    </row>
    <row r="2070">
      <c r="A2070" s="2">
        <f>IFERROR(__xludf.DUMMYFUNCTION("""COMPUTED_VALUE"""),43998.64583333333)</f>
        <v>43998.64583</v>
      </c>
      <c r="B2070" s="1">
        <f>IFERROR(__xludf.DUMMYFUNCTION("""COMPUTED_VALUE"""),37300.0)</f>
        <v>37300</v>
      </c>
      <c r="C2070" s="1">
        <f>IFERROR(__xludf.DUMMYFUNCTION("""COMPUTED_VALUE"""),39150.0)</f>
        <v>39150</v>
      </c>
      <c r="D2070" s="1">
        <f>IFERROR(__xludf.DUMMYFUNCTION("""COMPUTED_VALUE"""),37300.0)</f>
        <v>37300</v>
      </c>
      <c r="E2070" s="1">
        <f>IFERROR(__xludf.DUMMYFUNCTION("""COMPUTED_VALUE"""),38900.0)</f>
        <v>38900</v>
      </c>
      <c r="F2070" s="1">
        <f>IFERROR(__xludf.DUMMYFUNCTION("""COMPUTED_VALUE"""),26196.0)</f>
        <v>26196</v>
      </c>
    </row>
    <row r="2071">
      <c r="A2071" s="2">
        <f>IFERROR(__xludf.DUMMYFUNCTION("""COMPUTED_VALUE"""),43999.64583333333)</f>
        <v>43999.64583</v>
      </c>
      <c r="B2071" s="1">
        <f>IFERROR(__xludf.DUMMYFUNCTION("""COMPUTED_VALUE"""),39100.0)</f>
        <v>39100</v>
      </c>
      <c r="C2071" s="1">
        <f>IFERROR(__xludf.DUMMYFUNCTION("""COMPUTED_VALUE"""),39750.0)</f>
        <v>39750</v>
      </c>
      <c r="D2071" s="1">
        <f>IFERROR(__xludf.DUMMYFUNCTION("""COMPUTED_VALUE"""),38500.0)</f>
        <v>38500</v>
      </c>
      <c r="E2071" s="1">
        <f>IFERROR(__xludf.DUMMYFUNCTION("""COMPUTED_VALUE"""),39100.0)</f>
        <v>39100</v>
      </c>
      <c r="F2071" s="1">
        <f>IFERROR(__xludf.DUMMYFUNCTION("""COMPUTED_VALUE"""),19866.0)</f>
        <v>19866</v>
      </c>
    </row>
    <row r="2072">
      <c r="A2072" s="2">
        <f>IFERROR(__xludf.DUMMYFUNCTION("""COMPUTED_VALUE"""),44000.64583333333)</f>
        <v>44000.64583</v>
      </c>
      <c r="B2072" s="1">
        <f>IFERROR(__xludf.DUMMYFUNCTION("""COMPUTED_VALUE"""),39550.0)</f>
        <v>39550</v>
      </c>
      <c r="C2072" s="1">
        <f>IFERROR(__xludf.DUMMYFUNCTION("""COMPUTED_VALUE"""),42200.0)</f>
        <v>42200</v>
      </c>
      <c r="D2072" s="1">
        <f>IFERROR(__xludf.DUMMYFUNCTION("""COMPUTED_VALUE"""),38700.0)</f>
        <v>38700</v>
      </c>
      <c r="E2072" s="1">
        <f>IFERROR(__xludf.DUMMYFUNCTION("""COMPUTED_VALUE"""),41000.0)</f>
        <v>41000</v>
      </c>
      <c r="F2072" s="1">
        <f>IFERROR(__xludf.DUMMYFUNCTION("""COMPUTED_VALUE"""),79332.0)</f>
        <v>79332</v>
      </c>
    </row>
    <row r="2073">
      <c r="A2073" s="2">
        <f>IFERROR(__xludf.DUMMYFUNCTION("""COMPUTED_VALUE"""),44001.64583333333)</f>
        <v>44001.64583</v>
      </c>
      <c r="B2073" s="1">
        <f>IFERROR(__xludf.DUMMYFUNCTION("""COMPUTED_VALUE"""),42250.0)</f>
        <v>42250</v>
      </c>
      <c r="C2073" s="1">
        <f>IFERROR(__xludf.DUMMYFUNCTION("""COMPUTED_VALUE"""),42700.0)</f>
        <v>42700</v>
      </c>
      <c r="D2073" s="1">
        <f>IFERROR(__xludf.DUMMYFUNCTION("""COMPUTED_VALUE"""),39300.0)</f>
        <v>39300</v>
      </c>
      <c r="E2073" s="1">
        <f>IFERROR(__xludf.DUMMYFUNCTION("""COMPUTED_VALUE"""),39800.0)</f>
        <v>39800</v>
      </c>
      <c r="F2073" s="1">
        <f>IFERROR(__xludf.DUMMYFUNCTION("""COMPUTED_VALUE"""),62189.0)</f>
        <v>62189</v>
      </c>
    </row>
    <row r="2074">
      <c r="A2074" s="2">
        <f>IFERROR(__xludf.DUMMYFUNCTION("""COMPUTED_VALUE"""),44004.64583333333)</f>
        <v>44004.64583</v>
      </c>
      <c r="B2074" s="1">
        <f>IFERROR(__xludf.DUMMYFUNCTION("""COMPUTED_VALUE"""),39800.0)</f>
        <v>39800</v>
      </c>
      <c r="C2074" s="1">
        <f>IFERROR(__xludf.DUMMYFUNCTION("""COMPUTED_VALUE"""),39800.0)</f>
        <v>39800</v>
      </c>
      <c r="D2074" s="1">
        <f>IFERROR(__xludf.DUMMYFUNCTION("""COMPUTED_VALUE"""),38300.0)</f>
        <v>38300</v>
      </c>
      <c r="E2074" s="1">
        <f>IFERROR(__xludf.DUMMYFUNCTION("""COMPUTED_VALUE"""),38550.0)</f>
        <v>38550</v>
      </c>
      <c r="F2074" s="1">
        <f>IFERROR(__xludf.DUMMYFUNCTION("""COMPUTED_VALUE"""),31601.0)</f>
        <v>31601</v>
      </c>
    </row>
    <row r="2075">
      <c r="A2075" s="2">
        <f>IFERROR(__xludf.DUMMYFUNCTION("""COMPUTED_VALUE"""),44005.64583333333)</f>
        <v>44005.64583</v>
      </c>
      <c r="B2075" s="1">
        <f>IFERROR(__xludf.DUMMYFUNCTION("""COMPUTED_VALUE"""),39000.0)</f>
        <v>39000</v>
      </c>
      <c r="C2075" s="1">
        <f>IFERROR(__xludf.DUMMYFUNCTION("""COMPUTED_VALUE"""),39000.0)</f>
        <v>39000</v>
      </c>
      <c r="D2075" s="1">
        <f>IFERROR(__xludf.DUMMYFUNCTION("""COMPUTED_VALUE"""),37600.0)</f>
        <v>37600</v>
      </c>
      <c r="E2075" s="1">
        <f>IFERROR(__xludf.DUMMYFUNCTION("""COMPUTED_VALUE"""),38000.0)</f>
        <v>38000</v>
      </c>
      <c r="F2075" s="1">
        <f>IFERROR(__xludf.DUMMYFUNCTION("""COMPUTED_VALUE"""),23121.0)</f>
        <v>23121</v>
      </c>
    </row>
    <row r="2076">
      <c r="A2076" s="2">
        <f>IFERROR(__xludf.DUMMYFUNCTION("""COMPUTED_VALUE"""),44006.64583333333)</f>
        <v>44006.64583</v>
      </c>
      <c r="B2076" s="1">
        <f>IFERROR(__xludf.DUMMYFUNCTION("""COMPUTED_VALUE"""),38050.0)</f>
        <v>38050</v>
      </c>
      <c r="C2076" s="1">
        <f>IFERROR(__xludf.DUMMYFUNCTION("""COMPUTED_VALUE"""),38350.0)</f>
        <v>38350</v>
      </c>
      <c r="D2076" s="1">
        <f>IFERROR(__xludf.DUMMYFUNCTION("""COMPUTED_VALUE"""),37700.0)</f>
        <v>37700</v>
      </c>
      <c r="E2076" s="1">
        <f>IFERROR(__xludf.DUMMYFUNCTION("""COMPUTED_VALUE"""),38000.0)</f>
        <v>38000</v>
      </c>
      <c r="F2076" s="1">
        <f>IFERROR(__xludf.DUMMYFUNCTION("""COMPUTED_VALUE"""),14874.0)</f>
        <v>14874</v>
      </c>
    </row>
    <row r="2077">
      <c r="A2077" s="2">
        <f>IFERROR(__xludf.DUMMYFUNCTION("""COMPUTED_VALUE"""),44007.64583333333)</f>
        <v>44007.64583</v>
      </c>
      <c r="B2077" s="1">
        <f>IFERROR(__xludf.DUMMYFUNCTION("""COMPUTED_VALUE"""),37500.0)</f>
        <v>37500</v>
      </c>
      <c r="C2077" s="1">
        <f>IFERROR(__xludf.DUMMYFUNCTION("""COMPUTED_VALUE"""),38000.0)</f>
        <v>38000</v>
      </c>
      <c r="D2077" s="1">
        <f>IFERROR(__xludf.DUMMYFUNCTION("""COMPUTED_VALUE"""),37400.0)</f>
        <v>37400</v>
      </c>
      <c r="E2077" s="1">
        <f>IFERROR(__xludf.DUMMYFUNCTION("""COMPUTED_VALUE"""),37600.0)</f>
        <v>37600</v>
      </c>
      <c r="F2077" s="1">
        <f>IFERROR(__xludf.DUMMYFUNCTION("""COMPUTED_VALUE"""),16728.0)</f>
        <v>16728</v>
      </c>
    </row>
    <row r="2078">
      <c r="A2078" s="2">
        <f>IFERROR(__xludf.DUMMYFUNCTION("""COMPUTED_VALUE"""),44008.64583333333)</f>
        <v>44008.64583</v>
      </c>
      <c r="B2078" s="1">
        <f>IFERROR(__xludf.DUMMYFUNCTION("""COMPUTED_VALUE"""),38500.0)</f>
        <v>38500</v>
      </c>
      <c r="C2078" s="1">
        <f>IFERROR(__xludf.DUMMYFUNCTION("""COMPUTED_VALUE"""),38500.0)</f>
        <v>38500</v>
      </c>
      <c r="D2078" s="1">
        <f>IFERROR(__xludf.DUMMYFUNCTION("""COMPUTED_VALUE"""),37150.0)</f>
        <v>37150</v>
      </c>
      <c r="E2078" s="1">
        <f>IFERROR(__xludf.DUMMYFUNCTION("""COMPUTED_VALUE"""),37650.0)</f>
        <v>37650</v>
      </c>
      <c r="F2078" s="1">
        <f>IFERROR(__xludf.DUMMYFUNCTION("""COMPUTED_VALUE"""),16401.0)</f>
        <v>16401</v>
      </c>
    </row>
    <row r="2079">
      <c r="A2079" s="2">
        <f>IFERROR(__xludf.DUMMYFUNCTION("""COMPUTED_VALUE"""),44011.64583333333)</f>
        <v>44011.64583</v>
      </c>
      <c r="B2079" s="1">
        <f>IFERROR(__xludf.DUMMYFUNCTION("""COMPUTED_VALUE"""),37450.0)</f>
        <v>37450</v>
      </c>
      <c r="C2079" s="1">
        <f>IFERROR(__xludf.DUMMYFUNCTION("""COMPUTED_VALUE"""),37450.0)</f>
        <v>37450</v>
      </c>
      <c r="D2079" s="1">
        <f>IFERROR(__xludf.DUMMYFUNCTION("""COMPUTED_VALUE"""),36200.0)</f>
        <v>36200</v>
      </c>
      <c r="E2079" s="1">
        <f>IFERROR(__xludf.DUMMYFUNCTION("""COMPUTED_VALUE"""),36350.0)</f>
        <v>36350</v>
      </c>
      <c r="F2079" s="1">
        <f>IFERROR(__xludf.DUMMYFUNCTION("""COMPUTED_VALUE"""),12833.0)</f>
        <v>12833</v>
      </c>
    </row>
    <row r="2080">
      <c r="A2080" s="2">
        <f>IFERROR(__xludf.DUMMYFUNCTION("""COMPUTED_VALUE"""),44012.64583333333)</f>
        <v>44012.64583</v>
      </c>
      <c r="B2080" s="1">
        <f>IFERROR(__xludf.DUMMYFUNCTION("""COMPUTED_VALUE"""),36900.0)</f>
        <v>36900</v>
      </c>
      <c r="C2080" s="1">
        <f>IFERROR(__xludf.DUMMYFUNCTION("""COMPUTED_VALUE"""),37250.0)</f>
        <v>37250</v>
      </c>
      <c r="D2080" s="1">
        <f>IFERROR(__xludf.DUMMYFUNCTION("""COMPUTED_VALUE"""),36450.0)</f>
        <v>36450</v>
      </c>
      <c r="E2080" s="1">
        <f>IFERROR(__xludf.DUMMYFUNCTION("""COMPUTED_VALUE"""),37200.0)</f>
        <v>37200</v>
      </c>
      <c r="F2080" s="1">
        <f>IFERROR(__xludf.DUMMYFUNCTION("""COMPUTED_VALUE"""),10496.0)</f>
        <v>10496</v>
      </c>
    </row>
    <row r="2081">
      <c r="A2081" s="2">
        <f>IFERROR(__xludf.DUMMYFUNCTION("""COMPUTED_VALUE"""),44013.64583333333)</f>
        <v>44013.64583</v>
      </c>
      <c r="B2081" s="1">
        <f>IFERROR(__xludf.DUMMYFUNCTION("""COMPUTED_VALUE"""),37350.0)</f>
        <v>37350</v>
      </c>
      <c r="C2081" s="1">
        <f>IFERROR(__xludf.DUMMYFUNCTION("""COMPUTED_VALUE"""),37500.0)</f>
        <v>37500</v>
      </c>
      <c r="D2081" s="1">
        <f>IFERROR(__xludf.DUMMYFUNCTION("""COMPUTED_VALUE"""),36500.0)</f>
        <v>36500</v>
      </c>
      <c r="E2081" s="1">
        <f>IFERROR(__xludf.DUMMYFUNCTION("""COMPUTED_VALUE"""),36750.0)</f>
        <v>36750</v>
      </c>
      <c r="F2081" s="1">
        <f>IFERROR(__xludf.DUMMYFUNCTION("""COMPUTED_VALUE"""),17350.0)</f>
        <v>17350</v>
      </c>
    </row>
    <row r="2082">
      <c r="A2082" s="2">
        <f>IFERROR(__xludf.DUMMYFUNCTION("""COMPUTED_VALUE"""),44014.64583333333)</f>
        <v>44014.64583</v>
      </c>
      <c r="B2082" s="1">
        <f>IFERROR(__xludf.DUMMYFUNCTION("""COMPUTED_VALUE"""),36800.0)</f>
        <v>36800</v>
      </c>
      <c r="C2082" s="1">
        <f>IFERROR(__xludf.DUMMYFUNCTION("""COMPUTED_VALUE"""),37500.0)</f>
        <v>37500</v>
      </c>
      <c r="D2082" s="1">
        <f>IFERROR(__xludf.DUMMYFUNCTION("""COMPUTED_VALUE"""),36550.0)</f>
        <v>36550</v>
      </c>
      <c r="E2082" s="1">
        <f>IFERROR(__xludf.DUMMYFUNCTION("""COMPUTED_VALUE"""),37150.0)</f>
        <v>37150</v>
      </c>
      <c r="F2082" s="1">
        <f>IFERROR(__xludf.DUMMYFUNCTION("""COMPUTED_VALUE"""),11912.0)</f>
        <v>11912</v>
      </c>
    </row>
    <row r="2083">
      <c r="A2083" s="2">
        <f>IFERROR(__xludf.DUMMYFUNCTION("""COMPUTED_VALUE"""),44015.64583333333)</f>
        <v>44015.64583</v>
      </c>
      <c r="B2083" s="1">
        <f>IFERROR(__xludf.DUMMYFUNCTION("""COMPUTED_VALUE"""),37200.0)</f>
        <v>37200</v>
      </c>
      <c r="C2083" s="1">
        <f>IFERROR(__xludf.DUMMYFUNCTION("""COMPUTED_VALUE"""),37900.0)</f>
        <v>37900</v>
      </c>
      <c r="D2083" s="1">
        <f>IFERROR(__xludf.DUMMYFUNCTION("""COMPUTED_VALUE"""),36600.0)</f>
        <v>36600</v>
      </c>
      <c r="E2083" s="1">
        <f>IFERROR(__xludf.DUMMYFUNCTION("""COMPUTED_VALUE"""),36900.0)</f>
        <v>36900</v>
      </c>
      <c r="F2083" s="1">
        <f>IFERROR(__xludf.DUMMYFUNCTION("""COMPUTED_VALUE"""),11596.0)</f>
        <v>11596</v>
      </c>
    </row>
    <row r="2084">
      <c r="A2084" s="2">
        <f>IFERROR(__xludf.DUMMYFUNCTION("""COMPUTED_VALUE"""),44018.64583333333)</f>
        <v>44018.64583</v>
      </c>
      <c r="B2084" s="1">
        <f>IFERROR(__xludf.DUMMYFUNCTION("""COMPUTED_VALUE"""),36550.0)</f>
        <v>36550</v>
      </c>
      <c r="C2084" s="1">
        <f>IFERROR(__xludf.DUMMYFUNCTION("""COMPUTED_VALUE"""),36800.0)</f>
        <v>36800</v>
      </c>
      <c r="D2084" s="1">
        <f>IFERROR(__xludf.DUMMYFUNCTION("""COMPUTED_VALUE"""),36250.0)</f>
        <v>36250</v>
      </c>
      <c r="E2084" s="1">
        <f>IFERROR(__xludf.DUMMYFUNCTION("""COMPUTED_VALUE"""),36600.0)</f>
        <v>36600</v>
      </c>
      <c r="F2084" s="1">
        <f>IFERROR(__xludf.DUMMYFUNCTION("""COMPUTED_VALUE"""),14104.0)</f>
        <v>14104</v>
      </c>
    </row>
    <row r="2085">
      <c r="A2085" s="2">
        <f>IFERROR(__xludf.DUMMYFUNCTION("""COMPUTED_VALUE"""),44019.64583333333)</f>
        <v>44019.64583</v>
      </c>
      <c r="B2085" s="1">
        <f>IFERROR(__xludf.DUMMYFUNCTION("""COMPUTED_VALUE"""),36800.0)</f>
        <v>36800</v>
      </c>
      <c r="C2085" s="1">
        <f>IFERROR(__xludf.DUMMYFUNCTION("""COMPUTED_VALUE"""),36800.0)</f>
        <v>36800</v>
      </c>
      <c r="D2085" s="1">
        <f>IFERROR(__xludf.DUMMYFUNCTION("""COMPUTED_VALUE"""),36250.0)</f>
        <v>36250</v>
      </c>
      <c r="E2085" s="1">
        <f>IFERROR(__xludf.DUMMYFUNCTION("""COMPUTED_VALUE"""),36450.0)</f>
        <v>36450</v>
      </c>
      <c r="F2085" s="1">
        <f>IFERROR(__xludf.DUMMYFUNCTION("""COMPUTED_VALUE"""),17853.0)</f>
        <v>17853</v>
      </c>
    </row>
    <row r="2086">
      <c r="A2086" s="2">
        <f>IFERROR(__xludf.DUMMYFUNCTION("""COMPUTED_VALUE"""),44020.64583333333)</f>
        <v>44020.64583</v>
      </c>
      <c r="B2086" s="1">
        <f>IFERROR(__xludf.DUMMYFUNCTION("""COMPUTED_VALUE"""),36350.0)</f>
        <v>36350</v>
      </c>
      <c r="C2086" s="1">
        <f>IFERROR(__xludf.DUMMYFUNCTION("""COMPUTED_VALUE"""),36350.0)</f>
        <v>36350</v>
      </c>
      <c r="D2086" s="1">
        <f>IFERROR(__xludf.DUMMYFUNCTION("""COMPUTED_VALUE"""),35900.0)</f>
        <v>35900</v>
      </c>
      <c r="E2086" s="1">
        <f>IFERROR(__xludf.DUMMYFUNCTION("""COMPUTED_VALUE"""),35900.0)</f>
        <v>35900</v>
      </c>
      <c r="F2086" s="1">
        <f>IFERROR(__xludf.DUMMYFUNCTION("""COMPUTED_VALUE"""),17149.0)</f>
        <v>17149</v>
      </c>
    </row>
    <row r="2087">
      <c r="A2087" s="2">
        <f>IFERROR(__xludf.DUMMYFUNCTION("""COMPUTED_VALUE"""),44021.64583333333)</f>
        <v>44021.64583</v>
      </c>
      <c r="B2087" s="1">
        <f>IFERROR(__xludf.DUMMYFUNCTION("""COMPUTED_VALUE"""),36050.0)</f>
        <v>36050</v>
      </c>
      <c r="C2087" s="1">
        <f>IFERROR(__xludf.DUMMYFUNCTION("""COMPUTED_VALUE"""),36050.0)</f>
        <v>36050</v>
      </c>
      <c r="D2087" s="1">
        <f>IFERROR(__xludf.DUMMYFUNCTION("""COMPUTED_VALUE"""),35500.0)</f>
        <v>35500</v>
      </c>
      <c r="E2087" s="1">
        <f>IFERROR(__xludf.DUMMYFUNCTION("""COMPUTED_VALUE"""),35600.0)</f>
        <v>35600</v>
      </c>
      <c r="F2087" s="1">
        <f>IFERROR(__xludf.DUMMYFUNCTION("""COMPUTED_VALUE"""),19970.0)</f>
        <v>19970</v>
      </c>
    </row>
    <row r="2088">
      <c r="A2088" s="2">
        <f>IFERROR(__xludf.DUMMYFUNCTION("""COMPUTED_VALUE"""),44022.64583333333)</f>
        <v>44022.64583</v>
      </c>
      <c r="B2088" s="1">
        <f>IFERROR(__xludf.DUMMYFUNCTION("""COMPUTED_VALUE"""),35600.0)</f>
        <v>35600</v>
      </c>
      <c r="C2088" s="1">
        <f>IFERROR(__xludf.DUMMYFUNCTION("""COMPUTED_VALUE"""),35600.0)</f>
        <v>35600</v>
      </c>
      <c r="D2088" s="1">
        <f>IFERROR(__xludf.DUMMYFUNCTION("""COMPUTED_VALUE"""),34450.0)</f>
        <v>34450</v>
      </c>
      <c r="E2088" s="1">
        <f>IFERROR(__xludf.DUMMYFUNCTION("""COMPUTED_VALUE"""),34700.0)</f>
        <v>34700</v>
      </c>
      <c r="F2088" s="1">
        <f>IFERROR(__xludf.DUMMYFUNCTION("""COMPUTED_VALUE"""),20621.0)</f>
        <v>20621</v>
      </c>
    </row>
    <row r="2089">
      <c r="A2089" s="2">
        <f>IFERROR(__xludf.DUMMYFUNCTION("""COMPUTED_VALUE"""),44025.64583333333)</f>
        <v>44025.64583</v>
      </c>
      <c r="B2089" s="1">
        <f>IFERROR(__xludf.DUMMYFUNCTION("""COMPUTED_VALUE"""),35350.0)</f>
        <v>35350</v>
      </c>
      <c r="C2089" s="1">
        <f>IFERROR(__xludf.DUMMYFUNCTION("""COMPUTED_VALUE"""),35350.0)</f>
        <v>35350</v>
      </c>
      <c r="D2089" s="1">
        <f>IFERROR(__xludf.DUMMYFUNCTION("""COMPUTED_VALUE"""),34600.0)</f>
        <v>34600</v>
      </c>
      <c r="E2089" s="1">
        <f>IFERROR(__xludf.DUMMYFUNCTION("""COMPUTED_VALUE"""),34900.0)</f>
        <v>34900</v>
      </c>
      <c r="F2089" s="1">
        <f>IFERROR(__xludf.DUMMYFUNCTION("""COMPUTED_VALUE"""),18235.0)</f>
        <v>18235</v>
      </c>
    </row>
    <row r="2090">
      <c r="A2090" s="2">
        <f>IFERROR(__xludf.DUMMYFUNCTION("""COMPUTED_VALUE"""),44026.64583333333)</f>
        <v>44026.64583</v>
      </c>
      <c r="B2090" s="1">
        <f>IFERROR(__xludf.DUMMYFUNCTION("""COMPUTED_VALUE"""),34950.0)</f>
        <v>34950</v>
      </c>
      <c r="C2090" s="1">
        <f>IFERROR(__xludf.DUMMYFUNCTION("""COMPUTED_VALUE"""),34950.0)</f>
        <v>34950</v>
      </c>
      <c r="D2090" s="1">
        <f>IFERROR(__xludf.DUMMYFUNCTION("""COMPUTED_VALUE"""),34200.0)</f>
        <v>34200</v>
      </c>
      <c r="E2090" s="1">
        <f>IFERROR(__xludf.DUMMYFUNCTION("""COMPUTED_VALUE"""),34500.0)</f>
        <v>34500</v>
      </c>
      <c r="F2090" s="1">
        <f>IFERROR(__xludf.DUMMYFUNCTION("""COMPUTED_VALUE"""),13776.0)</f>
        <v>13776</v>
      </c>
    </row>
    <row r="2091">
      <c r="A2091" s="2">
        <f>IFERROR(__xludf.DUMMYFUNCTION("""COMPUTED_VALUE"""),44027.64583333333)</f>
        <v>44027.64583</v>
      </c>
      <c r="B2091" s="1">
        <f>IFERROR(__xludf.DUMMYFUNCTION("""COMPUTED_VALUE"""),34900.0)</f>
        <v>34900</v>
      </c>
      <c r="C2091" s="1">
        <f>IFERROR(__xludf.DUMMYFUNCTION("""COMPUTED_VALUE"""),35250.0)</f>
        <v>35250</v>
      </c>
      <c r="D2091" s="1">
        <f>IFERROR(__xludf.DUMMYFUNCTION("""COMPUTED_VALUE"""),34700.0)</f>
        <v>34700</v>
      </c>
      <c r="E2091" s="1">
        <f>IFERROR(__xludf.DUMMYFUNCTION("""COMPUTED_VALUE"""),34950.0)</f>
        <v>34950</v>
      </c>
      <c r="F2091" s="1">
        <f>IFERROR(__xludf.DUMMYFUNCTION("""COMPUTED_VALUE"""),15516.0)</f>
        <v>15516</v>
      </c>
    </row>
    <row r="2092">
      <c r="A2092" s="2">
        <f>IFERROR(__xludf.DUMMYFUNCTION("""COMPUTED_VALUE"""),44028.64583333333)</f>
        <v>44028.64583</v>
      </c>
      <c r="B2092" s="1">
        <f>IFERROR(__xludf.DUMMYFUNCTION("""COMPUTED_VALUE"""),34650.0)</f>
        <v>34650</v>
      </c>
      <c r="C2092" s="1">
        <f>IFERROR(__xludf.DUMMYFUNCTION("""COMPUTED_VALUE"""),35550.0)</f>
        <v>35550</v>
      </c>
      <c r="D2092" s="1">
        <f>IFERROR(__xludf.DUMMYFUNCTION("""COMPUTED_VALUE"""),34650.0)</f>
        <v>34650</v>
      </c>
      <c r="E2092" s="1">
        <f>IFERROR(__xludf.DUMMYFUNCTION("""COMPUTED_VALUE"""),35150.0)</f>
        <v>35150</v>
      </c>
      <c r="F2092" s="1">
        <f>IFERROR(__xludf.DUMMYFUNCTION("""COMPUTED_VALUE"""),12243.0)</f>
        <v>12243</v>
      </c>
    </row>
    <row r="2093">
      <c r="A2093" s="2">
        <f>IFERROR(__xludf.DUMMYFUNCTION("""COMPUTED_VALUE"""),44029.64583333333)</f>
        <v>44029.64583</v>
      </c>
      <c r="B2093" s="1">
        <f>IFERROR(__xludf.DUMMYFUNCTION("""COMPUTED_VALUE"""),35150.0)</f>
        <v>35150</v>
      </c>
      <c r="C2093" s="1">
        <f>IFERROR(__xludf.DUMMYFUNCTION("""COMPUTED_VALUE"""),35300.0)</f>
        <v>35300</v>
      </c>
      <c r="D2093" s="1">
        <f>IFERROR(__xludf.DUMMYFUNCTION("""COMPUTED_VALUE"""),34750.0)</f>
        <v>34750</v>
      </c>
      <c r="E2093" s="1">
        <f>IFERROR(__xludf.DUMMYFUNCTION("""COMPUTED_VALUE"""),35000.0)</f>
        <v>35000</v>
      </c>
      <c r="F2093" s="1">
        <f>IFERROR(__xludf.DUMMYFUNCTION("""COMPUTED_VALUE"""),4596.0)</f>
        <v>4596</v>
      </c>
    </row>
    <row r="2094">
      <c r="A2094" s="2">
        <f>IFERROR(__xludf.DUMMYFUNCTION("""COMPUTED_VALUE"""),44032.64583333333)</f>
        <v>44032.64583</v>
      </c>
      <c r="B2094" s="1">
        <f>IFERROR(__xludf.DUMMYFUNCTION("""COMPUTED_VALUE"""),34800.0)</f>
        <v>34800</v>
      </c>
      <c r="C2094" s="1">
        <f>IFERROR(__xludf.DUMMYFUNCTION("""COMPUTED_VALUE"""),35000.0)</f>
        <v>35000</v>
      </c>
      <c r="D2094" s="1">
        <f>IFERROR(__xludf.DUMMYFUNCTION("""COMPUTED_VALUE"""),34650.0)</f>
        <v>34650</v>
      </c>
      <c r="E2094" s="1">
        <f>IFERROR(__xludf.DUMMYFUNCTION("""COMPUTED_VALUE"""),34800.0)</f>
        <v>34800</v>
      </c>
      <c r="F2094" s="1">
        <f>IFERROR(__xludf.DUMMYFUNCTION("""COMPUTED_VALUE"""),6633.0)</f>
        <v>6633</v>
      </c>
    </row>
    <row r="2095">
      <c r="A2095" s="2">
        <f>IFERROR(__xludf.DUMMYFUNCTION("""COMPUTED_VALUE"""),44033.64583333333)</f>
        <v>44033.64583</v>
      </c>
      <c r="B2095" s="1">
        <f>IFERROR(__xludf.DUMMYFUNCTION("""COMPUTED_VALUE"""),34650.0)</f>
        <v>34650</v>
      </c>
      <c r="C2095" s="1">
        <f>IFERROR(__xludf.DUMMYFUNCTION("""COMPUTED_VALUE"""),35300.0)</f>
        <v>35300</v>
      </c>
      <c r="D2095" s="1">
        <f>IFERROR(__xludf.DUMMYFUNCTION("""COMPUTED_VALUE"""),34650.0)</f>
        <v>34650</v>
      </c>
      <c r="E2095" s="1">
        <f>IFERROR(__xludf.DUMMYFUNCTION("""COMPUTED_VALUE"""),34850.0)</f>
        <v>34850</v>
      </c>
      <c r="F2095" s="1">
        <f>IFERROR(__xludf.DUMMYFUNCTION("""COMPUTED_VALUE"""),13743.0)</f>
        <v>13743</v>
      </c>
    </row>
    <row r="2096">
      <c r="A2096" s="2">
        <f>IFERROR(__xludf.DUMMYFUNCTION("""COMPUTED_VALUE"""),44034.64583333333)</f>
        <v>44034.64583</v>
      </c>
      <c r="B2096" s="1">
        <f>IFERROR(__xludf.DUMMYFUNCTION("""COMPUTED_VALUE"""),35100.0)</f>
        <v>35100</v>
      </c>
      <c r="C2096" s="1">
        <f>IFERROR(__xludf.DUMMYFUNCTION("""COMPUTED_VALUE"""),35450.0)</f>
        <v>35450</v>
      </c>
      <c r="D2096" s="1">
        <f>IFERROR(__xludf.DUMMYFUNCTION("""COMPUTED_VALUE"""),34900.0)</f>
        <v>34900</v>
      </c>
      <c r="E2096" s="1">
        <f>IFERROR(__xludf.DUMMYFUNCTION("""COMPUTED_VALUE"""),35150.0)</f>
        <v>35150</v>
      </c>
      <c r="F2096" s="1">
        <f>IFERROR(__xludf.DUMMYFUNCTION("""COMPUTED_VALUE"""),13524.0)</f>
        <v>13524</v>
      </c>
    </row>
    <row r="2097">
      <c r="A2097" s="2">
        <f>IFERROR(__xludf.DUMMYFUNCTION("""COMPUTED_VALUE"""),44035.64583333333)</f>
        <v>44035.64583</v>
      </c>
      <c r="B2097" s="1">
        <f>IFERROR(__xludf.DUMMYFUNCTION("""COMPUTED_VALUE"""),35000.0)</f>
        <v>35000</v>
      </c>
      <c r="C2097" s="1">
        <f>IFERROR(__xludf.DUMMYFUNCTION("""COMPUTED_VALUE"""),35300.0)</f>
        <v>35300</v>
      </c>
      <c r="D2097" s="1">
        <f>IFERROR(__xludf.DUMMYFUNCTION("""COMPUTED_VALUE"""),34650.0)</f>
        <v>34650</v>
      </c>
      <c r="E2097" s="1">
        <f>IFERROR(__xludf.DUMMYFUNCTION("""COMPUTED_VALUE"""),34650.0)</f>
        <v>34650</v>
      </c>
      <c r="F2097" s="1">
        <f>IFERROR(__xludf.DUMMYFUNCTION("""COMPUTED_VALUE"""),9653.0)</f>
        <v>9653</v>
      </c>
    </row>
    <row r="2098">
      <c r="A2098" s="2">
        <f>IFERROR(__xludf.DUMMYFUNCTION("""COMPUTED_VALUE"""),44036.64583333333)</f>
        <v>44036.64583</v>
      </c>
      <c r="B2098" s="1">
        <f>IFERROR(__xludf.DUMMYFUNCTION("""COMPUTED_VALUE"""),34850.0)</f>
        <v>34850</v>
      </c>
      <c r="C2098" s="1">
        <f>IFERROR(__xludf.DUMMYFUNCTION("""COMPUTED_VALUE"""),34850.0)</f>
        <v>34850</v>
      </c>
      <c r="D2098" s="1">
        <f>IFERROR(__xludf.DUMMYFUNCTION("""COMPUTED_VALUE"""),34150.0)</f>
        <v>34150</v>
      </c>
      <c r="E2098" s="1">
        <f>IFERROR(__xludf.DUMMYFUNCTION("""COMPUTED_VALUE"""),34350.0)</f>
        <v>34350</v>
      </c>
      <c r="F2098" s="1">
        <f>IFERROR(__xludf.DUMMYFUNCTION("""COMPUTED_VALUE"""),13497.0)</f>
        <v>13497</v>
      </c>
    </row>
    <row r="2099">
      <c r="A2099" s="2">
        <f>IFERROR(__xludf.DUMMYFUNCTION("""COMPUTED_VALUE"""),44039.64583333333)</f>
        <v>44039.64583</v>
      </c>
      <c r="B2099" s="1">
        <f>IFERROR(__xludf.DUMMYFUNCTION("""COMPUTED_VALUE"""),34350.0)</f>
        <v>34350</v>
      </c>
      <c r="C2099" s="1">
        <f>IFERROR(__xludf.DUMMYFUNCTION("""COMPUTED_VALUE"""),34700.0)</f>
        <v>34700</v>
      </c>
      <c r="D2099" s="1">
        <f>IFERROR(__xludf.DUMMYFUNCTION("""COMPUTED_VALUE"""),34250.0)</f>
        <v>34250</v>
      </c>
      <c r="E2099" s="1">
        <f>IFERROR(__xludf.DUMMYFUNCTION("""COMPUTED_VALUE"""),34350.0)</f>
        <v>34350</v>
      </c>
      <c r="F2099" s="1">
        <f>IFERROR(__xludf.DUMMYFUNCTION("""COMPUTED_VALUE"""),6550.0)</f>
        <v>6550</v>
      </c>
    </row>
    <row r="2100">
      <c r="A2100" s="2">
        <f>IFERROR(__xludf.DUMMYFUNCTION("""COMPUTED_VALUE"""),44040.64583333333)</f>
        <v>44040.64583</v>
      </c>
      <c r="B2100" s="1">
        <f>IFERROR(__xludf.DUMMYFUNCTION("""COMPUTED_VALUE"""),34550.0)</f>
        <v>34550</v>
      </c>
      <c r="C2100" s="1">
        <f>IFERROR(__xludf.DUMMYFUNCTION("""COMPUTED_VALUE"""),34700.0)</f>
        <v>34700</v>
      </c>
      <c r="D2100" s="1">
        <f>IFERROR(__xludf.DUMMYFUNCTION("""COMPUTED_VALUE"""),34350.0)</f>
        <v>34350</v>
      </c>
      <c r="E2100" s="1">
        <f>IFERROR(__xludf.DUMMYFUNCTION("""COMPUTED_VALUE"""),34650.0)</f>
        <v>34650</v>
      </c>
      <c r="F2100" s="1">
        <f>IFERROR(__xludf.DUMMYFUNCTION("""COMPUTED_VALUE"""),7126.0)</f>
        <v>7126</v>
      </c>
    </row>
    <row r="2101">
      <c r="A2101" s="2">
        <f>IFERROR(__xludf.DUMMYFUNCTION("""COMPUTED_VALUE"""),44041.64583333333)</f>
        <v>44041.64583</v>
      </c>
      <c r="B2101" s="1">
        <f>IFERROR(__xludf.DUMMYFUNCTION("""COMPUTED_VALUE"""),34700.0)</f>
        <v>34700</v>
      </c>
      <c r="C2101" s="1">
        <f>IFERROR(__xludf.DUMMYFUNCTION("""COMPUTED_VALUE"""),35200.0)</f>
        <v>35200</v>
      </c>
      <c r="D2101" s="1">
        <f>IFERROR(__xludf.DUMMYFUNCTION("""COMPUTED_VALUE"""),34550.0)</f>
        <v>34550</v>
      </c>
      <c r="E2101" s="1">
        <f>IFERROR(__xludf.DUMMYFUNCTION("""COMPUTED_VALUE"""),34800.0)</f>
        <v>34800</v>
      </c>
      <c r="F2101" s="1">
        <f>IFERROR(__xludf.DUMMYFUNCTION("""COMPUTED_VALUE"""),7572.0)</f>
        <v>7572</v>
      </c>
    </row>
    <row r="2102">
      <c r="A2102" s="2">
        <f>IFERROR(__xludf.DUMMYFUNCTION("""COMPUTED_VALUE"""),44042.64583333333)</f>
        <v>44042.64583</v>
      </c>
      <c r="B2102" s="1">
        <f>IFERROR(__xludf.DUMMYFUNCTION("""COMPUTED_VALUE"""),34900.0)</f>
        <v>34900</v>
      </c>
      <c r="C2102" s="1">
        <f>IFERROR(__xludf.DUMMYFUNCTION("""COMPUTED_VALUE"""),35300.0)</f>
        <v>35300</v>
      </c>
      <c r="D2102" s="1">
        <f>IFERROR(__xludf.DUMMYFUNCTION("""COMPUTED_VALUE"""),34800.0)</f>
        <v>34800</v>
      </c>
      <c r="E2102" s="1">
        <f>IFERROR(__xludf.DUMMYFUNCTION("""COMPUTED_VALUE"""),35100.0)</f>
        <v>35100</v>
      </c>
      <c r="F2102" s="1">
        <f>IFERROR(__xludf.DUMMYFUNCTION("""COMPUTED_VALUE"""),10867.0)</f>
        <v>10867</v>
      </c>
    </row>
    <row r="2103">
      <c r="A2103" s="2">
        <f>IFERROR(__xludf.DUMMYFUNCTION("""COMPUTED_VALUE"""),44043.64583333333)</f>
        <v>44043.64583</v>
      </c>
      <c r="B2103" s="1">
        <f>IFERROR(__xludf.DUMMYFUNCTION("""COMPUTED_VALUE"""),35100.0)</f>
        <v>35100</v>
      </c>
      <c r="C2103" s="1">
        <f>IFERROR(__xludf.DUMMYFUNCTION("""COMPUTED_VALUE"""),35350.0)</f>
        <v>35350</v>
      </c>
      <c r="D2103" s="1">
        <f>IFERROR(__xludf.DUMMYFUNCTION("""COMPUTED_VALUE"""),34700.0)</f>
        <v>34700</v>
      </c>
      <c r="E2103" s="1">
        <f>IFERROR(__xludf.DUMMYFUNCTION("""COMPUTED_VALUE"""),35300.0)</f>
        <v>35300</v>
      </c>
      <c r="F2103" s="1">
        <f>IFERROR(__xludf.DUMMYFUNCTION("""COMPUTED_VALUE"""),19285.0)</f>
        <v>19285</v>
      </c>
    </row>
    <row r="2104">
      <c r="A2104" s="2">
        <f>IFERROR(__xludf.DUMMYFUNCTION("""COMPUTED_VALUE"""),44046.64583333333)</f>
        <v>44046.64583</v>
      </c>
      <c r="B2104" s="1">
        <f>IFERROR(__xludf.DUMMYFUNCTION("""COMPUTED_VALUE"""),35000.0)</f>
        <v>35000</v>
      </c>
      <c r="C2104" s="1">
        <f>IFERROR(__xludf.DUMMYFUNCTION("""COMPUTED_VALUE"""),35100.0)</f>
        <v>35100</v>
      </c>
      <c r="D2104" s="1">
        <f>IFERROR(__xludf.DUMMYFUNCTION("""COMPUTED_VALUE"""),34450.0)</f>
        <v>34450</v>
      </c>
      <c r="E2104" s="1">
        <f>IFERROR(__xludf.DUMMYFUNCTION("""COMPUTED_VALUE"""),34450.0)</f>
        <v>34450</v>
      </c>
      <c r="F2104" s="1">
        <f>IFERROR(__xludf.DUMMYFUNCTION("""COMPUTED_VALUE"""),15383.0)</f>
        <v>15383</v>
      </c>
    </row>
    <row r="2105">
      <c r="A2105" s="2">
        <f>IFERROR(__xludf.DUMMYFUNCTION("""COMPUTED_VALUE"""),44047.64583333333)</f>
        <v>44047.64583</v>
      </c>
      <c r="B2105" s="1">
        <f>IFERROR(__xludf.DUMMYFUNCTION("""COMPUTED_VALUE"""),34500.0)</f>
        <v>34500</v>
      </c>
      <c r="C2105" s="1">
        <f>IFERROR(__xludf.DUMMYFUNCTION("""COMPUTED_VALUE"""),34700.0)</f>
        <v>34700</v>
      </c>
      <c r="D2105" s="1">
        <f>IFERROR(__xludf.DUMMYFUNCTION("""COMPUTED_VALUE"""),34300.0)</f>
        <v>34300</v>
      </c>
      <c r="E2105" s="1">
        <f>IFERROR(__xludf.DUMMYFUNCTION("""COMPUTED_VALUE"""),34450.0)</f>
        <v>34450</v>
      </c>
      <c r="F2105" s="1">
        <f>IFERROR(__xludf.DUMMYFUNCTION("""COMPUTED_VALUE"""),14140.0)</f>
        <v>14140</v>
      </c>
    </row>
    <row r="2106">
      <c r="A2106" s="2">
        <f>IFERROR(__xludf.DUMMYFUNCTION("""COMPUTED_VALUE"""),44048.64583333333)</f>
        <v>44048.64583</v>
      </c>
      <c r="B2106" s="1">
        <f>IFERROR(__xludf.DUMMYFUNCTION("""COMPUTED_VALUE"""),34450.0)</f>
        <v>34450</v>
      </c>
      <c r="C2106" s="1">
        <f>IFERROR(__xludf.DUMMYFUNCTION("""COMPUTED_VALUE"""),35250.0)</f>
        <v>35250</v>
      </c>
      <c r="D2106" s="1">
        <f>IFERROR(__xludf.DUMMYFUNCTION("""COMPUTED_VALUE"""),34450.0)</f>
        <v>34450</v>
      </c>
      <c r="E2106" s="1">
        <f>IFERROR(__xludf.DUMMYFUNCTION("""COMPUTED_VALUE"""),34750.0)</f>
        <v>34750</v>
      </c>
      <c r="F2106" s="1">
        <f>IFERROR(__xludf.DUMMYFUNCTION("""COMPUTED_VALUE"""),25071.0)</f>
        <v>25071</v>
      </c>
    </row>
    <row r="2107">
      <c r="A2107" s="2">
        <f>IFERROR(__xludf.DUMMYFUNCTION("""COMPUTED_VALUE"""),44049.64583333333)</f>
        <v>44049.64583</v>
      </c>
      <c r="B2107" s="1">
        <f>IFERROR(__xludf.DUMMYFUNCTION("""COMPUTED_VALUE"""),34900.0)</f>
        <v>34900</v>
      </c>
      <c r="C2107" s="1">
        <f>IFERROR(__xludf.DUMMYFUNCTION("""COMPUTED_VALUE"""),35600.0)</f>
        <v>35600</v>
      </c>
      <c r="D2107" s="1">
        <f>IFERROR(__xludf.DUMMYFUNCTION("""COMPUTED_VALUE"""),34650.0)</f>
        <v>34650</v>
      </c>
      <c r="E2107" s="1">
        <f>IFERROR(__xludf.DUMMYFUNCTION("""COMPUTED_VALUE"""),35150.0)</f>
        <v>35150</v>
      </c>
      <c r="F2107" s="1">
        <f>IFERROR(__xludf.DUMMYFUNCTION("""COMPUTED_VALUE"""),36158.0)</f>
        <v>36158</v>
      </c>
    </row>
    <row r="2108">
      <c r="A2108" s="2">
        <f>IFERROR(__xludf.DUMMYFUNCTION("""COMPUTED_VALUE"""),44050.64583333333)</f>
        <v>44050.64583</v>
      </c>
      <c r="B2108" s="1">
        <f>IFERROR(__xludf.DUMMYFUNCTION("""COMPUTED_VALUE"""),35250.0)</f>
        <v>35250</v>
      </c>
      <c r="C2108" s="1">
        <f>IFERROR(__xludf.DUMMYFUNCTION("""COMPUTED_VALUE"""),35700.0)</f>
        <v>35700</v>
      </c>
      <c r="D2108" s="1">
        <f>IFERROR(__xludf.DUMMYFUNCTION("""COMPUTED_VALUE"""),34900.0)</f>
        <v>34900</v>
      </c>
      <c r="E2108" s="1">
        <f>IFERROR(__xludf.DUMMYFUNCTION("""COMPUTED_VALUE"""),35450.0)</f>
        <v>35450</v>
      </c>
      <c r="F2108" s="1">
        <f>IFERROR(__xludf.DUMMYFUNCTION("""COMPUTED_VALUE"""),28034.0)</f>
        <v>28034</v>
      </c>
    </row>
    <row r="2109">
      <c r="A2109" s="2">
        <f>IFERROR(__xludf.DUMMYFUNCTION("""COMPUTED_VALUE"""),44053.64583333333)</f>
        <v>44053.64583</v>
      </c>
      <c r="B2109" s="1">
        <f>IFERROR(__xludf.DUMMYFUNCTION("""COMPUTED_VALUE"""),35450.0)</f>
        <v>35450</v>
      </c>
      <c r="C2109" s="1">
        <f>IFERROR(__xludf.DUMMYFUNCTION("""COMPUTED_VALUE"""),35600.0)</f>
        <v>35600</v>
      </c>
      <c r="D2109" s="1">
        <f>IFERROR(__xludf.DUMMYFUNCTION("""COMPUTED_VALUE"""),35050.0)</f>
        <v>35050</v>
      </c>
      <c r="E2109" s="1">
        <f>IFERROR(__xludf.DUMMYFUNCTION("""COMPUTED_VALUE"""),35200.0)</f>
        <v>35200</v>
      </c>
      <c r="F2109" s="1">
        <f>IFERROR(__xludf.DUMMYFUNCTION("""COMPUTED_VALUE"""),22268.0)</f>
        <v>22268</v>
      </c>
    </row>
    <row r="2110">
      <c r="A2110" s="2">
        <f>IFERROR(__xludf.DUMMYFUNCTION("""COMPUTED_VALUE"""),44054.64583333333)</f>
        <v>44054.64583</v>
      </c>
      <c r="B2110" s="1">
        <f>IFERROR(__xludf.DUMMYFUNCTION("""COMPUTED_VALUE"""),35250.0)</f>
        <v>35250</v>
      </c>
      <c r="C2110" s="1">
        <f>IFERROR(__xludf.DUMMYFUNCTION("""COMPUTED_VALUE"""),39050.0)</f>
        <v>39050</v>
      </c>
      <c r="D2110" s="1">
        <f>IFERROR(__xludf.DUMMYFUNCTION("""COMPUTED_VALUE"""),35250.0)</f>
        <v>35250</v>
      </c>
      <c r="E2110" s="1">
        <f>IFERROR(__xludf.DUMMYFUNCTION("""COMPUTED_VALUE"""),37350.0)</f>
        <v>37350</v>
      </c>
      <c r="F2110" s="1">
        <f>IFERROR(__xludf.DUMMYFUNCTION("""COMPUTED_VALUE"""),100666.0)</f>
        <v>100666</v>
      </c>
    </row>
    <row r="2111">
      <c r="A2111" s="2">
        <f>IFERROR(__xludf.DUMMYFUNCTION("""COMPUTED_VALUE"""),44055.64583333333)</f>
        <v>44055.64583</v>
      </c>
      <c r="B2111" s="1">
        <f>IFERROR(__xludf.DUMMYFUNCTION("""COMPUTED_VALUE"""),37800.0)</f>
        <v>37800</v>
      </c>
      <c r="C2111" s="1">
        <f>IFERROR(__xludf.DUMMYFUNCTION("""COMPUTED_VALUE"""),38500.0)</f>
        <v>38500</v>
      </c>
      <c r="D2111" s="1">
        <f>IFERROR(__xludf.DUMMYFUNCTION("""COMPUTED_VALUE"""),37350.0)</f>
        <v>37350</v>
      </c>
      <c r="E2111" s="1">
        <f>IFERROR(__xludf.DUMMYFUNCTION("""COMPUTED_VALUE"""),37800.0)</f>
        <v>37800</v>
      </c>
      <c r="F2111" s="1">
        <f>IFERROR(__xludf.DUMMYFUNCTION("""COMPUTED_VALUE"""),50021.0)</f>
        <v>50021</v>
      </c>
    </row>
    <row r="2112">
      <c r="A2112" s="2">
        <f>IFERROR(__xludf.DUMMYFUNCTION("""COMPUTED_VALUE"""),44056.64583333333)</f>
        <v>44056.64583</v>
      </c>
      <c r="B2112" s="1">
        <f>IFERROR(__xludf.DUMMYFUNCTION("""COMPUTED_VALUE"""),38000.0)</f>
        <v>38000</v>
      </c>
      <c r="C2112" s="1">
        <f>IFERROR(__xludf.DUMMYFUNCTION("""COMPUTED_VALUE"""),38450.0)</f>
        <v>38450</v>
      </c>
      <c r="D2112" s="1">
        <f>IFERROR(__xludf.DUMMYFUNCTION("""COMPUTED_VALUE"""),37250.0)</f>
        <v>37250</v>
      </c>
      <c r="E2112" s="1">
        <f>IFERROR(__xludf.DUMMYFUNCTION("""COMPUTED_VALUE"""),37800.0)</f>
        <v>37800</v>
      </c>
      <c r="F2112" s="1">
        <f>IFERROR(__xludf.DUMMYFUNCTION("""COMPUTED_VALUE"""),35089.0)</f>
        <v>35089</v>
      </c>
    </row>
    <row r="2113">
      <c r="A2113" s="2">
        <f>IFERROR(__xludf.DUMMYFUNCTION("""COMPUTED_VALUE"""),44057.64583333333)</f>
        <v>44057.64583</v>
      </c>
      <c r="B2113" s="1">
        <f>IFERROR(__xludf.DUMMYFUNCTION("""COMPUTED_VALUE"""),38050.0)</f>
        <v>38050</v>
      </c>
      <c r="C2113" s="1">
        <f>IFERROR(__xludf.DUMMYFUNCTION("""COMPUTED_VALUE"""),38050.0)</f>
        <v>38050</v>
      </c>
      <c r="D2113" s="1">
        <f>IFERROR(__xludf.DUMMYFUNCTION("""COMPUTED_VALUE"""),36850.0)</f>
        <v>36850</v>
      </c>
      <c r="E2113" s="1">
        <f>IFERROR(__xludf.DUMMYFUNCTION("""COMPUTED_VALUE"""),37200.0)</f>
        <v>37200</v>
      </c>
      <c r="F2113" s="1">
        <f>IFERROR(__xludf.DUMMYFUNCTION("""COMPUTED_VALUE"""),23386.0)</f>
        <v>23386</v>
      </c>
    </row>
    <row r="2114">
      <c r="A2114" s="2">
        <f>IFERROR(__xludf.DUMMYFUNCTION("""COMPUTED_VALUE"""),44061.64583333333)</f>
        <v>44061.64583</v>
      </c>
      <c r="B2114" s="1">
        <f>IFERROR(__xludf.DUMMYFUNCTION("""COMPUTED_VALUE"""),37550.0)</f>
        <v>37550</v>
      </c>
      <c r="C2114" s="1">
        <f>IFERROR(__xludf.DUMMYFUNCTION("""COMPUTED_VALUE"""),37550.0)</f>
        <v>37550</v>
      </c>
      <c r="D2114" s="1">
        <f>IFERROR(__xludf.DUMMYFUNCTION("""COMPUTED_VALUE"""),35150.0)</f>
        <v>35150</v>
      </c>
      <c r="E2114" s="1">
        <f>IFERROR(__xludf.DUMMYFUNCTION("""COMPUTED_VALUE"""),35450.0)</f>
        <v>35450</v>
      </c>
      <c r="F2114" s="1">
        <f>IFERROR(__xludf.DUMMYFUNCTION("""COMPUTED_VALUE"""),24101.0)</f>
        <v>24101</v>
      </c>
    </row>
    <row r="2115">
      <c r="A2115" s="2">
        <f>IFERROR(__xludf.DUMMYFUNCTION("""COMPUTED_VALUE"""),44062.64583333333)</f>
        <v>44062.64583</v>
      </c>
      <c r="B2115" s="1">
        <f>IFERROR(__xludf.DUMMYFUNCTION("""COMPUTED_VALUE"""),35450.0)</f>
        <v>35450</v>
      </c>
      <c r="C2115" s="1">
        <f>IFERROR(__xludf.DUMMYFUNCTION("""COMPUTED_VALUE"""),35650.0)</f>
        <v>35650</v>
      </c>
      <c r="D2115" s="1">
        <f>IFERROR(__xludf.DUMMYFUNCTION("""COMPUTED_VALUE"""),35000.0)</f>
        <v>35000</v>
      </c>
      <c r="E2115" s="1">
        <f>IFERROR(__xludf.DUMMYFUNCTION("""COMPUTED_VALUE"""),35300.0)</f>
        <v>35300</v>
      </c>
      <c r="F2115" s="1">
        <f>IFERROR(__xludf.DUMMYFUNCTION("""COMPUTED_VALUE"""),17717.0)</f>
        <v>17717</v>
      </c>
    </row>
    <row r="2116">
      <c r="A2116" s="2">
        <f>IFERROR(__xludf.DUMMYFUNCTION("""COMPUTED_VALUE"""),44063.64583333333)</f>
        <v>44063.64583</v>
      </c>
      <c r="B2116" s="1">
        <f>IFERROR(__xludf.DUMMYFUNCTION("""COMPUTED_VALUE"""),35500.0)</f>
        <v>35500</v>
      </c>
      <c r="C2116" s="1">
        <f>IFERROR(__xludf.DUMMYFUNCTION("""COMPUTED_VALUE"""),35500.0)</f>
        <v>35500</v>
      </c>
      <c r="D2116" s="1">
        <f>IFERROR(__xludf.DUMMYFUNCTION("""COMPUTED_VALUE"""),33200.0)</f>
        <v>33200</v>
      </c>
      <c r="E2116" s="1">
        <f>IFERROR(__xludf.DUMMYFUNCTION("""COMPUTED_VALUE"""),33350.0)</f>
        <v>33350</v>
      </c>
      <c r="F2116" s="1">
        <f>IFERROR(__xludf.DUMMYFUNCTION("""COMPUTED_VALUE"""),39023.0)</f>
        <v>39023</v>
      </c>
    </row>
    <row r="2117">
      <c r="A2117" s="2">
        <f>IFERROR(__xludf.DUMMYFUNCTION("""COMPUTED_VALUE"""),44064.64583333333)</f>
        <v>44064.64583</v>
      </c>
      <c r="B2117" s="1">
        <f>IFERROR(__xludf.DUMMYFUNCTION("""COMPUTED_VALUE"""),33350.0)</f>
        <v>33350</v>
      </c>
      <c r="C2117" s="1">
        <f>IFERROR(__xludf.DUMMYFUNCTION("""COMPUTED_VALUE"""),34300.0)</f>
        <v>34300</v>
      </c>
      <c r="D2117" s="1">
        <f>IFERROR(__xludf.DUMMYFUNCTION("""COMPUTED_VALUE"""),33000.0)</f>
        <v>33000</v>
      </c>
      <c r="E2117" s="1">
        <f>IFERROR(__xludf.DUMMYFUNCTION("""COMPUTED_VALUE"""),33250.0)</f>
        <v>33250</v>
      </c>
      <c r="F2117" s="1">
        <f>IFERROR(__xludf.DUMMYFUNCTION("""COMPUTED_VALUE"""),39564.0)</f>
        <v>39564</v>
      </c>
    </row>
    <row r="2118">
      <c r="A2118" s="2">
        <f>IFERROR(__xludf.DUMMYFUNCTION("""COMPUTED_VALUE"""),44067.64583333333)</f>
        <v>44067.64583</v>
      </c>
      <c r="B2118" s="1">
        <f>IFERROR(__xludf.DUMMYFUNCTION("""COMPUTED_VALUE"""),33200.0)</f>
        <v>33200</v>
      </c>
      <c r="C2118" s="1">
        <f>IFERROR(__xludf.DUMMYFUNCTION("""COMPUTED_VALUE"""),33200.0)</f>
        <v>33200</v>
      </c>
      <c r="D2118" s="1">
        <f>IFERROR(__xludf.DUMMYFUNCTION("""COMPUTED_VALUE"""),32500.0)</f>
        <v>32500</v>
      </c>
      <c r="E2118" s="1">
        <f>IFERROR(__xludf.DUMMYFUNCTION("""COMPUTED_VALUE"""),32850.0)</f>
        <v>32850</v>
      </c>
      <c r="F2118" s="1">
        <f>IFERROR(__xludf.DUMMYFUNCTION("""COMPUTED_VALUE"""),18240.0)</f>
        <v>18240</v>
      </c>
    </row>
    <row r="2119">
      <c r="A2119" s="2">
        <f>IFERROR(__xludf.DUMMYFUNCTION("""COMPUTED_VALUE"""),44068.64583333333)</f>
        <v>44068.64583</v>
      </c>
      <c r="B2119" s="1">
        <f>IFERROR(__xludf.DUMMYFUNCTION("""COMPUTED_VALUE"""),33050.0)</f>
        <v>33050</v>
      </c>
      <c r="C2119" s="1">
        <f>IFERROR(__xludf.DUMMYFUNCTION("""COMPUTED_VALUE"""),34100.0)</f>
        <v>34100</v>
      </c>
      <c r="D2119" s="1">
        <f>IFERROR(__xludf.DUMMYFUNCTION("""COMPUTED_VALUE"""),33050.0)</f>
        <v>33050</v>
      </c>
      <c r="E2119" s="1">
        <f>IFERROR(__xludf.DUMMYFUNCTION("""COMPUTED_VALUE"""),34000.0)</f>
        <v>34000</v>
      </c>
      <c r="F2119" s="1">
        <f>IFERROR(__xludf.DUMMYFUNCTION("""COMPUTED_VALUE"""),16315.0)</f>
        <v>16315</v>
      </c>
    </row>
    <row r="2120">
      <c r="A2120" s="2">
        <f>IFERROR(__xludf.DUMMYFUNCTION("""COMPUTED_VALUE"""),44069.64583333333)</f>
        <v>44069.64583</v>
      </c>
      <c r="B2120" s="1">
        <f>IFERROR(__xludf.DUMMYFUNCTION("""COMPUTED_VALUE"""),34050.0)</f>
        <v>34050</v>
      </c>
      <c r="C2120" s="1">
        <f>IFERROR(__xludf.DUMMYFUNCTION("""COMPUTED_VALUE"""),34250.0)</f>
        <v>34250</v>
      </c>
      <c r="D2120" s="1">
        <f>IFERROR(__xludf.DUMMYFUNCTION("""COMPUTED_VALUE"""),33350.0)</f>
        <v>33350</v>
      </c>
      <c r="E2120" s="1">
        <f>IFERROR(__xludf.DUMMYFUNCTION("""COMPUTED_VALUE"""),33550.0)</f>
        <v>33550</v>
      </c>
      <c r="F2120" s="1">
        <f>IFERROR(__xludf.DUMMYFUNCTION("""COMPUTED_VALUE"""),14157.0)</f>
        <v>14157</v>
      </c>
    </row>
    <row r="2121">
      <c r="A2121" s="2">
        <f>IFERROR(__xludf.DUMMYFUNCTION("""COMPUTED_VALUE"""),44070.64583333333)</f>
        <v>44070.64583</v>
      </c>
      <c r="B2121" s="1">
        <f>IFERROR(__xludf.DUMMYFUNCTION("""COMPUTED_VALUE"""),33600.0)</f>
        <v>33600</v>
      </c>
      <c r="C2121" s="1">
        <f>IFERROR(__xludf.DUMMYFUNCTION("""COMPUTED_VALUE"""),33900.0)</f>
        <v>33900</v>
      </c>
      <c r="D2121" s="1">
        <f>IFERROR(__xludf.DUMMYFUNCTION("""COMPUTED_VALUE"""),33150.0)</f>
        <v>33150</v>
      </c>
      <c r="E2121" s="1">
        <f>IFERROR(__xludf.DUMMYFUNCTION("""COMPUTED_VALUE"""),33250.0)</f>
        <v>33250</v>
      </c>
      <c r="F2121" s="1">
        <f>IFERROR(__xludf.DUMMYFUNCTION("""COMPUTED_VALUE"""),12410.0)</f>
        <v>12410</v>
      </c>
    </row>
    <row r="2122">
      <c r="A2122" s="2">
        <f>IFERROR(__xludf.DUMMYFUNCTION("""COMPUTED_VALUE"""),44071.64583333333)</f>
        <v>44071.64583</v>
      </c>
      <c r="B2122" s="1">
        <f>IFERROR(__xludf.DUMMYFUNCTION("""COMPUTED_VALUE"""),33250.0)</f>
        <v>33250</v>
      </c>
      <c r="C2122" s="1">
        <f>IFERROR(__xludf.DUMMYFUNCTION("""COMPUTED_VALUE"""),33800.0)</f>
        <v>33800</v>
      </c>
      <c r="D2122" s="1">
        <f>IFERROR(__xludf.DUMMYFUNCTION("""COMPUTED_VALUE"""),33100.0)</f>
        <v>33100</v>
      </c>
      <c r="E2122" s="1">
        <f>IFERROR(__xludf.DUMMYFUNCTION("""COMPUTED_VALUE"""),33150.0)</f>
        <v>33150</v>
      </c>
      <c r="F2122" s="1">
        <f>IFERROR(__xludf.DUMMYFUNCTION("""COMPUTED_VALUE"""),12119.0)</f>
        <v>12119</v>
      </c>
    </row>
    <row r="2123">
      <c r="A2123" s="2">
        <f>IFERROR(__xludf.DUMMYFUNCTION("""COMPUTED_VALUE"""),44074.64583333333)</f>
        <v>44074.64583</v>
      </c>
      <c r="B2123" s="1">
        <f>IFERROR(__xludf.DUMMYFUNCTION("""COMPUTED_VALUE"""),33150.0)</f>
        <v>33150</v>
      </c>
      <c r="C2123" s="1">
        <f>IFERROR(__xludf.DUMMYFUNCTION("""COMPUTED_VALUE"""),33450.0)</f>
        <v>33450</v>
      </c>
      <c r="D2123" s="1">
        <f>IFERROR(__xludf.DUMMYFUNCTION("""COMPUTED_VALUE"""),33000.0)</f>
        <v>33000</v>
      </c>
      <c r="E2123" s="1">
        <f>IFERROR(__xludf.DUMMYFUNCTION("""COMPUTED_VALUE"""),33200.0)</f>
        <v>33200</v>
      </c>
      <c r="F2123" s="1">
        <f>IFERROR(__xludf.DUMMYFUNCTION("""COMPUTED_VALUE"""),15127.0)</f>
        <v>15127</v>
      </c>
    </row>
    <row r="2124">
      <c r="A2124" s="2">
        <f>IFERROR(__xludf.DUMMYFUNCTION("""COMPUTED_VALUE"""),44075.64583333333)</f>
        <v>44075.64583</v>
      </c>
      <c r="B2124" s="1">
        <f>IFERROR(__xludf.DUMMYFUNCTION("""COMPUTED_VALUE"""),33200.0)</f>
        <v>33200</v>
      </c>
      <c r="C2124" s="1">
        <f>IFERROR(__xludf.DUMMYFUNCTION("""COMPUTED_VALUE"""),33300.0)</f>
        <v>33300</v>
      </c>
      <c r="D2124" s="1">
        <f>IFERROR(__xludf.DUMMYFUNCTION("""COMPUTED_VALUE"""),32950.0)</f>
        <v>32950</v>
      </c>
      <c r="E2124" s="1">
        <f>IFERROR(__xludf.DUMMYFUNCTION("""COMPUTED_VALUE"""),33200.0)</f>
        <v>33200</v>
      </c>
      <c r="F2124" s="1">
        <f>IFERROR(__xludf.DUMMYFUNCTION("""COMPUTED_VALUE"""),5836.0)</f>
        <v>5836</v>
      </c>
    </row>
    <row r="2125">
      <c r="A2125" s="2">
        <f>IFERROR(__xludf.DUMMYFUNCTION("""COMPUTED_VALUE"""),44076.64583333333)</f>
        <v>44076.64583</v>
      </c>
      <c r="B2125" s="1">
        <f>IFERROR(__xludf.DUMMYFUNCTION("""COMPUTED_VALUE"""),33500.0)</f>
        <v>33500</v>
      </c>
      <c r="C2125" s="1">
        <f>IFERROR(__xludf.DUMMYFUNCTION("""COMPUTED_VALUE"""),33500.0)</f>
        <v>33500</v>
      </c>
      <c r="D2125" s="1">
        <f>IFERROR(__xludf.DUMMYFUNCTION("""COMPUTED_VALUE"""),33050.0)</f>
        <v>33050</v>
      </c>
      <c r="E2125" s="1">
        <f>IFERROR(__xludf.DUMMYFUNCTION("""COMPUTED_VALUE"""),33200.0)</f>
        <v>33200</v>
      </c>
      <c r="F2125" s="1">
        <f>IFERROR(__xludf.DUMMYFUNCTION("""COMPUTED_VALUE"""),7500.0)</f>
        <v>7500</v>
      </c>
    </row>
    <row r="2126">
      <c r="A2126" s="2">
        <f>IFERROR(__xludf.DUMMYFUNCTION("""COMPUTED_VALUE"""),44077.64583333333)</f>
        <v>44077.64583</v>
      </c>
      <c r="B2126" s="1">
        <f>IFERROR(__xludf.DUMMYFUNCTION("""COMPUTED_VALUE"""),33200.0)</f>
        <v>33200</v>
      </c>
      <c r="C2126" s="1">
        <f>IFERROR(__xludf.DUMMYFUNCTION("""COMPUTED_VALUE"""),33350.0)</f>
        <v>33350</v>
      </c>
      <c r="D2126" s="1">
        <f>IFERROR(__xludf.DUMMYFUNCTION("""COMPUTED_VALUE"""),33150.0)</f>
        <v>33150</v>
      </c>
      <c r="E2126" s="1">
        <f>IFERROR(__xludf.DUMMYFUNCTION("""COMPUTED_VALUE"""),33150.0)</f>
        <v>33150</v>
      </c>
      <c r="F2126" s="1">
        <f>IFERROR(__xludf.DUMMYFUNCTION("""COMPUTED_VALUE"""),9408.0)</f>
        <v>9408</v>
      </c>
    </row>
    <row r="2127">
      <c r="A2127" s="2">
        <f>IFERROR(__xludf.DUMMYFUNCTION("""COMPUTED_VALUE"""),44078.64583333333)</f>
        <v>44078.64583</v>
      </c>
      <c r="B2127" s="1">
        <f>IFERROR(__xludf.DUMMYFUNCTION("""COMPUTED_VALUE"""),32900.0)</f>
        <v>32900</v>
      </c>
      <c r="C2127" s="1">
        <f>IFERROR(__xludf.DUMMYFUNCTION("""COMPUTED_VALUE"""),33000.0)</f>
        <v>33000</v>
      </c>
      <c r="D2127" s="1">
        <f>IFERROR(__xludf.DUMMYFUNCTION("""COMPUTED_VALUE"""),32500.0)</f>
        <v>32500</v>
      </c>
      <c r="E2127" s="1">
        <f>IFERROR(__xludf.DUMMYFUNCTION("""COMPUTED_VALUE"""),33000.0)</f>
        <v>33000</v>
      </c>
      <c r="F2127" s="1">
        <f>IFERROR(__xludf.DUMMYFUNCTION("""COMPUTED_VALUE"""),13351.0)</f>
        <v>13351</v>
      </c>
    </row>
    <row r="2128">
      <c r="A2128" s="2">
        <f>IFERROR(__xludf.DUMMYFUNCTION("""COMPUTED_VALUE"""),44081.64583333333)</f>
        <v>44081.64583</v>
      </c>
      <c r="B2128" s="1">
        <f>IFERROR(__xludf.DUMMYFUNCTION("""COMPUTED_VALUE"""),33200.0)</f>
        <v>33200</v>
      </c>
      <c r="C2128" s="1">
        <f>IFERROR(__xludf.DUMMYFUNCTION("""COMPUTED_VALUE"""),33200.0)</f>
        <v>33200</v>
      </c>
      <c r="D2128" s="1">
        <f>IFERROR(__xludf.DUMMYFUNCTION("""COMPUTED_VALUE"""),32250.0)</f>
        <v>32250</v>
      </c>
      <c r="E2128" s="1">
        <f>IFERROR(__xludf.DUMMYFUNCTION("""COMPUTED_VALUE"""),32800.0)</f>
        <v>32800</v>
      </c>
      <c r="F2128" s="1">
        <f>IFERROR(__xludf.DUMMYFUNCTION("""COMPUTED_VALUE"""),15730.0)</f>
        <v>15730</v>
      </c>
    </row>
    <row r="2129">
      <c r="A2129" s="2">
        <f>IFERROR(__xludf.DUMMYFUNCTION("""COMPUTED_VALUE"""),44083.64583333333)</f>
        <v>44083.64583</v>
      </c>
      <c r="B2129" s="1">
        <f>IFERROR(__xludf.DUMMYFUNCTION("""COMPUTED_VALUE"""),32600.0)</f>
        <v>32600</v>
      </c>
      <c r="C2129" s="1">
        <f>IFERROR(__xludf.DUMMYFUNCTION("""COMPUTED_VALUE"""),32600.0)</f>
        <v>32600</v>
      </c>
      <c r="D2129" s="1">
        <f>IFERROR(__xludf.DUMMYFUNCTION("""COMPUTED_VALUE"""),32250.0)</f>
        <v>32250</v>
      </c>
      <c r="E2129" s="1">
        <f>IFERROR(__xludf.DUMMYFUNCTION("""COMPUTED_VALUE"""),32400.0)</f>
        <v>32400</v>
      </c>
      <c r="F2129" s="1">
        <f>IFERROR(__xludf.DUMMYFUNCTION("""COMPUTED_VALUE"""),15910.0)</f>
        <v>15910</v>
      </c>
    </row>
    <row r="2130">
      <c r="A2130" s="2">
        <f>IFERROR(__xludf.DUMMYFUNCTION("""COMPUTED_VALUE"""),44084.64583333333)</f>
        <v>44084.64583</v>
      </c>
      <c r="B2130" s="1">
        <f>IFERROR(__xludf.DUMMYFUNCTION("""COMPUTED_VALUE"""),32450.0)</f>
        <v>32450</v>
      </c>
      <c r="C2130" s="1">
        <f>IFERROR(__xludf.DUMMYFUNCTION("""COMPUTED_VALUE"""),33000.0)</f>
        <v>33000</v>
      </c>
      <c r="D2130" s="1">
        <f>IFERROR(__xludf.DUMMYFUNCTION("""COMPUTED_VALUE"""),32350.0)</f>
        <v>32350</v>
      </c>
      <c r="E2130" s="1">
        <f>IFERROR(__xludf.DUMMYFUNCTION("""COMPUTED_VALUE"""),32550.0)</f>
        <v>32550</v>
      </c>
      <c r="F2130" s="1">
        <f>IFERROR(__xludf.DUMMYFUNCTION("""COMPUTED_VALUE"""),8676.0)</f>
        <v>8676</v>
      </c>
    </row>
    <row r="2131">
      <c r="A2131" s="2">
        <f>IFERROR(__xludf.DUMMYFUNCTION("""COMPUTED_VALUE"""),44085.64583333333)</f>
        <v>44085.64583</v>
      </c>
      <c r="B2131" s="1">
        <f>IFERROR(__xludf.DUMMYFUNCTION("""COMPUTED_VALUE"""),32500.0)</f>
        <v>32500</v>
      </c>
      <c r="C2131" s="1">
        <f>IFERROR(__xludf.DUMMYFUNCTION("""COMPUTED_VALUE"""),32500.0)</f>
        <v>32500</v>
      </c>
      <c r="D2131" s="1">
        <f>IFERROR(__xludf.DUMMYFUNCTION("""COMPUTED_VALUE"""),32150.0)</f>
        <v>32150</v>
      </c>
      <c r="E2131" s="1">
        <f>IFERROR(__xludf.DUMMYFUNCTION("""COMPUTED_VALUE"""),32250.0)</f>
        <v>32250</v>
      </c>
      <c r="F2131" s="1">
        <f>IFERROR(__xludf.DUMMYFUNCTION("""COMPUTED_VALUE"""),11738.0)</f>
        <v>11738</v>
      </c>
    </row>
    <row r="2132">
      <c r="A2132" s="2">
        <f>IFERROR(__xludf.DUMMYFUNCTION("""COMPUTED_VALUE"""),44088.64583333333)</f>
        <v>44088.64583</v>
      </c>
      <c r="B2132" s="1">
        <f>IFERROR(__xludf.DUMMYFUNCTION("""COMPUTED_VALUE"""),32250.0)</f>
        <v>32250</v>
      </c>
      <c r="C2132" s="1">
        <f>IFERROR(__xludf.DUMMYFUNCTION("""COMPUTED_VALUE"""),32800.0)</f>
        <v>32800</v>
      </c>
      <c r="D2132" s="1">
        <f>IFERROR(__xludf.DUMMYFUNCTION("""COMPUTED_VALUE"""),32100.0)</f>
        <v>32100</v>
      </c>
      <c r="E2132" s="1">
        <f>IFERROR(__xludf.DUMMYFUNCTION("""COMPUTED_VALUE"""),32650.0)</f>
        <v>32650</v>
      </c>
      <c r="F2132" s="1">
        <f>IFERROR(__xludf.DUMMYFUNCTION("""COMPUTED_VALUE"""),13685.0)</f>
        <v>13685</v>
      </c>
    </row>
    <row r="2133">
      <c r="A2133" s="2">
        <f>IFERROR(__xludf.DUMMYFUNCTION("""COMPUTED_VALUE"""),44089.64583333333)</f>
        <v>44089.64583</v>
      </c>
      <c r="B2133" s="1">
        <f>IFERROR(__xludf.DUMMYFUNCTION("""COMPUTED_VALUE"""),33000.0)</f>
        <v>33000</v>
      </c>
      <c r="C2133" s="1">
        <f>IFERROR(__xludf.DUMMYFUNCTION("""COMPUTED_VALUE"""),33000.0)</f>
        <v>33000</v>
      </c>
      <c r="D2133" s="1">
        <f>IFERROR(__xludf.DUMMYFUNCTION("""COMPUTED_VALUE"""),32350.0)</f>
        <v>32350</v>
      </c>
      <c r="E2133" s="1">
        <f>IFERROR(__xludf.DUMMYFUNCTION("""COMPUTED_VALUE"""),32500.0)</f>
        <v>32500</v>
      </c>
      <c r="F2133" s="1">
        <f>IFERROR(__xludf.DUMMYFUNCTION("""COMPUTED_VALUE"""),9499.0)</f>
        <v>9499</v>
      </c>
    </row>
    <row r="2134">
      <c r="A2134" s="2">
        <f>IFERROR(__xludf.DUMMYFUNCTION("""COMPUTED_VALUE"""),44090.64583333333)</f>
        <v>44090.64583</v>
      </c>
      <c r="B2134" s="1">
        <f>IFERROR(__xludf.DUMMYFUNCTION("""COMPUTED_VALUE"""),32500.0)</f>
        <v>32500</v>
      </c>
      <c r="C2134" s="1">
        <f>IFERROR(__xludf.DUMMYFUNCTION("""COMPUTED_VALUE"""),33000.0)</f>
        <v>33000</v>
      </c>
      <c r="D2134" s="1">
        <f>IFERROR(__xludf.DUMMYFUNCTION("""COMPUTED_VALUE"""),32500.0)</f>
        <v>32500</v>
      </c>
      <c r="E2134" s="1">
        <f>IFERROR(__xludf.DUMMYFUNCTION("""COMPUTED_VALUE"""),32850.0)</f>
        <v>32850</v>
      </c>
      <c r="F2134" s="1">
        <f>IFERROR(__xludf.DUMMYFUNCTION("""COMPUTED_VALUE"""),13524.0)</f>
        <v>13524</v>
      </c>
    </row>
    <row r="2135">
      <c r="A2135" s="2">
        <f>IFERROR(__xludf.DUMMYFUNCTION("""COMPUTED_VALUE"""),44091.64583333333)</f>
        <v>44091.64583</v>
      </c>
      <c r="B2135" s="1">
        <f>IFERROR(__xludf.DUMMYFUNCTION("""COMPUTED_VALUE"""),33000.0)</f>
        <v>33000</v>
      </c>
      <c r="C2135" s="1">
        <f>IFERROR(__xludf.DUMMYFUNCTION("""COMPUTED_VALUE"""),33750.0)</f>
        <v>33750</v>
      </c>
      <c r="D2135" s="1">
        <f>IFERROR(__xludf.DUMMYFUNCTION("""COMPUTED_VALUE"""),32900.0)</f>
        <v>32900</v>
      </c>
      <c r="E2135" s="1">
        <f>IFERROR(__xludf.DUMMYFUNCTION("""COMPUTED_VALUE"""),33150.0)</f>
        <v>33150</v>
      </c>
      <c r="F2135" s="1">
        <f>IFERROR(__xludf.DUMMYFUNCTION("""COMPUTED_VALUE"""),31193.0)</f>
        <v>31193</v>
      </c>
    </row>
    <row r="2136">
      <c r="A2136" s="2">
        <f>IFERROR(__xludf.DUMMYFUNCTION("""COMPUTED_VALUE"""),44092.64583333333)</f>
        <v>44092.64583</v>
      </c>
      <c r="B2136" s="1">
        <f>IFERROR(__xludf.DUMMYFUNCTION("""COMPUTED_VALUE"""),33450.0)</f>
        <v>33450</v>
      </c>
      <c r="C2136" s="1">
        <f>IFERROR(__xludf.DUMMYFUNCTION("""COMPUTED_VALUE"""),33450.0)</f>
        <v>33450</v>
      </c>
      <c r="D2136" s="1">
        <f>IFERROR(__xludf.DUMMYFUNCTION("""COMPUTED_VALUE"""),32650.0)</f>
        <v>32650</v>
      </c>
      <c r="E2136" s="1">
        <f>IFERROR(__xludf.DUMMYFUNCTION("""COMPUTED_VALUE"""),32850.0)</f>
        <v>32850</v>
      </c>
      <c r="F2136" s="1">
        <f>IFERROR(__xludf.DUMMYFUNCTION("""COMPUTED_VALUE"""),15423.0)</f>
        <v>15423</v>
      </c>
    </row>
    <row r="2137">
      <c r="A2137" s="2">
        <f>IFERROR(__xludf.DUMMYFUNCTION("""COMPUTED_VALUE"""),44095.64583333333)</f>
        <v>44095.64583</v>
      </c>
      <c r="B2137" s="1">
        <f>IFERROR(__xludf.DUMMYFUNCTION("""COMPUTED_VALUE"""),32850.0)</f>
        <v>32850</v>
      </c>
      <c r="C2137" s="1">
        <f>IFERROR(__xludf.DUMMYFUNCTION("""COMPUTED_VALUE"""),32850.0)</f>
        <v>32850</v>
      </c>
      <c r="D2137" s="1">
        <f>IFERROR(__xludf.DUMMYFUNCTION("""COMPUTED_VALUE"""),32250.0)</f>
        <v>32250</v>
      </c>
      <c r="E2137" s="1">
        <f>IFERROR(__xludf.DUMMYFUNCTION("""COMPUTED_VALUE"""),32300.0)</f>
        <v>32300</v>
      </c>
      <c r="F2137" s="1">
        <f>IFERROR(__xludf.DUMMYFUNCTION("""COMPUTED_VALUE"""),12214.0)</f>
        <v>12214</v>
      </c>
    </row>
    <row r="2138">
      <c r="A2138" s="2">
        <f>IFERROR(__xludf.DUMMYFUNCTION("""COMPUTED_VALUE"""),44096.64583333333)</f>
        <v>44096.64583</v>
      </c>
      <c r="B2138" s="1">
        <f>IFERROR(__xludf.DUMMYFUNCTION("""COMPUTED_VALUE"""),32300.0)</f>
        <v>32300</v>
      </c>
      <c r="C2138" s="1">
        <f>IFERROR(__xludf.DUMMYFUNCTION("""COMPUTED_VALUE"""),32300.0)</f>
        <v>32300</v>
      </c>
      <c r="D2138" s="1">
        <f>IFERROR(__xludf.DUMMYFUNCTION("""COMPUTED_VALUE"""),31000.0)</f>
        <v>31000</v>
      </c>
      <c r="E2138" s="1">
        <f>IFERROR(__xludf.DUMMYFUNCTION("""COMPUTED_VALUE"""),31300.0)</f>
        <v>31300</v>
      </c>
      <c r="F2138" s="1">
        <f>IFERROR(__xludf.DUMMYFUNCTION("""COMPUTED_VALUE"""),25383.0)</f>
        <v>25383</v>
      </c>
    </row>
    <row r="2139">
      <c r="A2139" s="2">
        <f>IFERROR(__xludf.DUMMYFUNCTION("""COMPUTED_VALUE"""),44097.64583333333)</f>
        <v>44097.64583</v>
      </c>
      <c r="B2139" s="1">
        <f>IFERROR(__xludf.DUMMYFUNCTION("""COMPUTED_VALUE"""),31750.0)</f>
        <v>31750</v>
      </c>
      <c r="C2139" s="1">
        <f>IFERROR(__xludf.DUMMYFUNCTION("""COMPUTED_VALUE"""),31750.0)</f>
        <v>31750</v>
      </c>
      <c r="D2139" s="1">
        <f>IFERROR(__xludf.DUMMYFUNCTION("""COMPUTED_VALUE"""),30500.0)</f>
        <v>30500</v>
      </c>
      <c r="E2139" s="1">
        <f>IFERROR(__xludf.DUMMYFUNCTION("""COMPUTED_VALUE"""),31050.0)</f>
        <v>31050</v>
      </c>
      <c r="F2139" s="1">
        <f>IFERROR(__xludf.DUMMYFUNCTION("""COMPUTED_VALUE"""),12567.0)</f>
        <v>12567</v>
      </c>
    </row>
    <row r="2140">
      <c r="A2140" s="2">
        <f>IFERROR(__xludf.DUMMYFUNCTION("""COMPUTED_VALUE"""),44098.64583333333)</f>
        <v>44098.64583</v>
      </c>
      <c r="B2140" s="1">
        <f>IFERROR(__xludf.DUMMYFUNCTION("""COMPUTED_VALUE"""),30950.0)</f>
        <v>30950</v>
      </c>
      <c r="C2140" s="1">
        <f>IFERROR(__xludf.DUMMYFUNCTION("""COMPUTED_VALUE"""),30950.0)</f>
        <v>30950</v>
      </c>
      <c r="D2140" s="1">
        <f>IFERROR(__xludf.DUMMYFUNCTION("""COMPUTED_VALUE"""),30050.0)</f>
        <v>30050</v>
      </c>
      <c r="E2140" s="1">
        <f>IFERROR(__xludf.DUMMYFUNCTION("""COMPUTED_VALUE"""),30050.0)</f>
        <v>30050</v>
      </c>
      <c r="F2140" s="1">
        <f>IFERROR(__xludf.DUMMYFUNCTION("""COMPUTED_VALUE"""),15511.0)</f>
        <v>15511</v>
      </c>
    </row>
    <row r="2141">
      <c r="A2141" s="2">
        <f>IFERROR(__xludf.DUMMYFUNCTION("""COMPUTED_VALUE"""),44099.64583333333)</f>
        <v>44099.64583</v>
      </c>
      <c r="B2141" s="1">
        <f>IFERROR(__xludf.DUMMYFUNCTION("""COMPUTED_VALUE"""),30050.0)</f>
        <v>30050</v>
      </c>
      <c r="C2141" s="1">
        <f>IFERROR(__xludf.DUMMYFUNCTION("""COMPUTED_VALUE"""),30700.0)</f>
        <v>30700</v>
      </c>
      <c r="D2141" s="1">
        <f>IFERROR(__xludf.DUMMYFUNCTION("""COMPUTED_VALUE"""),30050.0)</f>
        <v>30050</v>
      </c>
      <c r="E2141" s="1">
        <f>IFERROR(__xludf.DUMMYFUNCTION("""COMPUTED_VALUE"""),30350.0)</f>
        <v>30350</v>
      </c>
      <c r="F2141" s="1">
        <f>IFERROR(__xludf.DUMMYFUNCTION("""COMPUTED_VALUE"""),6791.0)</f>
        <v>6791</v>
      </c>
    </row>
    <row r="2142">
      <c r="A2142" s="2">
        <f>IFERROR(__xludf.DUMMYFUNCTION("""COMPUTED_VALUE"""),44102.64583333333)</f>
        <v>44102.64583</v>
      </c>
      <c r="B2142" s="1">
        <f>IFERROR(__xludf.DUMMYFUNCTION("""COMPUTED_VALUE"""),30400.0)</f>
        <v>30400</v>
      </c>
      <c r="C2142" s="1">
        <f>IFERROR(__xludf.DUMMYFUNCTION("""COMPUTED_VALUE"""),30750.0)</f>
        <v>30750</v>
      </c>
      <c r="D2142" s="1">
        <f>IFERROR(__xludf.DUMMYFUNCTION("""COMPUTED_VALUE"""),30350.0)</f>
        <v>30350</v>
      </c>
      <c r="E2142" s="1">
        <f>IFERROR(__xludf.DUMMYFUNCTION("""COMPUTED_VALUE"""),30550.0)</f>
        <v>30550</v>
      </c>
      <c r="F2142" s="1">
        <f>IFERROR(__xludf.DUMMYFUNCTION("""COMPUTED_VALUE"""),4953.0)</f>
        <v>4953</v>
      </c>
    </row>
    <row r="2143">
      <c r="A2143" s="2">
        <f>IFERROR(__xludf.DUMMYFUNCTION("""COMPUTED_VALUE"""),44103.64583333333)</f>
        <v>44103.64583</v>
      </c>
      <c r="B2143" s="1">
        <f>IFERROR(__xludf.DUMMYFUNCTION("""COMPUTED_VALUE"""),31000.0)</f>
        <v>31000</v>
      </c>
      <c r="C2143" s="1">
        <f>IFERROR(__xludf.DUMMYFUNCTION("""COMPUTED_VALUE"""),31200.0)</f>
        <v>31200</v>
      </c>
      <c r="D2143" s="1">
        <f>IFERROR(__xludf.DUMMYFUNCTION("""COMPUTED_VALUE"""),30800.0)</f>
        <v>30800</v>
      </c>
      <c r="E2143" s="1">
        <f>IFERROR(__xludf.DUMMYFUNCTION("""COMPUTED_VALUE"""),31000.0)</f>
        <v>31000</v>
      </c>
      <c r="F2143" s="1">
        <f>IFERROR(__xludf.DUMMYFUNCTION("""COMPUTED_VALUE"""),6321.0)</f>
        <v>6321</v>
      </c>
    </row>
    <row r="2144">
      <c r="A2144" s="2">
        <f>IFERROR(__xludf.DUMMYFUNCTION("""COMPUTED_VALUE"""),44109.64583333333)</f>
        <v>44109.64583</v>
      </c>
      <c r="B2144" s="1">
        <f>IFERROR(__xludf.DUMMYFUNCTION("""COMPUTED_VALUE"""),31000.0)</f>
        <v>31000</v>
      </c>
      <c r="C2144" s="1">
        <f>IFERROR(__xludf.DUMMYFUNCTION("""COMPUTED_VALUE"""),32050.0)</f>
        <v>32050</v>
      </c>
      <c r="D2144" s="1">
        <f>IFERROR(__xludf.DUMMYFUNCTION("""COMPUTED_VALUE"""),30650.0)</f>
        <v>30650</v>
      </c>
      <c r="E2144" s="1">
        <f>IFERROR(__xludf.DUMMYFUNCTION("""COMPUTED_VALUE"""),32050.0)</f>
        <v>32050</v>
      </c>
      <c r="F2144" s="1">
        <f>IFERROR(__xludf.DUMMYFUNCTION("""COMPUTED_VALUE"""),12582.0)</f>
        <v>12582</v>
      </c>
    </row>
    <row r="2145">
      <c r="A2145" s="2">
        <f>IFERROR(__xludf.DUMMYFUNCTION("""COMPUTED_VALUE"""),44110.64583333333)</f>
        <v>44110.64583</v>
      </c>
      <c r="B2145" s="1">
        <f>IFERROR(__xludf.DUMMYFUNCTION("""COMPUTED_VALUE"""),32000.0)</f>
        <v>32000</v>
      </c>
      <c r="C2145" s="1">
        <f>IFERROR(__xludf.DUMMYFUNCTION("""COMPUTED_VALUE"""),32400.0)</f>
        <v>32400</v>
      </c>
      <c r="D2145" s="1">
        <f>IFERROR(__xludf.DUMMYFUNCTION("""COMPUTED_VALUE"""),31950.0)</f>
        <v>31950</v>
      </c>
      <c r="E2145" s="1">
        <f>IFERROR(__xludf.DUMMYFUNCTION("""COMPUTED_VALUE"""),32050.0)</f>
        <v>32050</v>
      </c>
      <c r="F2145" s="1">
        <f>IFERROR(__xludf.DUMMYFUNCTION("""COMPUTED_VALUE"""),9365.0)</f>
        <v>9365</v>
      </c>
    </row>
    <row r="2146">
      <c r="A2146" s="2">
        <f>IFERROR(__xludf.DUMMYFUNCTION("""COMPUTED_VALUE"""),44111.64583333333)</f>
        <v>44111.64583</v>
      </c>
      <c r="B2146" s="1">
        <f>IFERROR(__xludf.DUMMYFUNCTION("""COMPUTED_VALUE"""),32050.0)</f>
        <v>32050</v>
      </c>
      <c r="C2146" s="1">
        <f>IFERROR(__xludf.DUMMYFUNCTION("""COMPUTED_VALUE"""),32850.0)</f>
        <v>32850</v>
      </c>
      <c r="D2146" s="1">
        <f>IFERROR(__xludf.DUMMYFUNCTION("""COMPUTED_VALUE"""),31600.0)</f>
        <v>31600</v>
      </c>
      <c r="E2146" s="1">
        <f>IFERROR(__xludf.DUMMYFUNCTION("""COMPUTED_VALUE"""),32800.0)</f>
        <v>32800</v>
      </c>
      <c r="F2146" s="1">
        <f>IFERROR(__xludf.DUMMYFUNCTION("""COMPUTED_VALUE"""),14772.0)</f>
        <v>14772</v>
      </c>
    </row>
    <row r="2147">
      <c r="A2147" s="2">
        <f>IFERROR(__xludf.DUMMYFUNCTION("""COMPUTED_VALUE"""),44112.64583333333)</f>
        <v>44112.64583</v>
      </c>
      <c r="B2147" s="1">
        <f>IFERROR(__xludf.DUMMYFUNCTION("""COMPUTED_VALUE"""),33000.0)</f>
        <v>33000</v>
      </c>
      <c r="C2147" s="1">
        <f>IFERROR(__xludf.DUMMYFUNCTION("""COMPUTED_VALUE"""),33100.0)</f>
        <v>33100</v>
      </c>
      <c r="D2147" s="1">
        <f>IFERROR(__xludf.DUMMYFUNCTION("""COMPUTED_VALUE"""),32600.0)</f>
        <v>32600</v>
      </c>
      <c r="E2147" s="1">
        <f>IFERROR(__xludf.DUMMYFUNCTION("""COMPUTED_VALUE"""),32950.0)</f>
        <v>32950</v>
      </c>
      <c r="F2147" s="1">
        <f>IFERROR(__xludf.DUMMYFUNCTION("""COMPUTED_VALUE"""),13821.0)</f>
        <v>13821</v>
      </c>
    </row>
    <row r="2148">
      <c r="A2148" s="2">
        <f>IFERROR(__xludf.DUMMYFUNCTION("""COMPUTED_VALUE"""),44116.64583333333)</f>
        <v>44116.64583</v>
      </c>
      <c r="B2148" s="1">
        <f>IFERROR(__xludf.DUMMYFUNCTION("""COMPUTED_VALUE"""),33200.0)</f>
        <v>33200</v>
      </c>
      <c r="C2148" s="1">
        <f>IFERROR(__xludf.DUMMYFUNCTION("""COMPUTED_VALUE"""),33550.0)</f>
        <v>33550</v>
      </c>
      <c r="D2148" s="1">
        <f>IFERROR(__xludf.DUMMYFUNCTION("""COMPUTED_VALUE"""),32800.0)</f>
        <v>32800</v>
      </c>
      <c r="E2148" s="1">
        <f>IFERROR(__xludf.DUMMYFUNCTION("""COMPUTED_VALUE"""),33450.0)</f>
        <v>33450</v>
      </c>
      <c r="F2148" s="1">
        <f>IFERROR(__xludf.DUMMYFUNCTION("""COMPUTED_VALUE"""),16217.0)</f>
        <v>16217</v>
      </c>
    </row>
    <row r="2149">
      <c r="A2149" s="2">
        <f>IFERROR(__xludf.DUMMYFUNCTION("""COMPUTED_VALUE"""),44117.64583333333)</f>
        <v>44117.64583</v>
      </c>
      <c r="B2149" s="1">
        <f>IFERROR(__xludf.DUMMYFUNCTION("""COMPUTED_VALUE"""),33500.0)</f>
        <v>33500</v>
      </c>
      <c r="C2149" s="1">
        <f>IFERROR(__xludf.DUMMYFUNCTION("""COMPUTED_VALUE"""),33700.0)</f>
        <v>33700</v>
      </c>
      <c r="D2149" s="1">
        <f>IFERROR(__xludf.DUMMYFUNCTION("""COMPUTED_VALUE"""),32800.0)</f>
        <v>32800</v>
      </c>
      <c r="E2149" s="1">
        <f>IFERROR(__xludf.DUMMYFUNCTION("""COMPUTED_VALUE"""),33100.0)</f>
        <v>33100</v>
      </c>
      <c r="F2149" s="1">
        <f>IFERROR(__xludf.DUMMYFUNCTION("""COMPUTED_VALUE"""),8387.0)</f>
        <v>8387</v>
      </c>
    </row>
    <row r="2150">
      <c r="A2150" s="2">
        <f>IFERROR(__xludf.DUMMYFUNCTION("""COMPUTED_VALUE"""),44118.64583333333)</f>
        <v>44118.64583</v>
      </c>
      <c r="B2150" s="1">
        <f>IFERROR(__xludf.DUMMYFUNCTION("""COMPUTED_VALUE"""),33450.0)</f>
        <v>33450</v>
      </c>
      <c r="C2150" s="1">
        <f>IFERROR(__xludf.DUMMYFUNCTION("""COMPUTED_VALUE"""),33450.0)</f>
        <v>33450</v>
      </c>
      <c r="D2150" s="1">
        <f>IFERROR(__xludf.DUMMYFUNCTION("""COMPUTED_VALUE"""),32400.0)</f>
        <v>32400</v>
      </c>
      <c r="E2150" s="1">
        <f>IFERROR(__xludf.DUMMYFUNCTION("""COMPUTED_VALUE"""),32400.0)</f>
        <v>32400</v>
      </c>
      <c r="F2150" s="1">
        <f>IFERROR(__xludf.DUMMYFUNCTION("""COMPUTED_VALUE"""),9377.0)</f>
        <v>9377</v>
      </c>
    </row>
    <row r="2151">
      <c r="A2151" s="2">
        <f>IFERROR(__xludf.DUMMYFUNCTION("""COMPUTED_VALUE"""),44119.64583333333)</f>
        <v>44119.64583</v>
      </c>
      <c r="B2151" s="1">
        <f>IFERROR(__xludf.DUMMYFUNCTION("""COMPUTED_VALUE"""),32400.0)</f>
        <v>32400</v>
      </c>
      <c r="C2151" s="1">
        <f>IFERROR(__xludf.DUMMYFUNCTION("""COMPUTED_VALUE"""),32500.0)</f>
        <v>32500</v>
      </c>
      <c r="D2151" s="1">
        <f>IFERROR(__xludf.DUMMYFUNCTION("""COMPUTED_VALUE"""),31950.0)</f>
        <v>31950</v>
      </c>
      <c r="E2151" s="1">
        <f>IFERROR(__xludf.DUMMYFUNCTION("""COMPUTED_VALUE"""),32350.0)</f>
        <v>32350</v>
      </c>
      <c r="F2151" s="1">
        <f>IFERROR(__xludf.DUMMYFUNCTION("""COMPUTED_VALUE"""),7122.0)</f>
        <v>7122</v>
      </c>
    </row>
    <row r="2152">
      <c r="A2152" s="2">
        <f>IFERROR(__xludf.DUMMYFUNCTION("""COMPUTED_VALUE"""),44120.64583333333)</f>
        <v>44120.64583</v>
      </c>
      <c r="B2152" s="1">
        <f>IFERROR(__xludf.DUMMYFUNCTION("""COMPUTED_VALUE"""),32500.0)</f>
        <v>32500</v>
      </c>
      <c r="C2152" s="1">
        <f>IFERROR(__xludf.DUMMYFUNCTION("""COMPUTED_VALUE"""),32800.0)</f>
        <v>32800</v>
      </c>
      <c r="D2152" s="1">
        <f>IFERROR(__xludf.DUMMYFUNCTION("""COMPUTED_VALUE"""),32150.0)</f>
        <v>32150</v>
      </c>
      <c r="E2152" s="1">
        <f>IFERROR(__xludf.DUMMYFUNCTION("""COMPUTED_VALUE"""),32500.0)</f>
        <v>32500</v>
      </c>
      <c r="F2152" s="1">
        <f>IFERROR(__xludf.DUMMYFUNCTION("""COMPUTED_VALUE"""),9369.0)</f>
        <v>9369</v>
      </c>
    </row>
    <row r="2153">
      <c r="A2153" s="2">
        <f>IFERROR(__xludf.DUMMYFUNCTION("""COMPUTED_VALUE"""),44123.64583333333)</f>
        <v>44123.64583</v>
      </c>
      <c r="B2153" s="1">
        <f>IFERROR(__xludf.DUMMYFUNCTION("""COMPUTED_VALUE"""),32700.0)</f>
        <v>32700</v>
      </c>
      <c r="C2153" s="1">
        <f>IFERROR(__xludf.DUMMYFUNCTION("""COMPUTED_VALUE"""),33200.0)</f>
        <v>33200</v>
      </c>
      <c r="D2153" s="1">
        <f>IFERROR(__xludf.DUMMYFUNCTION("""COMPUTED_VALUE"""),31950.0)</f>
        <v>31950</v>
      </c>
      <c r="E2153" s="1">
        <f>IFERROR(__xludf.DUMMYFUNCTION("""COMPUTED_VALUE"""),32900.0)</f>
        <v>32900</v>
      </c>
      <c r="F2153" s="1">
        <f>IFERROR(__xludf.DUMMYFUNCTION("""COMPUTED_VALUE"""),11255.0)</f>
        <v>11255</v>
      </c>
    </row>
    <row r="2154">
      <c r="A2154" s="2">
        <f>IFERROR(__xludf.DUMMYFUNCTION("""COMPUTED_VALUE"""),44124.64583333333)</f>
        <v>44124.64583</v>
      </c>
      <c r="B2154" s="1">
        <f>IFERROR(__xludf.DUMMYFUNCTION("""COMPUTED_VALUE"""),32900.0)</f>
        <v>32900</v>
      </c>
      <c r="C2154" s="1">
        <f>IFERROR(__xludf.DUMMYFUNCTION("""COMPUTED_VALUE"""),33200.0)</f>
        <v>33200</v>
      </c>
      <c r="D2154" s="1">
        <f>IFERROR(__xludf.DUMMYFUNCTION("""COMPUTED_VALUE"""),32050.0)</f>
        <v>32050</v>
      </c>
      <c r="E2154" s="1">
        <f>IFERROR(__xludf.DUMMYFUNCTION("""COMPUTED_VALUE"""),32250.0)</f>
        <v>32250</v>
      </c>
      <c r="F2154" s="1">
        <f>IFERROR(__xludf.DUMMYFUNCTION("""COMPUTED_VALUE"""),8914.0)</f>
        <v>8914</v>
      </c>
    </row>
    <row r="2155">
      <c r="A2155" s="2">
        <f>IFERROR(__xludf.DUMMYFUNCTION("""COMPUTED_VALUE"""),44125.64583333333)</f>
        <v>44125.64583</v>
      </c>
      <c r="B2155" s="1">
        <f>IFERROR(__xludf.DUMMYFUNCTION("""COMPUTED_VALUE"""),32400.0)</f>
        <v>32400</v>
      </c>
      <c r="C2155" s="1">
        <f>IFERROR(__xludf.DUMMYFUNCTION("""COMPUTED_VALUE"""),32900.0)</f>
        <v>32900</v>
      </c>
      <c r="D2155" s="1">
        <f>IFERROR(__xludf.DUMMYFUNCTION("""COMPUTED_VALUE"""),32300.0)</f>
        <v>32300</v>
      </c>
      <c r="E2155" s="1">
        <f>IFERROR(__xludf.DUMMYFUNCTION("""COMPUTED_VALUE"""),32900.0)</f>
        <v>32900</v>
      </c>
      <c r="F2155" s="1">
        <f>IFERROR(__xludf.DUMMYFUNCTION("""COMPUTED_VALUE"""),9460.0)</f>
        <v>9460</v>
      </c>
    </row>
    <row r="2156">
      <c r="A2156" s="2">
        <f>IFERROR(__xludf.DUMMYFUNCTION("""COMPUTED_VALUE"""),44126.64583333333)</f>
        <v>44126.64583</v>
      </c>
      <c r="B2156" s="1">
        <f>IFERROR(__xludf.DUMMYFUNCTION("""COMPUTED_VALUE"""),32900.0)</f>
        <v>32900</v>
      </c>
      <c r="C2156" s="1">
        <f>IFERROR(__xludf.DUMMYFUNCTION("""COMPUTED_VALUE"""),32900.0)</f>
        <v>32900</v>
      </c>
      <c r="D2156" s="1">
        <f>IFERROR(__xludf.DUMMYFUNCTION("""COMPUTED_VALUE"""),32050.0)</f>
        <v>32050</v>
      </c>
      <c r="E2156" s="1">
        <f>IFERROR(__xludf.DUMMYFUNCTION("""COMPUTED_VALUE"""),32450.0)</f>
        <v>32450</v>
      </c>
      <c r="F2156" s="1">
        <f>IFERROR(__xludf.DUMMYFUNCTION("""COMPUTED_VALUE"""),10779.0)</f>
        <v>10779</v>
      </c>
    </row>
    <row r="2157">
      <c r="A2157" s="2">
        <f>IFERROR(__xludf.DUMMYFUNCTION("""COMPUTED_VALUE"""),44127.64583333333)</f>
        <v>44127.64583</v>
      </c>
      <c r="B2157" s="1">
        <f>IFERROR(__xludf.DUMMYFUNCTION("""COMPUTED_VALUE"""),32900.0)</f>
        <v>32900</v>
      </c>
      <c r="C2157" s="1">
        <f>IFERROR(__xludf.DUMMYFUNCTION("""COMPUTED_VALUE"""),32900.0)</f>
        <v>32900</v>
      </c>
      <c r="D2157" s="1">
        <f>IFERROR(__xludf.DUMMYFUNCTION("""COMPUTED_VALUE"""),32250.0)</f>
        <v>32250</v>
      </c>
      <c r="E2157" s="1">
        <f>IFERROR(__xludf.DUMMYFUNCTION("""COMPUTED_VALUE"""),32450.0)</f>
        <v>32450</v>
      </c>
      <c r="F2157" s="1">
        <f>IFERROR(__xludf.DUMMYFUNCTION("""COMPUTED_VALUE"""),6206.0)</f>
        <v>6206</v>
      </c>
    </row>
    <row r="2158">
      <c r="A2158" s="2">
        <f>IFERROR(__xludf.DUMMYFUNCTION("""COMPUTED_VALUE"""),44130.64583333333)</f>
        <v>44130.64583</v>
      </c>
      <c r="B2158" s="1">
        <f>IFERROR(__xludf.DUMMYFUNCTION("""COMPUTED_VALUE"""),32550.0)</f>
        <v>32550</v>
      </c>
      <c r="C2158" s="1">
        <f>IFERROR(__xludf.DUMMYFUNCTION("""COMPUTED_VALUE"""),32600.0)</f>
        <v>32600</v>
      </c>
      <c r="D2158" s="1">
        <f>IFERROR(__xludf.DUMMYFUNCTION("""COMPUTED_VALUE"""),32000.0)</f>
        <v>32000</v>
      </c>
      <c r="E2158" s="1">
        <f>IFERROR(__xludf.DUMMYFUNCTION("""COMPUTED_VALUE"""),32300.0)</f>
        <v>32300</v>
      </c>
      <c r="F2158" s="1">
        <f>IFERROR(__xludf.DUMMYFUNCTION("""COMPUTED_VALUE"""),7175.0)</f>
        <v>7175</v>
      </c>
    </row>
    <row r="2159">
      <c r="A2159" s="2">
        <f>IFERROR(__xludf.DUMMYFUNCTION("""COMPUTED_VALUE"""),44131.64583333333)</f>
        <v>44131.64583</v>
      </c>
      <c r="B2159" s="1">
        <f>IFERROR(__xludf.DUMMYFUNCTION("""COMPUTED_VALUE"""),32000.0)</f>
        <v>32000</v>
      </c>
      <c r="C2159" s="1">
        <f>IFERROR(__xludf.DUMMYFUNCTION("""COMPUTED_VALUE"""),32150.0)</f>
        <v>32150</v>
      </c>
      <c r="D2159" s="1">
        <f>IFERROR(__xludf.DUMMYFUNCTION("""COMPUTED_VALUE"""),31750.0)</f>
        <v>31750</v>
      </c>
      <c r="E2159" s="1">
        <f>IFERROR(__xludf.DUMMYFUNCTION("""COMPUTED_VALUE"""),31900.0)</f>
        <v>31900</v>
      </c>
      <c r="F2159" s="1">
        <f>IFERROR(__xludf.DUMMYFUNCTION("""COMPUTED_VALUE"""),6616.0)</f>
        <v>6616</v>
      </c>
    </row>
    <row r="2160">
      <c r="A2160" s="2">
        <f>IFERROR(__xludf.DUMMYFUNCTION("""COMPUTED_VALUE"""),44132.64583333333)</f>
        <v>44132.64583</v>
      </c>
      <c r="B2160" s="1">
        <f>IFERROR(__xludf.DUMMYFUNCTION("""COMPUTED_VALUE"""),31900.0)</f>
        <v>31900</v>
      </c>
      <c r="C2160" s="1">
        <f>IFERROR(__xludf.DUMMYFUNCTION("""COMPUTED_VALUE"""),32200.0)</f>
        <v>32200</v>
      </c>
      <c r="D2160" s="1">
        <f>IFERROR(__xludf.DUMMYFUNCTION("""COMPUTED_VALUE"""),31700.0)</f>
        <v>31700</v>
      </c>
      <c r="E2160" s="1">
        <f>IFERROR(__xludf.DUMMYFUNCTION("""COMPUTED_VALUE"""),32200.0)</f>
        <v>32200</v>
      </c>
      <c r="F2160" s="1">
        <f>IFERROR(__xludf.DUMMYFUNCTION("""COMPUTED_VALUE"""),7898.0)</f>
        <v>7898</v>
      </c>
    </row>
    <row r="2161">
      <c r="A2161" s="2">
        <f>IFERROR(__xludf.DUMMYFUNCTION("""COMPUTED_VALUE"""),44133.64583333333)</f>
        <v>44133.64583</v>
      </c>
      <c r="B2161" s="1">
        <f>IFERROR(__xludf.DUMMYFUNCTION("""COMPUTED_VALUE"""),31600.0)</f>
        <v>31600</v>
      </c>
      <c r="C2161" s="1">
        <f>IFERROR(__xludf.DUMMYFUNCTION("""COMPUTED_VALUE"""),32000.0)</f>
        <v>32000</v>
      </c>
      <c r="D2161" s="1">
        <f>IFERROR(__xludf.DUMMYFUNCTION("""COMPUTED_VALUE"""),31500.0)</f>
        <v>31500</v>
      </c>
      <c r="E2161" s="1">
        <f>IFERROR(__xludf.DUMMYFUNCTION("""COMPUTED_VALUE"""),31950.0)</f>
        <v>31950</v>
      </c>
      <c r="F2161" s="1">
        <f>IFERROR(__xludf.DUMMYFUNCTION("""COMPUTED_VALUE"""),10345.0)</f>
        <v>10345</v>
      </c>
    </row>
    <row r="2162">
      <c r="A2162" s="2">
        <f>IFERROR(__xludf.DUMMYFUNCTION("""COMPUTED_VALUE"""),44134.64583333333)</f>
        <v>44134.64583</v>
      </c>
      <c r="B2162" s="1">
        <f>IFERROR(__xludf.DUMMYFUNCTION("""COMPUTED_VALUE"""),32250.0)</f>
        <v>32250</v>
      </c>
      <c r="C2162" s="1">
        <f>IFERROR(__xludf.DUMMYFUNCTION("""COMPUTED_VALUE"""),32250.0)</f>
        <v>32250</v>
      </c>
      <c r="D2162" s="1">
        <f>IFERROR(__xludf.DUMMYFUNCTION("""COMPUTED_VALUE"""),31450.0)</f>
        <v>31450</v>
      </c>
      <c r="E2162" s="1">
        <f>IFERROR(__xludf.DUMMYFUNCTION("""COMPUTED_VALUE"""),31450.0)</f>
        <v>31450</v>
      </c>
      <c r="F2162" s="1">
        <f>IFERROR(__xludf.DUMMYFUNCTION("""COMPUTED_VALUE"""),8351.0)</f>
        <v>8351</v>
      </c>
    </row>
    <row r="2163">
      <c r="A2163" s="2">
        <f>IFERROR(__xludf.DUMMYFUNCTION("""COMPUTED_VALUE"""),44137.64583333333)</f>
        <v>44137.64583</v>
      </c>
      <c r="B2163" s="1">
        <f>IFERROR(__xludf.DUMMYFUNCTION("""COMPUTED_VALUE"""),31000.0)</f>
        <v>31000</v>
      </c>
      <c r="C2163" s="1">
        <f>IFERROR(__xludf.DUMMYFUNCTION("""COMPUTED_VALUE"""),31750.0)</f>
        <v>31750</v>
      </c>
      <c r="D2163" s="1">
        <f>IFERROR(__xludf.DUMMYFUNCTION("""COMPUTED_VALUE"""),31000.0)</f>
        <v>31000</v>
      </c>
      <c r="E2163" s="1">
        <f>IFERROR(__xludf.DUMMYFUNCTION("""COMPUTED_VALUE"""),31500.0)</f>
        <v>31500</v>
      </c>
      <c r="F2163" s="1">
        <f>IFERROR(__xludf.DUMMYFUNCTION("""COMPUTED_VALUE"""),5428.0)</f>
        <v>5428</v>
      </c>
    </row>
    <row r="2164">
      <c r="A2164" s="2">
        <f>IFERROR(__xludf.DUMMYFUNCTION("""COMPUTED_VALUE"""),44138.64583333333)</f>
        <v>44138.64583</v>
      </c>
      <c r="B2164" s="1">
        <f>IFERROR(__xludf.DUMMYFUNCTION("""COMPUTED_VALUE"""),31300.0)</f>
        <v>31300</v>
      </c>
      <c r="C2164" s="1">
        <f>IFERROR(__xludf.DUMMYFUNCTION("""COMPUTED_VALUE"""),32400.0)</f>
        <v>32400</v>
      </c>
      <c r="D2164" s="1">
        <f>IFERROR(__xludf.DUMMYFUNCTION("""COMPUTED_VALUE"""),31300.0)</f>
        <v>31300</v>
      </c>
      <c r="E2164" s="1">
        <f>IFERROR(__xludf.DUMMYFUNCTION("""COMPUTED_VALUE"""),32150.0)</f>
        <v>32150</v>
      </c>
      <c r="F2164" s="1">
        <f>IFERROR(__xludf.DUMMYFUNCTION("""COMPUTED_VALUE"""),12321.0)</f>
        <v>12321</v>
      </c>
    </row>
    <row r="2165">
      <c r="A2165" s="2">
        <f>IFERROR(__xludf.DUMMYFUNCTION("""COMPUTED_VALUE"""),44139.64583333333)</f>
        <v>44139.64583</v>
      </c>
      <c r="B2165" s="1">
        <f>IFERROR(__xludf.DUMMYFUNCTION("""COMPUTED_VALUE"""),32150.0)</f>
        <v>32150</v>
      </c>
      <c r="C2165" s="1">
        <f>IFERROR(__xludf.DUMMYFUNCTION("""COMPUTED_VALUE"""),32300.0)</f>
        <v>32300</v>
      </c>
      <c r="D2165" s="1">
        <f>IFERROR(__xludf.DUMMYFUNCTION("""COMPUTED_VALUE"""),31700.0)</f>
        <v>31700</v>
      </c>
      <c r="E2165" s="1">
        <f>IFERROR(__xludf.DUMMYFUNCTION("""COMPUTED_VALUE"""),31800.0)</f>
        <v>31800</v>
      </c>
      <c r="F2165" s="1">
        <f>IFERROR(__xludf.DUMMYFUNCTION("""COMPUTED_VALUE"""),10944.0)</f>
        <v>10944</v>
      </c>
    </row>
    <row r="2166">
      <c r="A2166" s="2">
        <f>IFERROR(__xludf.DUMMYFUNCTION("""COMPUTED_VALUE"""),44140.64583333333)</f>
        <v>44140.64583</v>
      </c>
      <c r="B2166" s="1">
        <f>IFERROR(__xludf.DUMMYFUNCTION("""COMPUTED_VALUE"""),31850.0)</f>
        <v>31850</v>
      </c>
      <c r="C2166" s="1">
        <f>IFERROR(__xludf.DUMMYFUNCTION("""COMPUTED_VALUE"""),32400.0)</f>
        <v>32400</v>
      </c>
      <c r="D2166" s="1">
        <f>IFERROR(__xludf.DUMMYFUNCTION("""COMPUTED_VALUE"""),31750.0)</f>
        <v>31750</v>
      </c>
      <c r="E2166" s="1">
        <f>IFERROR(__xludf.DUMMYFUNCTION("""COMPUTED_VALUE"""),32050.0)</f>
        <v>32050</v>
      </c>
      <c r="F2166" s="1">
        <f>IFERROR(__xludf.DUMMYFUNCTION("""COMPUTED_VALUE"""),10375.0)</f>
        <v>10375</v>
      </c>
    </row>
    <row r="2167">
      <c r="A2167" s="2">
        <f>IFERROR(__xludf.DUMMYFUNCTION("""COMPUTED_VALUE"""),44141.64583333333)</f>
        <v>44141.64583</v>
      </c>
      <c r="B2167" s="1">
        <f>IFERROR(__xludf.DUMMYFUNCTION("""COMPUTED_VALUE"""),32250.0)</f>
        <v>32250</v>
      </c>
      <c r="C2167" s="1">
        <f>IFERROR(__xludf.DUMMYFUNCTION("""COMPUTED_VALUE"""),32400.0)</f>
        <v>32400</v>
      </c>
      <c r="D2167" s="1">
        <f>IFERROR(__xludf.DUMMYFUNCTION("""COMPUTED_VALUE"""),31800.0)</f>
        <v>31800</v>
      </c>
      <c r="E2167" s="1">
        <f>IFERROR(__xludf.DUMMYFUNCTION("""COMPUTED_VALUE"""),31850.0)</f>
        <v>31850</v>
      </c>
      <c r="F2167" s="1">
        <f>IFERROR(__xludf.DUMMYFUNCTION("""COMPUTED_VALUE"""),11949.0)</f>
        <v>11949</v>
      </c>
    </row>
    <row r="2168">
      <c r="A2168" s="2">
        <f>IFERROR(__xludf.DUMMYFUNCTION("""COMPUTED_VALUE"""),44144.64583333333)</f>
        <v>44144.64583</v>
      </c>
      <c r="B2168" s="1">
        <f>IFERROR(__xludf.DUMMYFUNCTION("""COMPUTED_VALUE"""),32100.0)</f>
        <v>32100</v>
      </c>
      <c r="C2168" s="1">
        <f>IFERROR(__xludf.DUMMYFUNCTION("""COMPUTED_VALUE"""),32500.0)</f>
        <v>32500</v>
      </c>
      <c r="D2168" s="1">
        <f>IFERROR(__xludf.DUMMYFUNCTION("""COMPUTED_VALUE"""),31850.0)</f>
        <v>31850</v>
      </c>
      <c r="E2168" s="1">
        <f>IFERROR(__xludf.DUMMYFUNCTION("""COMPUTED_VALUE"""),32100.0)</f>
        <v>32100</v>
      </c>
      <c r="F2168" s="1">
        <f>IFERROR(__xludf.DUMMYFUNCTION("""COMPUTED_VALUE"""),15955.0)</f>
        <v>15955</v>
      </c>
    </row>
    <row r="2169">
      <c r="A2169" s="2">
        <f>IFERROR(__xludf.DUMMYFUNCTION("""COMPUTED_VALUE"""),44145.64583333333)</f>
        <v>44145.64583</v>
      </c>
      <c r="B2169" s="1">
        <f>IFERROR(__xludf.DUMMYFUNCTION("""COMPUTED_VALUE"""),34550.0)</f>
        <v>34550</v>
      </c>
      <c r="C2169" s="1">
        <f>IFERROR(__xludf.DUMMYFUNCTION("""COMPUTED_VALUE"""),35350.0)</f>
        <v>35350</v>
      </c>
      <c r="D2169" s="1">
        <f>IFERROR(__xludf.DUMMYFUNCTION("""COMPUTED_VALUE"""),33250.0)</f>
        <v>33250</v>
      </c>
      <c r="E2169" s="1">
        <f>IFERROR(__xludf.DUMMYFUNCTION("""COMPUTED_VALUE"""),35000.0)</f>
        <v>35000</v>
      </c>
      <c r="F2169" s="1">
        <f>IFERROR(__xludf.DUMMYFUNCTION("""COMPUTED_VALUE"""),107723.0)</f>
        <v>107723</v>
      </c>
    </row>
    <row r="2170">
      <c r="A2170" s="2">
        <f>IFERROR(__xludf.DUMMYFUNCTION("""COMPUTED_VALUE"""),44146.64583333333)</f>
        <v>44146.64583</v>
      </c>
      <c r="B2170" s="1">
        <f>IFERROR(__xludf.DUMMYFUNCTION("""COMPUTED_VALUE"""),35500.0)</f>
        <v>35500</v>
      </c>
      <c r="C2170" s="1">
        <f>IFERROR(__xludf.DUMMYFUNCTION("""COMPUTED_VALUE"""),35500.0)</f>
        <v>35500</v>
      </c>
      <c r="D2170" s="1">
        <f>IFERROR(__xludf.DUMMYFUNCTION("""COMPUTED_VALUE"""),34150.0)</f>
        <v>34150</v>
      </c>
      <c r="E2170" s="1">
        <f>IFERROR(__xludf.DUMMYFUNCTION("""COMPUTED_VALUE"""),34450.0)</f>
        <v>34450</v>
      </c>
      <c r="F2170" s="1">
        <f>IFERROR(__xludf.DUMMYFUNCTION("""COMPUTED_VALUE"""),57685.0)</f>
        <v>57685</v>
      </c>
    </row>
    <row r="2171">
      <c r="A2171" s="2">
        <f>IFERROR(__xludf.DUMMYFUNCTION("""COMPUTED_VALUE"""),44147.64583333333)</f>
        <v>44147.64583</v>
      </c>
      <c r="B2171" s="1">
        <f>IFERROR(__xludf.DUMMYFUNCTION("""COMPUTED_VALUE"""),34450.0)</f>
        <v>34450</v>
      </c>
      <c r="C2171" s="1">
        <f>IFERROR(__xludf.DUMMYFUNCTION("""COMPUTED_VALUE"""),34650.0)</f>
        <v>34650</v>
      </c>
      <c r="D2171" s="1">
        <f>IFERROR(__xludf.DUMMYFUNCTION("""COMPUTED_VALUE"""),33950.0)</f>
        <v>33950</v>
      </c>
      <c r="E2171" s="1">
        <f>IFERROR(__xludf.DUMMYFUNCTION("""COMPUTED_VALUE"""),34450.0)</f>
        <v>34450</v>
      </c>
      <c r="F2171" s="1">
        <f>IFERROR(__xludf.DUMMYFUNCTION("""COMPUTED_VALUE"""),16935.0)</f>
        <v>16935</v>
      </c>
    </row>
    <row r="2172">
      <c r="A2172" s="2">
        <f>IFERROR(__xludf.DUMMYFUNCTION("""COMPUTED_VALUE"""),44148.64583333333)</f>
        <v>44148.64583</v>
      </c>
      <c r="B2172" s="1">
        <f>IFERROR(__xludf.DUMMYFUNCTION("""COMPUTED_VALUE"""),33500.0)</f>
        <v>33500</v>
      </c>
      <c r="C2172" s="1">
        <f>IFERROR(__xludf.DUMMYFUNCTION("""COMPUTED_VALUE"""),34450.0)</f>
        <v>34450</v>
      </c>
      <c r="D2172" s="1">
        <f>IFERROR(__xludf.DUMMYFUNCTION("""COMPUTED_VALUE"""),33450.0)</f>
        <v>33450</v>
      </c>
      <c r="E2172" s="1">
        <f>IFERROR(__xludf.DUMMYFUNCTION("""COMPUTED_VALUE"""),34000.0)</f>
        <v>34000</v>
      </c>
      <c r="F2172" s="1">
        <f>IFERROR(__xludf.DUMMYFUNCTION("""COMPUTED_VALUE"""),14125.0)</f>
        <v>14125</v>
      </c>
    </row>
    <row r="2173">
      <c r="A2173" s="2">
        <f>IFERROR(__xludf.DUMMYFUNCTION("""COMPUTED_VALUE"""),44151.64583333333)</f>
        <v>44151.64583</v>
      </c>
      <c r="B2173" s="1">
        <f>IFERROR(__xludf.DUMMYFUNCTION("""COMPUTED_VALUE"""),34350.0)</f>
        <v>34350</v>
      </c>
      <c r="C2173" s="1">
        <f>IFERROR(__xludf.DUMMYFUNCTION("""COMPUTED_VALUE"""),35400.0)</f>
        <v>35400</v>
      </c>
      <c r="D2173" s="1">
        <f>IFERROR(__xludf.DUMMYFUNCTION("""COMPUTED_VALUE"""),34250.0)</f>
        <v>34250</v>
      </c>
      <c r="E2173" s="1">
        <f>IFERROR(__xludf.DUMMYFUNCTION("""COMPUTED_VALUE"""),35300.0)</f>
        <v>35300</v>
      </c>
      <c r="F2173" s="1">
        <f>IFERROR(__xludf.DUMMYFUNCTION("""COMPUTED_VALUE"""),26427.0)</f>
        <v>26427</v>
      </c>
    </row>
    <row r="2174">
      <c r="A2174" s="2">
        <f>IFERROR(__xludf.DUMMYFUNCTION("""COMPUTED_VALUE"""),44152.64583333333)</f>
        <v>44152.64583</v>
      </c>
      <c r="B2174" s="1">
        <f>IFERROR(__xludf.DUMMYFUNCTION("""COMPUTED_VALUE"""),35950.0)</f>
        <v>35950</v>
      </c>
      <c r="C2174" s="1">
        <f>IFERROR(__xludf.DUMMYFUNCTION("""COMPUTED_VALUE"""),36350.0)</f>
        <v>36350</v>
      </c>
      <c r="D2174" s="1">
        <f>IFERROR(__xludf.DUMMYFUNCTION("""COMPUTED_VALUE"""),35100.0)</f>
        <v>35100</v>
      </c>
      <c r="E2174" s="1">
        <f>IFERROR(__xludf.DUMMYFUNCTION("""COMPUTED_VALUE"""),35250.0)</f>
        <v>35250</v>
      </c>
      <c r="F2174" s="1">
        <f>IFERROR(__xludf.DUMMYFUNCTION("""COMPUTED_VALUE"""),32296.0)</f>
        <v>32296</v>
      </c>
    </row>
    <row r="2175">
      <c r="A2175" s="2">
        <f>IFERROR(__xludf.DUMMYFUNCTION("""COMPUTED_VALUE"""),44153.64583333333)</f>
        <v>44153.64583</v>
      </c>
      <c r="B2175" s="1">
        <f>IFERROR(__xludf.DUMMYFUNCTION("""COMPUTED_VALUE"""),35300.0)</f>
        <v>35300</v>
      </c>
      <c r="C2175" s="1">
        <f>IFERROR(__xludf.DUMMYFUNCTION("""COMPUTED_VALUE"""),35450.0)</f>
        <v>35450</v>
      </c>
      <c r="D2175" s="1">
        <f>IFERROR(__xludf.DUMMYFUNCTION("""COMPUTED_VALUE"""),34500.0)</f>
        <v>34500</v>
      </c>
      <c r="E2175" s="1">
        <f>IFERROR(__xludf.DUMMYFUNCTION("""COMPUTED_VALUE"""),35300.0)</f>
        <v>35300</v>
      </c>
      <c r="F2175" s="1">
        <f>IFERROR(__xludf.DUMMYFUNCTION("""COMPUTED_VALUE"""),14509.0)</f>
        <v>14509</v>
      </c>
    </row>
    <row r="2176">
      <c r="A2176" s="2">
        <f>IFERROR(__xludf.DUMMYFUNCTION("""COMPUTED_VALUE"""),44154.64583333333)</f>
        <v>44154.64583</v>
      </c>
      <c r="B2176" s="1">
        <f>IFERROR(__xludf.DUMMYFUNCTION("""COMPUTED_VALUE"""),35300.0)</f>
        <v>35300</v>
      </c>
      <c r="C2176" s="1">
        <f>IFERROR(__xludf.DUMMYFUNCTION("""COMPUTED_VALUE"""),35300.0)</f>
        <v>35300</v>
      </c>
      <c r="D2176" s="1">
        <f>IFERROR(__xludf.DUMMYFUNCTION("""COMPUTED_VALUE"""),34000.0)</f>
        <v>34000</v>
      </c>
      <c r="E2176" s="1">
        <f>IFERROR(__xludf.DUMMYFUNCTION("""COMPUTED_VALUE"""),34400.0)</f>
        <v>34400</v>
      </c>
      <c r="F2176" s="1">
        <f>IFERROR(__xludf.DUMMYFUNCTION("""COMPUTED_VALUE"""),16527.0)</f>
        <v>16527</v>
      </c>
    </row>
    <row r="2177">
      <c r="A2177" s="2">
        <f>IFERROR(__xludf.DUMMYFUNCTION("""COMPUTED_VALUE"""),44155.64583333333)</f>
        <v>44155.64583</v>
      </c>
      <c r="B2177" s="1">
        <f>IFERROR(__xludf.DUMMYFUNCTION("""COMPUTED_VALUE"""),34600.0)</f>
        <v>34600</v>
      </c>
      <c r="C2177" s="1">
        <f>IFERROR(__xludf.DUMMYFUNCTION("""COMPUTED_VALUE"""),34700.0)</f>
        <v>34700</v>
      </c>
      <c r="D2177" s="1">
        <f>IFERROR(__xludf.DUMMYFUNCTION("""COMPUTED_VALUE"""),34300.0)</f>
        <v>34300</v>
      </c>
      <c r="E2177" s="1">
        <f>IFERROR(__xludf.DUMMYFUNCTION("""COMPUTED_VALUE"""),34400.0)</f>
        <v>34400</v>
      </c>
      <c r="F2177" s="1">
        <f>IFERROR(__xludf.DUMMYFUNCTION("""COMPUTED_VALUE"""),9927.0)</f>
        <v>9927</v>
      </c>
    </row>
    <row r="2178">
      <c r="A2178" s="2">
        <f>IFERROR(__xludf.DUMMYFUNCTION("""COMPUTED_VALUE"""),44158.64583333333)</f>
        <v>44158.64583</v>
      </c>
      <c r="B2178" s="1">
        <f>IFERROR(__xludf.DUMMYFUNCTION("""COMPUTED_VALUE"""),34750.0)</f>
        <v>34750</v>
      </c>
      <c r="C2178" s="1">
        <f>IFERROR(__xludf.DUMMYFUNCTION("""COMPUTED_VALUE"""),35300.0)</f>
        <v>35300</v>
      </c>
      <c r="D2178" s="1">
        <f>IFERROR(__xludf.DUMMYFUNCTION("""COMPUTED_VALUE"""),34150.0)</f>
        <v>34150</v>
      </c>
      <c r="E2178" s="1">
        <f>IFERROR(__xludf.DUMMYFUNCTION("""COMPUTED_VALUE"""),35100.0)</f>
        <v>35100</v>
      </c>
      <c r="F2178" s="1">
        <f>IFERROR(__xludf.DUMMYFUNCTION("""COMPUTED_VALUE"""),23912.0)</f>
        <v>23912</v>
      </c>
    </row>
    <row r="2179">
      <c r="A2179" s="2">
        <f>IFERROR(__xludf.DUMMYFUNCTION("""COMPUTED_VALUE"""),44159.64583333333)</f>
        <v>44159.64583</v>
      </c>
      <c r="B2179" s="1">
        <f>IFERROR(__xludf.DUMMYFUNCTION("""COMPUTED_VALUE"""),35750.0)</f>
        <v>35750</v>
      </c>
      <c r="C2179" s="1">
        <f>IFERROR(__xludf.DUMMYFUNCTION("""COMPUTED_VALUE"""),37850.0)</f>
        <v>37850</v>
      </c>
      <c r="D2179" s="1">
        <f>IFERROR(__xludf.DUMMYFUNCTION("""COMPUTED_VALUE"""),35750.0)</f>
        <v>35750</v>
      </c>
      <c r="E2179" s="1">
        <f>IFERROR(__xludf.DUMMYFUNCTION("""COMPUTED_VALUE"""),37100.0)</f>
        <v>37100</v>
      </c>
      <c r="F2179" s="1">
        <f>IFERROR(__xludf.DUMMYFUNCTION("""COMPUTED_VALUE"""),81361.0)</f>
        <v>81361</v>
      </c>
    </row>
    <row r="2180">
      <c r="A2180" s="2">
        <f>IFERROR(__xludf.DUMMYFUNCTION("""COMPUTED_VALUE"""),44160.64583333333)</f>
        <v>44160.64583</v>
      </c>
      <c r="B2180" s="1">
        <f>IFERROR(__xludf.DUMMYFUNCTION("""COMPUTED_VALUE"""),38500.0)</f>
        <v>38500</v>
      </c>
      <c r="C2180" s="1">
        <f>IFERROR(__xludf.DUMMYFUNCTION("""COMPUTED_VALUE"""),38650.0)</f>
        <v>38650</v>
      </c>
      <c r="D2180" s="1">
        <f>IFERROR(__xludf.DUMMYFUNCTION("""COMPUTED_VALUE"""),36650.0)</f>
        <v>36650</v>
      </c>
      <c r="E2180" s="1">
        <f>IFERROR(__xludf.DUMMYFUNCTION("""COMPUTED_VALUE"""),37550.0)</f>
        <v>37550</v>
      </c>
      <c r="F2180" s="1">
        <f>IFERROR(__xludf.DUMMYFUNCTION("""COMPUTED_VALUE"""),61903.0)</f>
        <v>61903</v>
      </c>
    </row>
    <row r="2181">
      <c r="A2181" s="2">
        <f>IFERROR(__xludf.DUMMYFUNCTION("""COMPUTED_VALUE"""),44161.64583333333)</f>
        <v>44161.64583</v>
      </c>
      <c r="B2181" s="1">
        <f>IFERROR(__xludf.DUMMYFUNCTION("""COMPUTED_VALUE"""),37550.0)</f>
        <v>37550</v>
      </c>
      <c r="C2181" s="1">
        <f>IFERROR(__xludf.DUMMYFUNCTION("""COMPUTED_VALUE"""),37800.0)</f>
        <v>37800</v>
      </c>
      <c r="D2181" s="1">
        <f>IFERROR(__xludf.DUMMYFUNCTION("""COMPUTED_VALUE"""),37250.0)</f>
        <v>37250</v>
      </c>
      <c r="E2181" s="1">
        <f>IFERROR(__xludf.DUMMYFUNCTION("""COMPUTED_VALUE"""),37550.0)</f>
        <v>37550</v>
      </c>
      <c r="F2181" s="1">
        <f>IFERROR(__xludf.DUMMYFUNCTION("""COMPUTED_VALUE"""),23695.0)</f>
        <v>23695</v>
      </c>
    </row>
    <row r="2182">
      <c r="A2182" s="2">
        <f>IFERROR(__xludf.DUMMYFUNCTION("""COMPUTED_VALUE"""),44162.64583333333)</f>
        <v>44162.64583</v>
      </c>
      <c r="B2182" s="1">
        <f>IFERROR(__xludf.DUMMYFUNCTION("""COMPUTED_VALUE"""),37000.0)</f>
        <v>37000</v>
      </c>
      <c r="C2182" s="1">
        <f>IFERROR(__xludf.DUMMYFUNCTION("""COMPUTED_VALUE"""),37650.0)</f>
        <v>37650</v>
      </c>
      <c r="D2182" s="1">
        <f>IFERROR(__xludf.DUMMYFUNCTION("""COMPUTED_VALUE"""),37000.0)</f>
        <v>37000</v>
      </c>
      <c r="E2182" s="1">
        <f>IFERROR(__xludf.DUMMYFUNCTION("""COMPUTED_VALUE"""),37350.0)</f>
        <v>37350</v>
      </c>
      <c r="F2182" s="1">
        <f>IFERROR(__xludf.DUMMYFUNCTION("""COMPUTED_VALUE"""),18838.0)</f>
        <v>18838</v>
      </c>
    </row>
    <row r="2183">
      <c r="A2183" s="2">
        <f>IFERROR(__xludf.DUMMYFUNCTION("""COMPUTED_VALUE"""),44165.64583333333)</f>
        <v>44165.64583</v>
      </c>
      <c r="B2183" s="1">
        <f>IFERROR(__xludf.DUMMYFUNCTION("""COMPUTED_VALUE"""),37550.0)</f>
        <v>37550</v>
      </c>
      <c r="C2183" s="1">
        <f>IFERROR(__xludf.DUMMYFUNCTION("""COMPUTED_VALUE"""),38350.0)</f>
        <v>38350</v>
      </c>
      <c r="D2183" s="1">
        <f>IFERROR(__xludf.DUMMYFUNCTION("""COMPUTED_VALUE"""),37550.0)</f>
        <v>37550</v>
      </c>
      <c r="E2183" s="1">
        <f>IFERROR(__xludf.DUMMYFUNCTION("""COMPUTED_VALUE"""),37700.0)</f>
        <v>37700</v>
      </c>
      <c r="F2183" s="1">
        <f>IFERROR(__xludf.DUMMYFUNCTION("""COMPUTED_VALUE"""),27838.0)</f>
        <v>27838</v>
      </c>
    </row>
    <row r="2184">
      <c r="A2184" s="2">
        <f>IFERROR(__xludf.DUMMYFUNCTION("""COMPUTED_VALUE"""),44166.64583333333)</f>
        <v>44166.64583</v>
      </c>
      <c r="B2184" s="1">
        <f>IFERROR(__xludf.DUMMYFUNCTION("""COMPUTED_VALUE"""),37700.0)</f>
        <v>37700</v>
      </c>
      <c r="C2184" s="1">
        <f>IFERROR(__xludf.DUMMYFUNCTION("""COMPUTED_VALUE"""),38050.0)</f>
        <v>38050</v>
      </c>
      <c r="D2184" s="1">
        <f>IFERROR(__xludf.DUMMYFUNCTION("""COMPUTED_VALUE"""),37150.0)</f>
        <v>37150</v>
      </c>
      <c r="E2184" s="1">
        <f>IFERROR(__xludf.DUMMYFUNCTION("""COMPUTED_VALUE"""),37600.0)</f>
        <v>37600</v>
      </c>
      <c r="F2184" s="1">
        <f>IFERROR(__xludf.DUMMYFUNCTION("""COMPUTED_VALUE"""),18709.0)</f>
        <v>18709</v>
      </c>
    </row>
    <row r="2185">
      <c r="A2185" s="2">
        <f>IFERROR(__xludf.DUMMYFUNCTION("""COMPUTED_VALUE"""),44167.64583333333)</f>
        <v>44167.64583</v>
      </c>
      <c r="B2185" s="1">
        <f>IFERROR(__xludf.DUMMYFUNCTION("""COMPUTED_VALUE"""),37950.0)</f>
        <v>37950</v>
      </c>
      <c r="C2185" s="1">
        <f>IFERROR(__xludf.DUMMYFUNCTION("""COMPUTED_VALUE"""),37950.0)</f>
        <v>37950</v>
      </c>
      <c r="D2185" s="1">
        <f>IFERROR(__xludf.DUMMYFUNCTION("""COMPUTED_VALUE"""),37450.0)</f>
        <v>37450</v>
      </c>
      <c r="E2185" s="1">
        <f>IFERROR(__xludf.DUMMYFUNCTION("""COMPUTED_VALUE"""),37550.0)</f>
        <v>37550</v>
      </c>
      <c r="F2185" s="1">
        <f>IFERROR(__xludf.DUMMYFUNCTION("""COMPUTED_VALUE"""),14094.0)</f>
        <v>14094</v>
      </c>
    </row>
    <row r="2186">
      <c r="A2186" s="2">
        <f>IFERROR(__xludf.DUMMYFUNCTION("""COMPUTED_VALUE"""),44168.64583333333)</f>
        <v>44168.64583</v>
      </c>
      <c r="B2186" s="1">
        <f>IFERROR(__xludf.DUMMYFUNCTION("""COMPUTED_VALUE"""),38800.0)</f>
        <v>38800</v>
      </c>
      <c r="C2186" s="1">
        <f>IFERROR(__xludf.DUMMYFUNCTION("""COMPUTED_VALUE"""),38800.0)</f>
        <v>38800</v>
      </c>
      <c r="D2186" s="1">
        <f>IFERROR(__xludf.DUMMYFUNCTION("""COMPUTED_VALUE"""),37650.0)</f>
        <v>37650</v>
      </c>
      <c r="E2186" s="1">
        <f>IFERROR(__xludf.DUMMYFUNCTION("""COMPUTED_VALUE"""),38050.0)</f>
        <v>38050</v>
      </c>
      <c r="F2186" s="1">
        <f>IFERROR(__xludf.DUMMYFUNCTION("""COMPUTED_VALUE"""),16375.0)</f>
        <v>16375</v>
      </c>
    </row>
    <row r="2187">
      <c r="A2187" s="2">
        <f>IFERROR(__xludf.DUMMYFUNCTION("""COMPUTED_VALUE"""),44169.64583333333)</f>
        <v>44169.64583</v>
      </c>
      <c r="B2187" s="1">
        <f>IFERROR(__xludf.DUMMYFUNCTION("""COMPUTED_VALUE"""),38100.0)</f>
        <v>38100</v>
      </c>
      <c r="C2187" s="1">
        <f>IFERROR(__xludf.DUMMYFUNCTION("""COMPUTED_VALUE"""),38300.0)</f>
        <v>38300</v>
      </c>
      <c r="D2187" s="1">
        <f>IFERROR(__xludf.DUMMYFUNCTION("""COMPUTED_VALUE"""),37600.0)</f>
        <v>37600</v>
      </c>
      <c r="E2187" s="1">
        <f>IFERROR(__xludf.DUMMYFUNCTION("""COMPUTED_VALUE"""),37650.0)</f>
        <v>37650</v>
      </c>
      <c r="F2187" s="1">
        <f>IFERROR(__xludf.DUMMYFUNCTION("""COMPUTED_VALUE"""),19922.0)</f>
        <v>19922</v>
      </c>
    </row>
    <row r="2188">
      <c r="A2188" s="2">
        <f>IFERROR(__xludf.DUMMYFUNCTION("""COMPUTED_VALUE"""),44172.64583333333)</f>
        <v>44172.64583</v>
      </c>
      <c r="B2188" s="1">
        <f>IFERROR(__xludf.DUMMYFUNCTION("""COMPUTED_VALUE"""),38100.0)</f>
        <v>38100</v>
      </c>
      <c r="C2188" s="1">
        <f>IFERROR(__xludf.DUMMYFUNCTION("""COMPUTED_VALUE"""),38200.0)</f>
        <v>38200</v>
      </c>
      <c r="D2188" s="1">
        <f>IFERROR(__xludf.DUMMYFUNCTION("""COMPUTED_VALUE"""),37450.0)</f>
        <v>37450</v>
      </c>
      <c r="E2188" s="1">
        <f>IFERROR(__xludf.DUMMYFUNCTION("""COMPUTED_VALUE"""),37800.0)</f>
        <v>37800</v>
      </c>
      <c r="F2188" s="1">
        <f>IFERROR(__xludf.DUMMYFUNCTION("""COMPUTED_VALUE"""),14254.0)</f>
        <v>14254</v>
      </c>
    </row>
    <row r="2189">
      <c r="A2189" s="2">
        <f>IFERROR(__xludf.DUMMYFUNCTION("""COMPUTED_VALUE"""),44173.64583333333)</f>
        <v>44173.64583</v>
      </c>
      <c r="B2189" s="1">
        <f>IFERROR(__xludf.DUMMYFUNCTION("""COMPUTED_VALUE"""),37800.0)</f>
        <v>37800</v>
      </c>
      <c r="C2189" s="1">
        <f>IFERROR(__xludf.DUMMYFUNCTION("""COMPUTED_VALUE"""),37800.0)</f>
        <v>37800</v>
      </c>
      <c r="D2189" s="1">
        <f>IFERROR(__xludf.DUMMYFUNCTION("""COMPUTED_VALUE"""),37150.0)</f>
        <v>37150</v>
      </c>
      <c r="E2189" s="1">
        <f>IFERROR(__xludf.DUMMYFUNCTION("""COMPUTED_VALUE"""),37200.0)</f>
        <v>37200</v>
      </c>
      <c r="F2189" s="1">
        <f>IFERROR(__xludf.DUMMYFUNCTION("""COMPUTED_VALUE"""),12636.0)</f>
        <v>12636</v>
      </c>
    </row>
    <row r="2190">
      <c r="A2190" s="2">
        <f>IFERROR(__xludf.DUMMYFUNCTION("""COMPUTED_VALUE"""),44174.64583333333)</f>
        <v>44174.64583</v>
      </c>
      <c r="B2190" s="1">
        <f>IFERROR(__xludf.DUMMYFUNCTION("""COMPUTED_VALUE"""),37750.0)</f>
        <v>37750</v>
      </c>
      <c r="C2190" s="1">
        <f>IFERROR(__xludf.DUMMYFUNCTION("""COMPUTED_VALUE"""),38450.0)</f>
        <v>38450</v>
      </c>
      <c r="D2190" s="1">
        <f>IFERROR(__xludf.DUMMYFUNCTION("""COMPUTED_VALUE"""),37750.0)</f>
        <v>37750</v>
      </c>
      <c r="E2190" s="1">
        <f>IFERROR(__xludf.DUMMYFUNCTION("""COMPUTED_VALUE"""),38300.0)</f>
        <v>38300</v>
      </c>
      <c r="F2190" s="1">
        <f>IFERROR(__xludf.DUMMYFUNCTION("""COMPUTED_VALUE"""),30739.0)</f>
        <v>30739</v>
      </c>
    </row>
    <row r="2191">
      <c r="A2191" s="2">
        <f>IFERROR(__xludf.DUMMYFUNCTION("""COMPUTED_VALUE"""),44175.64583333333)</f>
        <v>44175.64583</v>
      </c>
      <c r="B2191" s="1">
        <f>IFERROR(__xludf.DUMMYFUNCTION("""COMPUTED_VALUE"""),38200.0)</f>
        <v>38200</v>
      </c>
      <c r="C2191" s="1">
        <f>IFERROR(__xludf.DUMMYFUNCTION("""COMPUTED_VALUE"""),38500.0)</f>
        <v>38500</v>
      </c>
      <c r="D2191" s="1">
        <f>IFERROR(__xludf.DUMMYFUNCTION("""COMPUTED_VALUE"""),37900.0)</f>
        <v>37900</v>
      </c>
      <c r="E2191" s="1">
        <f>IFERROR(__xludf.DUMMYFUNCTION("""COMPUTED_VALUE"""),38450.0)</f>
        <v>38450</v>
      </c>
      <c r="F2191" s="1">
        <f>IFERROR(__xludf.DUMMYFUNCTION("""COMPUTED_VALUE"""),18200.0)</f>
        <v>18200</v>
      </c>
    </row>
    <row r="2192">
      <c r="A2192" s="2">
        <f>IFERROR(__xludf.DUMMYFUNCTION("""COMPUTED_VALUE"""),44176.64583333333)</f>
        <v>44176.64583</v>
      </c>
      <c r="B2192" s="1">
        <f>IFERROR(__xludf.DUMMYFUNCTION("""COMPUTED_VALUE"""),39050.0)</f>
        <v>39050</v>
      </c>
      <c r="C2192" s="1">
        <f>IFERROR(__xludf.DUMMYFUNCTION("""COMPUTED_VALUE"""),39700.0)</f>
        <v>39700</v>
      </c>
      <c r="D2192" s="1">
        <f>IFERROR(__xludf.DUMMYFUNCTION("""COMPUTED_VALUE"""),39000.0)</f>
        <v>39000</v>
      </c>
      <c r="E2192" s="1">
        <f>IFERROR(__xludf.DUMMYFUNCTION("""COMPUTED_VALUE"""),39400.0)</f>
        <v>39400</v>
      </c>
      <c r="F2192" s="1">
        <f>IFERROR(__xludf.DUMMYFUNCTION("""COMPUTED_VALUE"""),32092.0)</f>
        <v>32092</v>
      </c>
    </row>
    <row r="2193">
      <c r="A2193" s="2">
        <f>IFERROR(__xludf.DUMMYFUNCTION("""COMPUTED_VALUE"""),44179.64583333333)</f>
        <v>44179.64583</v>
      </c>
      <c r="B2193" s="1">
        <f>IFERROR(__xludf.DUMMYFUNCTION("""COMPUTED_VALUE"""),39400.0)</f>
        <v>39400</v>
      </c>
      <c r="C2193" s="1">
        <f>IFERROR(__xludf.DUMMYFUNCTION("""COMPUTED_VALUE"""),39400.0)</f>
        <v>39400</v>
      </c>
      <c r="D2193" s="1">
        <f>IFERROR(__xludf.DUMMYFUNCTION("""COMPUTED_VALUE"""),38600.0)</f>
        <v>38600</v>
      </c>
      <c r="E2193" s="1">
        <f>IFERROR(__xludf.DUMMYFUNCTION("""COMPUTED_VALUE"""),38950.0)</f>
        <v>38950</v>
      </c>
      <c r="F2193" s="1">
        <f>IFERROR(__xludf.DUMMYFUNCTION("""COMPUTED_VALUE"""),20762.0)</f>
        <v>20762</v>
      </c>
    </row>
    <row r="2194">
      <c r="A2194" s="2">
        <f>IFERROR(__xludf.DUMMYFUNCTION("""COMPUTED_VALUE"""),44180.64583333333)</f>
        <v>44180.64583</v>
      </c>
      <c r="B2194" s="1">
        <f>IFERROR(__xludf.DUMMYFUNCTION("""COMPUTED_VALUE"""),38650.0)</f>
        <v>38650</v>
      </c>
      <c r="C2194" s="1">
        <f>IFERROR(__xludf.DUMMYFUNCTION("""COMPUTED_VALUE"""),39400.0)</f>
        <v>39400</v>
      </c>
      <c r="D2194" s="1">
        <f>IFERROR(__xludf.DUMMYFUNCTION("""COMPUTED_VALUE"""),38650.0)</f>
        <v>38650</v>
      </c>
      <c r="E2194" s="1">
        <f>IFERROR(__xludf.DUMMYFUNCTION("""COMPUTED_VALUE"""),39100.0)</f>
        <v>39100</v>
      </c>
      <c r="F2194" s="1">
        <f>IFERROR(__xludf.DUMMYFUNCTION("""COMPUTED_VALUE"""),15438.0)</f>
        <v>15438</v>
      </c>
    </row>
    <row r="2195">
      <c r="A2195" s="2">
        <f>IFERROR(__xludf.DUMMYFUNCTION("""COMPUTED_VALUE"""),44181.64583333333)</f>
        <v>44181.64583</v>
      </c>
      <c r="B2195" s="1">
        <f>IFERROR(__xludf.DUMMYFUNCTION("""COMPUTED_VALUE"""),39600.0)</f>
        <v>39600</v>
      </c>
      <c r="C2195" s="1">
        <f>IFERROR(__xludf.DUMMYFUNCTION("""COMPUTED_VALUE"""),39650.0)</f>
        <v>39650</v>
      </c>
      <c r="D2195" s="1">
        <f>IFERROR(__xludf.DUMMYFUNCTION("""COMPUTED_VALUE"""),39100.0)</f>
        <v>39100</v>
      </c>
      <c r="E2195" s="1">
        <f>IFERROR(__xludf.DUMMYFUNCTION("""COMPUTED_VALUE"""),39200.0)</f>
        <v>39200</v>
      </c>
      <c r="F2195" s="1">
        <f>IFERROR(__xludf.DUMMYFUNCTION("""COMPUTED_VALUE"""),12616.0)</f>
        <v>12616</v>
      </c>
    </row>
    <row r="2196">
      <c r="A2196" s="2">
        <f>IFERROR(__xludf.DUMMYFUNCTION("""COMPUTED_VALUE"""),44182.64583333333)</f>
        <v>44182.64583</v>
      </c>
      <c r="B2196" s="1">
        <f>IFERROR(__xludf.DUMMYFUNCTION("""COMPUTED_VALUE"""),39400.0)</f>
        <v>39400</v>
      </c>
      <c r="C2196" s="1">
        <f>IFERROR(__xludf.DUMMYFUNCTION("""COMPUTED_VALUE"""),39400.0)</f>
        <v>39400</v>
      </c>
      <c r="D2196" s="1">
        <f>IFERROR(__xludf.DUMMYFUNCTION("""COMPUTED_VALUE"""),39100.0)</f>
        <v>39100</v>
      </c>
      <c r="E2196" s="1">
        <f>IFERROR(__xludf.DUMMYFUNCTION("""COMPUTED_VALUE"""),39300.0)</f>
        <v>39300</v>
      </c>
      <c r="F2196" s="1">
        <f>IFERROR(__xludf.DUMMYFUNCTION("""COMPUTED_VALUE"""),12064.0)</f>
        <v>12064</v>
      </c>
    </row>
    <row r="2197">
      <c r="A2197" s="2">
        <f>IFERROR(__xludf.DUMMYFUNCTION("""COMPUTED_VALUE"""),44183.64583333333)</f>
        <v>44183.64583</v>
      </c>
      <c r="B2197" s="1">
        <f>IFERROR(__xludf.DUMMYFUNCTION("""COMPUTED_VALUE"""),39550.0)</f>
        <v>39550</v>
      </c>
      <c r="C2197" s="1">
        <f>IFERROR(__xludf.DUMMYFUNCTION("""COMPUTED_VALUE"""),39550.0)</f>
        <v>39550</v>
      </c>
      <c r="D2197" s="1">
        <f>IFERROR(__xludf.DUMMYFUNCTION("""COMPUTED_VALUE"""),39000.0)</f>
        <v>39000</v>
      </c>
      <c r="E2197" s="1">
        <f>IFERROR(__xludf.DUMMYFUNCTION("""COMPUTED_VALUE"""),39200.0)</f>
        <v>39200</v>
      </c>
      <c r="F2197" s="1">
        <f>IFERROR(__xludf.DUMMYFUNCTION("""COMPUTED_VALUE"""),13829.0)</f>
        <v>13829</v>
      </c>
    </row>
    <row r="2198">
      <c r="A2198" s="2">
        <f>IFERROR(__xludf.DUMMYFUNCTION("""COMPUTED_VALUE"""),44187.64583333333)</f>
        <v>44187.64583</v>
      </c>
      <c r="B2198" s="1">
        <f>IFERROR(__xludf.DUMMYFUNCTION("""COMPUTED_VALUE"""),38900.0)</f>
        <v>38900</v>
      </c>
      <c r="C2198" s="1">
        <f>IFERROR(__xludf.DUMMYFUNCTION("""COMPUTED_VALUE"""),39300.0)</f>
        <v>39300</v>
      </c>
      <c r="D2198" s="1">
        <f>IFERROR(__xludf.DUMMYFUNCTION("""COMPUTED_VALUE"""),38300.0)</f>
        <v>38300</v>
      </c>
      <c r="E2198" s="1">
        <f>IFERROR(__xludf.DUMMYFUNCTION("""COMPUTED_VALUE"""),38300.0)</f>
        <v>38300</v>
      </c>
      <c r="F2198" s="1">
        <f>IFERROR(__xludf.DUMMYFUNCTION("""COMPUTED_VALUE"""),21426.0)</f>
        <v>21426</v>
      </c>
    </row>
    <row r="2199">
      <c r="A2199" s="2">
        <f>IFERROR(__xludf.DUMMYFUNCTION("""COMPUTED_VALUE"""),44188.64583333333)</f>
        <v>44188.64583</v>
      </c>
      <c r="B2199" s="1">
        <f>IFERROR(__xludf.DUMMYFUNCTION("""COMPUTED_VALUE"""),38300.0)</f>
        <v>38300</v>
      </c>
      <c r="C2199" s="1">
        <f>IFERROR(__xludf.DUMMYFUNCTION("""COMPUTED_VALUE"""),38700.0)</f>
        <v>38700</v>
      </c>
      <c r="D2199" s="1">
        <f>IFERROR(__xludf.DUMMYFUNCTION("""COMPUTED_VALUE"""),37900.0)</f>
        <v>37900</v>
      </c>
      <c r="E2199" s="1">
        <f>IFERROR(__xludf.DUMMYFUNCTION("""COMPUTED_VALUE"""),37950.0)</f>
        <v>37950</v>
      </c>
      <c r="F2199" s="1">
        <f>IFERROR(__xludf.DUMMYFUNCTION("""COMPUTED_VALUE"""),17362.0)</f>
        <v>17362</v>
      </c>
    </row>
    <row r="2200">
      <c r="A2200" s="2">
        <f>IFERROR(__xludf.DUMMYFUNCTION("""COMPUTED_VALUE"""),44189.64583333333)</f>
        <v>44189.64583</v>
      </c>
      <c r="B2200" s="1">
        <f>IFERROR(__xludf.DUMMYFUNCTION("""COMPUTED_VALUE"""),38350.0)</f>
        <v>38350</v>
      </c>
      <c r="C2200" s="1">
        <f>IFERROR(__xludf.DUMMYFUNCTION("""COMPUTED_VALUE"""),38650.0)</f>
        <v>38650</v>
      </c>
      <c r="D2200" s="1">
        <f>IFERROR(__xludf.DUMMYFUNCTION("""COMPUTED_VALUE"""),37800.0)</f>
        <v>37800</v>
      </c>
      <c r="E2200" s="1">
        <f>IFERROR(__xludf.DUMMYFUNCTION("""COMPUTED_VALUE"""),38650.0)</f>
        <v>38650</v>
      </c>
      <c r="F2200" s="1">
        <f>IFERROR(__xludf.DUMMYFUNCTION("""COMPUTED_VALUE"""),17908.0)</f>
        <v>17908</v>
      </c>
    </row>
    <row r="2201">
      <c r="A2201" s="2">
        <f>IFERROR(__xludf.DUMMYFUNCTION("""COMPUTED_VALUE"""),44193.64583333333)</f>
        <v>44193.64583</v>
      </c>
      <c r="B2201" s="1">
        <f>IFERROR(__xludf.DUMMYFUNCTION("""COMPUTED_VALUE"""),39250.0)</f>
        <v>39250</v>
      </c>
      <c r="C2201" s="1">
        <f>IFERROR(__xludf.DUMMYFUNCTION("""COMPUTED_VALUE"""),39250.0)</f>
        <v>39250</v>
      </c>
      <c r="D2201" s="1">
        <f>IFERROR(__xludf.DUMMYFUNCTION("""COMPUTED_VALUE"""),37750.0)</f>
        <v>37750</v>
      </c>
      <c r="E2201" s="1">
        <f>IFERROR(__xludf.DUMMYFUNCTION("""COMPUTED_VALUE"""),38150.0)</f>
        <v>38150</v>
      </c>
      <c r="F2201" s="1">
        <f>IFERROR(__xludf.DUMMYFUNCTION("""COMPUTED_VALUE"""),19175.0)</f>
        <v>19175</v>
      </c>
    </row>
    <row r="2202">
      <c r="A2202" s="2">
        <f>IFERROR(__xludf.DUMMYFUNCTION("""COMPUTED_VALUE"""),44194.64583333333)</f>
        <v>44194.64583</v>
      </c>
      <c r="B2202" s="1">
        <f>IFERROR(__xludf.DUMMYFUNCTION("""COMPUTED_VALUE"""),37800.0)</f>
        <v>37800</v>
      </c>
      <c r="C2202" s="1">
        <f>IFERROR(__xludf.DUMMYFUNCTION("""COMPUTED_VALUE"""),38550.0)</f>
        <v>38550</v>
      </c>
      <c r="D2202" s="1">
        <f>IFERROR(__xludf.DUMMYFUNCTION("""COMPUTED_VALUE"""),37800.0)</f>
        <v>37800</v>
      </c>
      <c r="E2202" s="1">
        <f>IFERROR(__xludf.DUMMYFUNCTION("""COMPUTED_VALUE"""),38300.0)</f>
        <v>38300</v>
      </c>
      <c r="F2202" s="1">
        <f>IFERROR(__xludf.DUMMYFUNCTION("""COMPUTED_VALUE"""),8975.0)</f>
        <v>8975</v>
      </c>
    </row>
    <row r="2203">
      <c r="A2203" s="2">
        <f>IFERROR(__xludf.DUMMYFUNCTION("""COMPUTED_VALUE"""),44195.64583333333)</f>
        <v>44195.64583</v>
      </c>
      <c r="B2203" s="1">
        <f>IFERROR(__xludf.DUMMYFUNCTION("""COMPUTED_VALUE"""),38500.0)</f>
        <v>38500</v>
      </c>
      <c r="C2203" s="1">
        <f>IFERROR(__xludf.DUMMYFUNCTION("""COMPUTED_VALUE"""),38950.0)</f>
        <v>38950</v>
      </c>
      <c r="D2203" s="1">
        <f>IFERROR(__xludf.DUMMYFUNCTION("""COMPUTED_VALUE"""),38200.0)</f>
        <v>38200</v>
      </c>
      <c r="E2203" s="1">
        <f>IFERROR(__xludf.DUMMYFUNCTION("""COMPUTED_VALUE"""),38550.0)</f>
        <v>38550</v>
      </c>
      <c r="F2203" s="1">
        <f>IFERROR(__xludf.DUMMYFUNCTION("""COMPUTED_VALUE"""),8366.0)</f>
        <v>8366</v>
      </c>
    </row>
    <row r="2204">
      <c r="A2204" s="2">
        <f>IFERROR(__xludf.DUMMYFUNCTION("""COMPUTED_VALUE"""),44200.64583333333)</f>
        <v>44200.64583</v>
      </c>
      <c r="B2204" s="1">
        <f>IFERROR(__xludf.DUMMYFUNCTION("""COMPUTED_VALUE"""),38550.0)</f>
        <v>38550</v>
      </c>
      <c r="C2204" s="1">
        <f>IFERROR(__xludf.DUMMYFUNCTION("""COMPUTED_VALUE"""),39500.0)</f>
        <v>39500</v>
      </c>
      <c r="D2204" s="1">
        <f>IFERROR(__xludf.DUMMYFUNCTION("""COMPUTED_VALUE"""),38550.0)</f>
        <v>38550</v>
      </c>
      <c r="E2204" s="1">
        <f>IFERROR(__xludf.DUMMYFUNCTION("""COMPUTED_VALUE"""),39000.0)</f>
        <v>39000</v>
      </c>
      <c r="F2204" s="1">
        <f>IFERROR(__xludf.DUMMYFUNCTION("""COMPUTED_VALUE"""),31368.0)</f>
        <v>31368</v>
      </c>
    </row>
    <row r="2205">
      <c r="A2205" s="2">
        <f>IFERROR(__xludf.DUMMYFUNCTION("""COMPUTED_VALUE"""),44201.64583333333)</f>
        <v>44201.64583</v>
      </c>
      <c r="B2205" s="1">
        <f>IFERROR(__xludf.DUMMYFUNCTION("""COMPUTED_VALUE"""),38700.0)</f>
        <v>38700</v>
      </c>
      <c r="C2205" s="1">
        <f>IFERROR(__xludf.DUMMYFUNCTION("""COMPUTED_VALUE"""),38950.0)</f>
        <v>38950</v>
      </c>
      <c r="D2205" s="1">
        <f>IFERROR(__xludf.DUMMYFUNCTION("""COMPUTED_VALUE"""),38450.0)</f>
        <v>38450</v>
      </c>
      <c r="E2205" s="1">
        <f>IFERROR(__xludf.DUMMYFUNCTION("""COMPUTED_VALUE"""),38900.0)</f>
        <v>38900</v>
      </c>
      <c r="F2205" s="1">
        <f>IFERROR(__xludf.DUMMYFUNCTION("""COMPUTED_VALUE"""),17289.0)</f>
        <v>17289</v>
      </c>
    </row>
    <row r="2206">
      <c r="A2206" s="2">
        <f>IFERROR(__xludf.DUMMYFUNCTION("""COMPUTED_VALUE"""),44202.64583333333)</f>
        <v>44202.64583</v>
      </c>
      <c r="B2206" s="1">
        <f>IFERROR(__xludf.DUMMYFUNCTION("""COMPUTED_VALUE"""),41350.0)</f>
        <v>41350</v>
      </c>
      <c r="C2206" s="1">
        <f>IFERROR(__xludf.DUMMYFUNCTION("""COMPUTED_VALUE"""),42850.0)</f>
        <v>42850</v>
      </c>
      <c r="D2206" s="1">
        <f>IFERROR(__xludf.DUMMYFUNCTION("""COMPUTED_VALUE"""),40000.0)</f>
        <v>40000</v>
      </c>
      <c r="E2206" s="1">
        <f>IFERROR(__xludf.DUMMYFUNCTION("""COMPUTED_VALUE"""),40250.0)</f>
        <v>40250</v>
      </c>
      <c r="F2206" s="1">
        <f>IFERROR(__xludf.DUMMYFUNCTION("""COMPUTED_VALUE"""),78377.0)</f>
        <v>78377</v>
      </c>
    </row>
    <row r="2207">
      <c r="A2207" s="2">
        <f>IFERROR(__xludf.DUMMYFUNCTION("""COMPUTED_VALUE"""),44203.64583333333)</f>
        <v>44203.64583</v>
      </c>
      <c r="B2207" s="1">
        <f>IFERROR(__xludf.DUMMYFUNCTION("""COMPUTED_VALUE"""),40900.0)</f>
        <v>40900</v>
      </c>
      <c r="C2207" s="1">
        <f>IFERROR(__xludf.DUMMYFUNCTION("""COMPUTED_VALUE"""),42700.0)</f>
        <v>42700</v>
      </c>
      <c r="D2207" s="1">
        <f>IFERROR(__xludf.DUMMYFUNCTION("""COMPUTED_VALUE"""),40850.0)</f>
        <v>40850</v>
      </c>
      <c r="E2207" s="1">
        <f>IFERROR(__xludf.DUMMYFUNCTION("""COMPUTED_VALUE"""),41800.0)</f>
        <v>41800</v>
      </c>
      <c r="F2207" s="1">
        <f>IFERROR(__xludf.DUMMYFUNCTION("""COMPUTED_VALUE"""),45293.0)</f>
        <v>45293</v>
      </c>
    </row>
    <row r="2208">
      <c r="A2208" s="2">
        <f>IFERROR(__xludf.DUMMYFUNCTION("""COMPUTED_VALUE"""),44204.64583333333)</f>
        <v>44204.64583</v>
      </c>
      <c r="B2208" s="1">
        <f>IFERROR(__xludf.DUMMYFUNCTION("""COMPUTED_VALUE"""),41900.0)</f>
        <v>41900</v>
      </c>
      <c r="C2208" s="1">
        <f>IFERROR(__xludf.DUMMYFUNCTION("""COMPUTED_VALUE"""),42350.0)</f>
        <v>42350</v>
      </c>
      <c r="D2208" s="1">
        <f>IFERROR(__xludf.DUMMYFUNCTION("""COMPUTED_VALUE"""),41700.0)</f>
        <v>41700</v>
      </c>
      <c r="E2208" s="1">
        <f>IFERROR(__xludf.DUMMYFUNCTION("""COMPUTED_VALUE"""),41950.0)</f>
        <v>41950</v>
      </c>
      <c r="F2208" s="1">
        <f>IFERROR(__xludf.DUMMYFUNCTION("""COMPUTED_VALUE"""),39440.0)</f>
        <v>39440</v>
      </c>
    </row>
    <row r="2209">
      <c r="A2209" s="2">
        <f>IFERROR(__xludf.DUMMYFUNCTION("""COMPUTED_VALUE"""),44207.64583333333)</f>
        <v>44207.64583</v>
      </c>
      <c r="B2209" s="1">
        <f>IFERROR(__xludf.DUMMYFUNCTION("""COMPUTED_VALUE"""),41950.0)</f>
        <v>41950</v>
      </c>
      <c r="C2209" s="1">
        <f>IFERROR(__xludf.DUMMYFUNCTION("""COMPUTED_VALUE"""),42500.0)</f>
        <v>42500</v>
      </c>
      <c r="D2209" s="1">
        <f>IFERROR(__xludf.DUMMYFUNCTION("""COMPUTED_VALUE"""),38800.0)</f>
        <v>38800</v>
      </c>
      <c r="E2209" s="1">
        <f>IFERROR(__xludf.DUMMYFUNCTION("""COMPUTED_VALUE"""),40050.0)</f>
        <v>40050</v>
      </c>
      <c r="F2209" s="1">
        <f>IFERROR(__xludf.DUMMYFUNCTION("""COMPUTED_VALUE"""),53632.0)</f>
        <v>53632</v>
      </c>
    </row>
    <row r="2210">
      <c r="A2210" s="2">
        <f>IFERROR(__xludf.DUMMYFUNCTION("""COMPUTED_VALUE"""),44208.64583333333)</f>
        <v>44208.64583</v>
      </c>
      <c r="B2210" s="1">
        <f>IFERROR(__xludf.DUMMYFUNCTION("""COMPUTED_VALUE"""),39850.0)</f>
        <v>39850</v>
      </c>
      <c r="C2210" s="1">
        <f>IFERROR(__xludf.DUMMYFUNCTION("""COMPUTED_VALUE"""),41800.0)</f>
        <v>41800</v>
      </c>
      <c r="D2210" s="1">
        <f>IFERROR(__xludf.DUMMYFUNCTION("""COMPUTED_VALUE"""),39850.0)</f>
        <v>39850</v>
      </c>
      <c r="E2210" s="1">
        <f>IFERROR(__xludf.DUMMYFUNCTION("""COMPUTED_VALUE"""),41000.0)</f>
        <v>41000</v>
      </c>
      <c r="F2210" s="1">
        <f>IFERROR(__xludf.DUMMYFUNCTION("""COMPUTED_VALUE"""),37756.0)</f>
        <v>37756</v>
      </c>
    </row>
    <row r="2211">
      <c r="A2211" s="2">
        <f>IFERROR(__xludf.DUMMYFUNCTION("""COMPUTED_VALUE"""),44209.64583333333)</f>
        <v>44209.64583</v>
      </c>
      <c r="B2211" s="1">
        <f>IFERROR(__xludf.DUMMYFUNCTION("""COMPUTED_VALUE"""),42000.0)</f>
        <v>42000</v>
      </c>
      <c r="C2211" s="1">
        <f>IFERROR(__xludf.DUMMYFUNCTION("""COMPUTED_VALUE"""),43200.0)</f>
        <v>43200</v>
      </c>
      <c r="D2211" s="1">
        <f>IFERROR(__xludf.DUMMYFUNCTION("""COMPUTED_VALUE"""),41700.0)</f>
        <v>41700</v>
      </c>
      <c r="E2211" s="1">
        <f>IFERROR(__xludf.DUMMYFUNCTION("""COMPUTED_VALUE"""),43100.0)</f>
        <v>43100</v>
      </c>
      <c r="F2211" s="1">
        <f>IFERROR(__xludf.DUMMYFUNCTION("""COMPUTED_VALUE"""),60101.0)</f>
        <v>60101</v>
      </c>
    </row>
    <row r="2212">
      <c r="A2212" s="2">
        <f>IFERROR(__xludf.DUMMYFUNCTION("""COMPUTED_VALUE"""),44210.64583333333)</f>
        <v>44210.64583</v>
      </c>
      <c r="B2212" s="1">
        <f>IFERROR(__xludf.DUMMYFUNCTION("""COMPUTED_VALUE"""),43200.0)</f>
        <v>43200</v>
      </c>
      <c r="C2212" s="1">
        <f>IFERROR(__xludf.DUMMYFUNCTION("""COMPUTED_VALUE"""),44650.0)</f>
        <v>44650</v>
      </c>
      <c r="D2212" s="1">
        <f>IFERROR(__xludf.DUMMYFUNCTION("""COMPUTED_VALUE"""),43000.0)</f>
        <v>43000</v>
      </c>
      <c r="E2212" s="1">
        <f>IFERROR(__xludf.DUMMYFUNCTION("""COMPUTED_VALUE"""),43850.0)</f>
        <v>43850</v>
      </c>
      <c r="F2212" s="1">
        <f>IFERROR(__xludf.DUMMYFUNCTION("""COMPUTED_VALUE"""),29868.0)</f>
        <v>29868</v>
      </c>
    </row>
    <row r="2213">
      <c r="A2213" s="2">
        <f>IFERROR(__xludf.DUMMYFUNCTION("""COMPUTED_VALUE"""),44211.64583333333)</f>
        <v>44211.64583</v>
      </c>
      <c r="B2213" s="1">
        <f>IFERROR(__xludf.DUMMYFUNCTION("""COMPUTED_VALUE"""),44800.0)</f>
        <v>44800</v>
      </c>
      <c r="C2213" s="1">
        <f>IFERROR(__xludf.DUMMYFUNCTION("""COMPUTED_VALUE"""),45000.0)</f>
        <v>45000</v>
      </c>
      <c r="D2213" s="1">
        <f>IFERROR(__xludf.DUMMYFUNCTION("""COMPUTED_VALUE"""),43250.0)</f>
        <v>43250</v>
      </c>
      <c r="E2213" s="1">
        <f>IFERROR(__xludf.DUMMYFUNCTION("""COMPUTED_VALUE"""),43450.0)</f>
        <v>43450</v>
      </c>
      <c r="F2213" s="1">
        <f>IFERROR(__xludf.DUMMYFUNCTION("""COMPUTED_VALUE"""),26484.0)</f>
        <v>26484</v>
      </c>
    </row>
    <row r="2214">
      <c r="A2214" s="2">
        <f>IFERROR(__xludf.DUMMYFUNCTION("""COMPUTED_VALUE"""),44214.64583333333)</f>
        <v>44214.64583</v>
      </c>
      <c r="B2214" s="1">
        <f>IFERROR(__xludf.DUMMYFUNCTION("""COMPUTED_VALUE"""),43050.0)</f>
        <v>43050</v>
      </c>
      <c r="C2214" s="1">
        <f>IFERROR(__xludf.DUMMYFUNCTION("""COMPUTED_VALUE"""),43150.0)</f>
        <v>43150</v>
      </c>
      <c r="D2214" s="1">
        <f>IFERROR(__xludf.DUMMYFUNCTION("""COMPUTED_VALUE"""),41450.0)</f>
        <v>41450</v>
      </c>
      <c r="E2214" s="1">
        <f>IFERROR(__xludf.DUMMYFUNCTION("""COMPUTED_VALUE"""),41950.0)</f>
        <v>41950</v>
      </c>
      <c r="F2214" s="1">
        <f>IFERROR(__xludf.DUMMYFUNCTION("""COMPUTED_VALUE"""),31926.0)</f>
        <v>31926</v>
      </c>
    </row>
    <row r="2215">
      <c r="A2215" s="2">
        <f>IFERROR(__xludf.DUMMYFUNCTION("""COMPUTED_VALUE"""),44215.64583333333)</f>
        <v>44215.64583</v>
      </c>
      <c r="B2215" s="1">
        <f>IFERROR(__xludf.DUMMYFUNCTION("""COMPUTED_VALUE"""),41550.0)</f>
        <v>41550</v>
      </c>
      <c r="C2215" s="1">
        <f>IFERROR(__xludf.DUMMYFUNCTION("""COMPUTED_VALUE"""),42400.0)</f>
        <v>42400</v>
      </c>
      <c r="D2215" s="1">
        <f>IFERROR(__xludf.DUMMYFUNCTION("""COMPUTED_VALUE"""),41550.0)</f>
        <v>41550</v>
      </c>
      <c r="E2215" s="1">
        <f>IFERROR(__xludf.DUMMYFUNCTION("""COMPUTED_VALUE"""),42150.0)</f>
        <v>42150</v>
      </c>
      <c r="F2215" s="1">
        <f>IFERROR(__xludf.DUMMYFUNCTION("""COMPUTED_VALUE"""),17304.0)</f>
        <v>17304</v>
      </c>
    </row>
    <row r="2216">
      <c r="A2216" s="2">
        <f>IFERROR(__xludf.DUMMYFUNCTION("""COMPUTED_VALUE"""),44216.64583333333)</f>
        <v>44216.64583</v>
      </c>
      <c r="B2216" s="1">
        <f>IFERROR(__xludf.DUMMYFUNCTION("""COMPUTED_VALUE"""),42150.0)</f>
        <v>42150</v>
      </c>
      <c r="C2216" s="1">
        <f>IFERROR(__xludf.DUMMYFUNCTION("""COMPUTED_VALUE"""),42800.0)</f>
        <v>42800</v>
      </c>
      <c r="D2216" s="1">
        <f>IFERROR(__xludf.DUMMYFUNCTION("""COMPUTED_VALUE"""),41300.0)</f>
        <v>41300</v>
      </c>
      <c r="E2216" s="1">
        <f>IFERROR(__xludf.DUMMYFUNCTION("""COMPUTED_VALUE"""),41450.0)</f>
        <v>41450</v>
      </c>
      <c r="F2216" s="1">
        <f>IFERROR(__xludf.DUMMYFUNCTION("""COMPUTED_VALUE"""),19175.0)</f>
        <v>19175</v>
      </c>
    </row>
    <row r="2217">
      <c r="A2217" s="2">
        <f>IFERROR(__xludf.DUMMYFUNCTION("""COMPUTED_VALUE"""),44217.64583333333)</f>
        <v>44217.64583</v>
      </c>
      <c r="B2217" s="1">
        <f>IFERROR(__xludf.DUMMYFUNCTION("""COMPUTED_VALUE"""),41450.0)</f>
        <v>41450</v>
      </c>
      <c r="C2217" s="1">
        <f>IFERROR(__xludf.DUMMYFUNCTION("""COMPUTED_VALUE"""),42000.0)</f>
        <v>42000</v>
      </c>
      <c r="D2217" s="1">
        <f>IFERROR(__xludf.DUMMYFUNCTION("""COMPUTED_VALUE"""),41450.0)</f>
        <v>41450</v>
      </c>
      <c r="E2217" s="1">
        <f>IFERROR(__xludf.DUMMYFUNCTION("""COMPUTED_VALUE"""),41850.0)</f>
        <v>41850</v>
      </c>
      <c r="F2217" s="1">
        <f>IFERROR(__xludf.DUMMYFUNCTION("""COMPUTED_VALUE"""),15004.0)</f>
        <v>15004</v>
      </c>
    </row>
    <row r="2218">
      <c r="A2218" s="2">
        <f>IFERROR(__xludf.DUMMYFUNCTION("""COMPUTED_VALUE"""),44218.64583333333)</f>
        <v>44218.64583</v>
      </c>
      <c r="B2218" s="1">
        <f>IFERROR(__xludf.DUMMYFUNCTION("""COMPUTED_VALUE"""),41850.0)</f>
        <v>41850</v>
      </c>
      <c r="C2218" s="1">
        <f>IFERROR(__xludf.DUMMYFUNCTION("""COMPUTED_VALUE"""),42200.0)</f>
        <v>42200</v>
      </c>
      <c r="D2218" s="1">
        <f>IFERROR(__xludf.DUMMYFUNCTION("""COMPUTED_VALUE"""),41500.0)</f>
        <v>41500</v>
      </c>
      <c r="E2218" s="1">
        <f>IFERROR(__xludf.DUMMYFUNCTION("""COMPUTED_VALUE"""),41650.0)</f>
        <v>41650</v>
      </c>
      <c r="F2218" s="1">
        <f>IFERROR(__xludf.DUMMYFUNCTION("""COMPUTED_VALUE"""),16312.0)</f>
        <v>16312</v>
      </c>
    </row>
    <row r="2219">
      <c r="A2219" s="2">
        <f>IFERROR(__xludf.DUMMYFUNCTION("""COMPUTED_VALUE"""),44221.64583333333)</f>
        <v>44221.64583</v>
      </c>
      <c r="B2219" s="1">
        <f>IFERROR(__xludf.DUMMYFUNCTION("""COMPUTED_VALUE"""),42150.0)</f>
        <v>42150</v>
      </c>
      <c r="C2219" s="1">
        <f>IFERROR(__xludf.DUMMYFUNCTION("""COMPUTED_VALUE"""),42150.0)</f>
        <v>42150</v>
      </c>
      <c r="D2219" s="1">
        <f>IFERROR(__xludf.DUMMYFUNCTION("""COMPUTED_VALUE"""),40850.0)</f>
        <v>40850</v>
      </c>
      <c r="E2219" s="1">
        <f>IFERROR(__xludf.DUMMYFUNCTION("""COMPUTED_VALUE"""),41150.0)</f>
        <v>41150</v>
      </c>
      <c r="F2219" s="1">
        <f>IFERROR(__xludf.DUMMYFUNCTION("""COMPUTED_VALUE"""),40945.0)</f>
        <v>40945</v>
      </c>
    </row>
    <row r="2220">
      <c r="A2220" s="2">
        <f>IFERROR(__xludf.DUMMYFUNCTION("""COMPUTED_VALUE"""),44222.64583333333)</f>
        <v>44222.64583</v>
      </c>
      <c r="B2220" s="1">
        <f>IFERROR(__xludf.DUMMYFUNCTION("""COMPUTED_VALUE"""),41450.0)</f>
        <v>41450</v>
      </c>
      <c r="C2220" s="1">
        <f>IFERROR(__xludf.DUMMYFUNCTION("""COMPUTED_VALUE"""),41450.0)</f>
        <v>41450</v>
      </c>
      <c r="D2220" s="1">
        <f>IFERROR(__xludf.DUMMYFUNCTION("""COMPUTED_VALUE"""),40000.0)</f>
        <v>40000</v>
      </c>
      <c r="E2220" s="1">
        <f>IFERROR(__xludf.DUMMYFUNCTION("""COMPUTED_VALUE"""),40550.0)</f>
        <v>40550</v>
      </c>
      <c r="F2220" s="1">
        <f>IFERROR(__xludf.DUMMYFUNCTION("""COMPUTED_VALUE"""),29080.0)</f>
        <v>29080</v>
      </c>
    </row>
    <row r="2221">
      <c r="A2221" s="2">
        <f>IFERROR(__xludf.DUMMYFUNCTION("""COMPUTED_VALUE"""),44223.64583333333)</f>
        <v>44223.64583</v>
      </c>
      <c r="B2221" s="1">
        <f>IFERROR(__xludf.DUMMYFUNCTION("""COMPUTED_VALUE"""),41000.0)</f>
        <v>41000</v>
      </c>
      <c r="C2221" s="1">
        <f>IFERROR(__xludf.DUMMYFUNCTION("""COMPUTED_VALUE"""),41000.0)</f>
        <v>41000</v>
      </c>
      <c r="D2221" s="1">
        <f>IFERROR(__xludf.DUMMYFUNCTION("""COMPUTED_VALUE"""),40200.0)</f>
        <v>40200</v>
      </c>
      <c r="E2221" s="1">
        <f>IFERROR(__xludf.DUMMYFUNCTION("""COMPUTED_VALUE"""),40400.0)</f>
        <v>40400</v>
      </c>
      <c r="F2221" s="1">
        <f>IFERROR(__xludf.DUMMYFUNCTION("""COMPUTED_VALUE"""),13214.0)</f>
        <v>13214</v>
      </c>
    </row>
    <row r="2222">
      <c r="A2222" s="2">
        <f>IFERROR(__xludf.DUMMYFUNCTION("""COMPUTED_VALUE"""),44224.64583333333)</f>
        <v>44224.64583</v>
      </c>
      <c r="B2222" s="1">
        <f>IFERROR(__xludf.DUMMYFUNCTION("""COMPUTED_VALUE"""),39950.0)</f>
        <v>39950</v>
      </c>
      <c r="C2222" s="1">
        <f>IFERROR(__xludf.DUMMYFUNCTION("""COMPUTED_VALUE"""),40400.0)</f>
        <v>40400</v>
      </c>
      <c r="D2222" s="1">
        <f>IFERROR(__xludf.DUMMYFUNCTION("""COMPUTED_VALUE"""),38750.0)</f>
        <v>38750</v>
      </c>
      <c r="E2222" s="1">
        <f>IFERROR(__xludf.DUMMYFUNCTION("""COMPUTED_VALUE"""),39900.0)</f>
        <v>39900</v>
      </c>
      <c r="F2222" s="1">
        <f>IFERROR(__xludf.DUMMYFUNCTION("""COMPUTED_VALUE"""),22869.0)</f>
        <v>22869</v>
      </c>
    </row>
    <row r="2223">
      <c r="A2223" s="2">
        <f>IFERROR(__xludf.DUMMYFUNCTION("""COMPUTED_VALUE"""),44225.64583333333)</f>
        <v>44225.64583</v>
      </c>
      <c r="B2223" s="1">
        <f>IFERROR(__xludf.DUMMYFUNCTION("""COMPUTED_VALUE"""),40100.0)</f>
        <v>40100</v>
      </c>
      <c r="C2223" s="1">
        <f>IFERROR(__xludf.DUMMYFUNCTION("""COMPUTED_VALUE"""),40550.0)</f>
        <v>40550</v>
      </c>
      <c r="D2223" s="1">
        <f>IFERROR(__xludf.DUMMYFUNCTION("""COMPUTED_VALUE"""),38300.0)</f>
        <v>38300</v>
      </c>
      <c r="E2223" s="1">
        <f>IFERROR(__xludf.DUMMYFUNCTION("""COMPUTED_VALUE"""),38550.0)</f>
        <v>38550</v>
      </c>
      <c r="F2223" s="1">
        <f>IFERROR(__xludf.DUMMYFUNCTION("""COMPUTED_VALUE"""),29292.0)</f>
        <v>29292</v>
      </c>
    </row>
    <row r="2224">
      <c r="A2224" s="2">
        <f>IFERROR(__xludf.DUMMYFUNCTION("""COMPUTED_VALUE"""),44228.64583333333)</f>
        <v>44228.64583</v>
      </c>
      <c r="B2224" s="1">
        <f>IFERROR(__xludf.DUMMYFUNCTION("""COMPUTED_VALUE"""),38450.0)</f>
        <v>38450</v>
      </c>
      <c r="C2224" s="1">
        <f>IFERROR(__xludf.DUMMYFUNCTION("""COMPUTED_VALUE"""),38900.0)</f>
        <v>38900</v>
      </c>
      <c r="D2224" s="1">
        <f>IFERROR(__xludf.DUMMYFUNCTION("""COMPUTED_VALUE"""),37300.0)</f>
        <v>37300</v>
      </c>
      <c r="E2224" s="1">
        <f>IFERROR(__xludf.DUMMYFUNCTION("""COMPUTED_VALUE"""),38850.0)</f>
        <v>38850</v>
      </c>
      <c r="F2224" s="1">
        <f>IFERROR(__xludf.DUMMYFUNCTION("""COMPUTED_VALUE"""),21029.0)</f>
        <v>21029</v>
      </c>
    </row>
    <row r="2225">
      <c r="A2225" s="2">
        <f>IFERROR(__xludf.DUMMYFUNCTION("""COMPUTED_VALUE"""),44229.64583333333)</f>
        <v>44229.64583</v>
      </c>
      <c r="B2225" s="1">
        <f>IFERROR(__xludf.DUMMYFUNCTION("""COMPUTED_VALUE"""),38850.0)</f>
        <v>38850</v>
      </c>
      <c r="C2225" s="1">
        <f>IFERROR(__xludf.DUMMYFUNCTION("""COMPUTED_VALUE"""),40400.0)</f>
        <v>40400</v>
      </c>
      <c r="D2225" s="1">
        <f>IFERROR(__xludf.DUMMYFUNCTION("""COMPUTED_VALUE"""),38700.0)</f>
        <v>38700</v>
      </c>
      <c r="E2225" s="1">
        <f>IFERROR(__xludf.DUMMYFUNCTION("""COMPUTED_VALUE"""),39900.0)</f>
        <v>39900</v>
      </c>
      <c r="F2225" s="1">
        <f>IFERROR(__xludf.DUMMYFUNCTION("""COMPUTED_VALUE"""),14922.0)</f>
        <v>14922</v>
      </c>
    </row>
    <row r="2226">
      <c r="A2226" s="2">
        <f>IFERROR(__xludf.DUMMYFUNCTION("""COMPUTED_VALUE"""),44230.64583333333)</f>
        <v>44230.64583</v>
      </c>
      <c r="B2226" s="1">
        <f>IFERROR(__xludf.DUMMYFUNCTION("""COMPUTED_VALUE"""),40300.0)</f>
        <v>40300</v>
      </c>
      <c r="C2226" s="1">
        <f>IFERROR(__xludf.DUMMYFUNCTION("""COMPUTED_VALUE"""),40600.0)</f>
        <v>40600</v>
      </c>
      <c r="D2226" s="1">
        <f>IFERROR(__xludf.DUMMYFUNCTION("""COMPUTED_VALUE"""),39700.0)</f>
        <v>39700</v>
      </c>
      <c r="E2226" s="1">
        <f>IFERROR(__xludf.DUMMYFUNCTION("""COMPUTED_VALUE"""),40050.0)</f>
        <v>40050</v>
      </c>
      <c r="F2226" s="1">
        <f>IFERROR(__xludf.DUMMYFUNCTION("""COMPUTED_VALUE"""),9879.0)</f>
        <v>9879</v>
      </c>
    </row>
    <row r="2227">
      <c r="A2227" s="2">
        <f>IFERROR(__xludf.DUMMYFUNCTION("""COMPUTED_VALUE"""),44231.64583333333)</f>
        <v>44231.64583</v>
      </c>
      <c r="B2227" s="1">
        <f>IFERROR(__xludf.DUMMYFUNCTION("""COMPUTED_VALUE"""),40900.0)</f>
        <v>40900</v>
      </c>
      <c r="C2227" s="1">
        <f>IFERROR(__xludf.DUMMYFUNCTION("""COMPUTED_VALUE"""),41600.0)</f>
        <v>41600</v>
      </c>
      <c r="D2227" s="1">
        <f>IFERROR(__xludf.DUMMYFUNCTION("""COMPUTED_VALUE"""),40350.0)</f>
        <v>40350</v>
      </c>
      <c r="E2227" s="1">
        <f>IFERROR(__xludf.DUMMYFUNCTION("""COMPUTED_VALUE"""),41000.0)</f>
        <v>41000</v>
      </c>
      <c r="F2227" s="1">
        <f>IFERROR(__xludf.DUMMYFUNCTION("""COMPUTED_VALUE"""),38821.0)</f>
        <v>38821</v>
      </c>
    </row>
    <row r="2228">
      <c r="A2228" s="2">
        <f>IFERROR(__xludf.DUMMYFUNCTION("""COMPUTED_VALUE"""),44232.64583333333)</f>
        <v>44232.64583</v>
      </c>
      <c r="B2228" s="1">
        <f>IFERROR(__xludf.DUMMYFUNCTION("""COMPUTED_VALUE"""),41850.0)</f>
        <v>41850</v>
      </c>
      <c r="C2228" s="1">
        <f>IFERROR(__xludf.DUMMYFUNCTION("""COMPUTED_VALUE"""),41850.0)</f>
        <v>41850</v>
      </c>
      <c r="D2228" s="1">
        <f>IFERROR(__xludf.DUMMYFUNCTION("""COMPUTED_VALUE"""),40850.0)</f>
        <v>40850</v>
      </c>
      <c r="E2228" s="1">
        <f>IFERROR(__xludf.DUMMYFUNCTION("""COMPUTED_VALUE"""),41550.0)</f>
        <v>41550</v>
      </c>
      <c r="F2228" s="1">
        <f>IFERROR(__xludf.DUMMYFUNCTION("""COMPUTED_VALUE"""),26381.0)</f>
        <v>26381</v>
      </c>
    </row>
    <row r="2229">
      <c r="A2229" s="2">
        <f>IFERROR(__xludf.DUMMYFUNCTION("""COMPUTED_VALUE"""),44235.64583333333)</f>
        <v>44235.64583</v>
      </c>
      <c r="B2229" s="1">
        <f>IFERROR(__xludf.DUMMYFUNCTION("""COMPUTED_VALUE"""),41900.0)</f>
        <v>41900</v>
      </c>
      <c r="C2229" s="1">
        <f>IFERROR(__xludf.DUMMYFUNCTION("""COMPUTED_VALUE"""),44200.0)</f>
        <v>44200</v>
      </c>
      <c r="D2229" s="1">
        <f>IFERROR(__xludf.DUMMYFUNCTION("""COMPUTED_VALUE"""),41800.0)</f>
        <v>41800</v>
      </c>
      <c r="E2229" s="1">
        <f>IFERROR(__xludf.DUMMYFUNCTION("""COMPUTED_VALUE"""),44150.0)</f>
        <v>44150</v>
      </c>
      <c r="F2229" s="1">
        <f>IFERROR(__xludf.DUMMYFUNCTION("""COMPUTED_VALUE"""),73408.0)</f>
        <v>73408</v>
      </c>
    </row>
    <row r="2230">
      <c r="A2230" s="2">
        <f>IFERROR(__xludf.DUMMYFUNCTION("""COMPUTED_VALUE"""),44236.64583333333)</f>
        <v>44236.64583</v>
      </c>
      <c r="B2230" s="1">
        <f>IFERROR(__xludf.DUMMYFUNCTION("""COMPUTED_VALUE"""),44500.0)</f>
        <v>44500</v>
      </c>
      <c r="C2230" s="1">
        <f>IFERROR(__xludf.DUMMYFUNCTION("""COMPUTED_VALUE"""),47950.0)</f>
        <v>47950</v>
      </c>
      <c r="D2230" s="1">
        <f>IFERROR(__xludf.DUMMYFUNCTION("""COMPUTED_VALUE"""),44500.0)</f>
        <v>44500</v>
      </c>
      <c r="E2230" s="1">
        <f>IFERROR(__xludf.DUMMYFUNCTION("""COMPUTED_VALUE"""),45500.0)</f>
        <v>45500</v>
      </c>
      <c r="F2230" s="1">
        <f>IFERROR(__xludf.DUMMYFUNCTION("""COMPUTED_VALUE"""),76128.0)</f>
        <v>76128</v>
      </c>
    </row>
    <row r="2231">
      <c r="A2231" s="2">
        <f>IFERROR(__xludf.DUMMYFUNCTION("""COMPUTED_VALUE"""),44237.64583333333)</f>
        <v>44237.64583</v>
      </c>
      <c r="B2231" s="1">
        <f>IFERROR(__xludf.DUMMYFUNCTION("""COMPUTED_VALUE"""),45550.0)</f>
        <v>45550</v>
      </c>
      <c r="C2231" s="1">
        <f>IFERROR(__xludf.DUMMYFUNCTION("""COMPUTED_VALUE"""),47450.0)</f>
        <v>47450</v>
      </c>
      <c r="D2231" s="1">
        <f>IFERROR(__xludf.DUMMYFUNCTION("""COMPUTED_VALUE"""),45250.0)</f>
        <v>45250</v>
      </c>
      <c r="E2231" s="1">
        <f>IFERROR(__xludf.DUMMYFUNCTION("""COMPUTED_VALUE"""),47100.0)</f>
        <v>47100</v>
      </c>
      <c r="F2231" s="1">
        <f>IFERROR(__xludf.DUMMYFUNCTION("""COMPUTED_VALUE"""),68059.0)</f>
        <v>68059</v>
      </c>
    </row>
    <row r="2232">
      <c r="A2232" s="2">
        <f>IFERROR(__xludf.DUMMYFUNCTION("""COMPUTED_VALUE"""),44242.64583333333)</f>
        <v>44242.64583</v>
      </c>
      <c r="B2232" s="1">
        <f>IFERROR(__xludf.DUMMYFUNCTION("""COMPUTED_VALUE"""),49350.0)</f>
        <v>49350</v>
      </c>
      <c r="C2232" s="1">
        <f>IFERROR(__xludf.DUMMYFUNCTION("""COMPUTED_VALUE"""),52100.0)</f>
        <v>52100</v>
      </c>
      <c r="D2232" s="1">
        <f>IFERROR(__xludf.DUMMYFUNCTION("""COMPUTED_VALUE"""),48900.0)</f>
        <v>48900</v>
      </c>
      <c r="E2232" s="1">
        <f>IFERROR(__xludf.DUMMYFUNCTION("""COMPUTED_VALUE"""),51500.0)</f>
        <v>51500</v>
      </c>
      <c r="F2232" s="1">
        <f>IFERROR(__xludf.DUMMYFUNCTION("""COMPUTED_VALUE"""),134901.0)</f>
        <v>134901</v>
      </c>
    </row>
    <row r="2233">
      <c r="A2233" s="2">
        <f>IFERROR(__xludf.DUMMYFUNCTION("""COMPUTED_VALUE"""),44243.64583333333)</f>
        <v>44243.64583</v>
      </c>
      <c r="B2233" s="1">
        <f>IFERROR(__xludf.DUMMYFUNCTION("""COMPUTED_VALUE"""),53000.0)</f>
        <v>53000</v>
      </c>
      <c r="C2233" s="1">
        <f>IFERROR(__xludf.DUMMYFUNCTION("""COMPUTED_VALUE"""),53100.0)</f>
        <v>53100</v>
      </c>
      <c r="D2233" s="1">
        <f>IFERROR(__xludf.DUMMYFUNCTION("""COMPUTED_VALUE"""),50100.0)</f>
        <v>50100</v>
      </c>
      <c r="E2233" s="1">
        <f>IFERROR(__xludf.DUMMYFUNCTION("""COMPUTED_VALUE"""),50800.0)</f>
        <v>50800</v>
      </c>
      <c r="F2233" s="1">
        <f>IFERROR(__xludf.DUMMYFUNCTION("""COMPUTED_VALUE"""),81234.0)</f>
        <v>81234</v>
      </c>
    </row>
    <row r="2234">
      <c r="A2234" s="2">
        <f>IFERROR(__xludf.DUMMYFUNCTION("""COMPUTED_VALUE"""),44244.64583333333)</f>
        <v>44244.64583</v>
      </c>
      <c r="B2234" s="1">
        <f>IFERROR(__xludf.DUMMYFUNCTION("""COMPUTED_VALUE"""),51300.0)</f>
        <v>51300</v>
      </c>
      <c r="C2234" s="1">
        <f>IFERROR(__xludf.DUMMYFUNCTION("""COMPUTED_VALUE"""),51300.0)</f>
        <v>51300</v>
      </c>
      <c r="D2234" s="1">
        <f>IFERROR(__xludf.DUMMYFUNCTION("""COMPUTED_VALUE"""),48150.0)</f>
        <v>48150</v>
      </c>
      <c r="E2234" s="1">
        <f>IFERROR(__xludf.DUMMYFUNCTION("""COMPUTED_VALUE"""),51100.0)</f>
        <v>51100</v>
      </c>
      <c r="F2234" s="1">
        <f>IFERROR(__xludf.DUMMYFUNCTION("""COMPUTED_VALUE"""),63942.0)</f>
        <v>63942</v>
      </c>
    </row>
    <row r="2235">
      <c r="A2235" s="2">
        <f>IFERROR(__xludf.DUMMYFUNCTION("""COMPUTED_VALUE"""),44245.64583333333)</f>
        <v>44245.64583</v>
      </c>
      <c r="B2235" s="1">
        <f>IFERROR(__xludf.DUMMYFUNCTION("""COMPUTED_VALUE"""),51900.0)</f>
        <v>51900</v>
      </c>
      <c r="C2235" s="1">
        <f>IFERROR(__xludf.DUMMYFUNCTION("""COMPUTED_VALUE"""),52000.0)</f>
        <v>52000</v>
      </c>
      <c r="D2235" s="1">
        <f>IFERROR(__xludf.DUMMYFUNCTION("""COMPUTED_VALUE"""),49000.0)</f>
        <v>49000</v>
      </c>
      <c r="E2235" s="1">
        <f>IFERROR(__xludf.DUMMYFUNCTION("""COMPUTED_VALUE"""),49000.0)</f>
        <v>49000</v>
      </c>
      <c r="F2235" s="1">
        <f>IFERROR(__xludf.DUMMYFUNCTION("""COMPUTED_VALUE"""),50118.0)</f>
        <v>50118</v>
      </c>
    </row>
    <row r="2236">
      <c r="A2236" s="2">
        <f>IFERROR(__xludf.DUMMYFUNCTION("""COMPUTED_VALUE"""),44246.64583333333)</f>
        <v>44246.64583</v>
      </c>
      <c r="B2236" s="1">
        <f>IFERROR(__xludf.DUMMYFUNCTION("""COMPUTED_VALUE"""),49000.0)</f>
        <v>49000</v>
      </c>
      <c r="C2236" s="1">
        <f>IFERROR(__xludf.DUMMYFUNCTION("""COMPUTED_VALUE"""),49500.0)</f>
        <v>49500</v>
      </c>
      <c r="D2236" s="1">
        <f>IFERROR(__xludf.DUMMYFUNCTION("""COMPUTED_VALUE"""),47000.0)</f>
        <v>47000</v>
      </c>
      <c r="E2236" s="1">
        <f>IFERROR(__xludf.DUMMYFUNCTION("""COMPUTED_VALUE"""),48100.0)</f>
        <v>48100</v>
      </c>
      <c r="F2236" s="1">
        <f>IFERROR(__xludf.DUMMYFUNCTION("""COMPUTED_VALUE"""),47784.0)</f>
        <v>47784</v>
      </c>
    </row>
    <row r="2237">
      <c r="A2237" s="2">
        <f>IFERROR(__xludf.DUMMYFUNCTION("""COMPUTED_VALUE"""),44249.64583333333)</f>
        <v>44249.64583</v>
      </c>
      <c r="B2237" s="1">
        <f>IFERROR(__xludf.DUMMYFUNCTION("""COMPUTED_VALUE"""),48150.0)</f>
        <v>48150</v>
      </c>
      <c r="C2237" s="1">
        <f>IFERROR(__xludf.DUMMYFUNCTION("""COMPUTED_VALUE"""),49300.0)</f>
        <v>49300</v>
      </c>
      <c r="D2237" s="1">
        <f>IFERROR(__xludf.DUMMYFUNCTION("""COMPUTED_VALUE"""),47000.0)</f>
        <v>47000</v>
      </c>
      <c r="E2237" s="1">
        <f>IFERROR(__xludf.DUMMYFUNCTION("""COMPUTED_VALUE"""),48100.0)</f>
        <v>48100</v>
      </c>
      <c r="F2237" s="1">
        <f>IFERROR(__xludf.DUMMYFUNCTION("""COMPUTED_VALUE"""),36476.0)</f>
        <v>36476</v>
      </c>
    </row>
    <row r="2238">
      <c r="A2238" s="2">
        <f>IFERROR(__xludf.DUMMYFUNCTION("""COMPUTED_VALUE"""),44250.64583333333)</f>
        <v>44250.64583</v>
      </c>
      <c r="B2238" s="1">
        <f>IFERROR(__xludf.DUMMYFUNCTION("""COMPUTED_VALUE"""),49200.0)</f>
        <v>49200</v>
      </c>
      <c r="C2238" s="1">
        <f>IFERROR(__xludf.DUMMYFUNCTION("""COMPUTED_VALUE"""),49900.0)</f>
        <v>49900</v>
      </c>
      <c r="D2238" s="1">
        <f>IFERROR(__xludf.DUMMYFUNCTION("""COMPUTED_VALUE"""),47000.0)</f>
        <v>47000</v>
      </c>
      <c r="E2238" s="1">
        <f>IFERROR(__xludf.DUMMYFUNCTION("""COMPUTED_VALUE"""),49550.0)</f>
        <v>49550</v>
      </c>
      <c r="F2238" s="1">
        <f>IFERROR(__xludf.DUMMYFUNCTION("""COMPUTED_VALUE"""),40182.0)</f>
        <v>40182</v>
      </c>
    </row>
    <row r="2239">
      <c r="A2239" s="2">
        <f>IFERROR(__xludf.DUMMYFUNCTION("""COMPUTED_VALUE"""),44251.64583333333)</f>
        <v>44251.64583</v>
      </c>
      <c r="B2239" s="1">
        <f>IFERROR(__xludf.DUMMYFUNCTION("""COMPUTED_VALUE"""),49900.0)</f>
        <v>49900</v>
      </c>
      <c r="C2239" s="1">
        <f>IFERROR(__xludf.DUMMYFUNCTION("""COMPUTED_VALUE"""),49900.0)</f>
        <v>49900</v>
      </c>
      <c r="D2239" s="1">
        <f>IFERROR(__xludf.DUMMYFUNCTION("""COMPUTED_VALUE"""),46850.0)</f>
        <v>46850</v>
      </c>
      <c r="E2239" s="1">
        <f>IFERROR(__xludf.DUMMYFUNCTION("""COMPUTED_VALUE"""),46850.0)</f>
        <v>46850</v>
      </c>
      <c r="F2239" s="1">
        <f>IFERROR(__xludf.DUMMYFUNCTION("""COMPUTED_VALUE"""),26587.0)</f>
        <v>26587</v>
      </c>
    </row>
    <row r="2240">
      <c r="A2240" s="2">
        <f>IFERROR(__xludf.DUMMYFUNCTION("""COMPUTED_VALUE"""),44252.64583333333)</f>
        <v>44252.64583</v>
      </c>
      <c r="B2240" s="1">
        <f>IFERROR(__xludf.DUMMYFUNCTION("""COMPUTED_VALUE"""),48200.0)</f>
        <v>48200</v>
      </c>
      <c r="C2240" s="1">
        <f>IFERROR(__xludf.DUMMYFUNCTION("""COMPUTED_VALUE"""),48600.0)</f>
        <v>48600</v>
      </c>
      <c r="D2240" s="1">
        <f>IFERROR(__xludf.DUMMYFUNCTION("""COMPUTED_VALUE"""),47200.0)</f>
        <v>47200</v>
      </c>
      <c r="E2240" s="1">
        <f>IFERROR(__xludf.DUMMYFUNCTION("""COMPUTED_VALUE"""),48450.0)</f>
        <v>48450</v>
      </c>
      <c r="F2240" s="1">
        <f>IFERROR(__xludf.DUMMYFUNCTION("""COMPUTED_VALUE"""),22592.0)</f>
        <v>22592</v>
      </c>
    </row>
    <row r="2241">
      <c r="A2241" s="2">
        <f>IFERROR(__xludf.DUMMYFUNCTION("""COMPUTED_VALUE"""),44253.64583333333)</f>
        <v>44253.64583</v>
      </c>
      <c r="B2241" s="1">
        <f>IFERROR(__xludf.DUMMYFUNCTION("""COMPUTED_VALUE"""),46950.0)</f>
        <v>46950</v>
      </c>
      <c r="C2241" s="1">
        <f>IFERROR(__xludf.DUMMYFUNCTION("""COMPUTED_VALUE"""),48300.0)</f>
        <v>48300</v>
      </c>
      <c r="D2241" s="1">
        <f>IFERROR(__xludf.DUMMYFUNCTION("""COMPUTED_VALUE"""),46850.0)</f>
        <v>46850</v>
      </c>
      <c r="E2241" s="1">
        <f>IFERROR(__xludf.DUMMYFUNCTION("""COMPUTED_VALUE"""),47450.0)</f>
        <v>47450</v>
      </c>
      <c r="F2241" s="1">
        <f>IFERROR(__xludf.DUMMYFUNCTION("""COMPUTED_VALUE"""),19796.0)</f>
        <v>19796</v>
      </c>
    </row>
    <row r="2242">
      <c r="A2242" s="2">
        <f>IFERROR(__xludf.DUMMYFUNCTION("""COMPUTED_VALUE"""),44257.64583333333)</f>
        <v>44257.64583</v>
      </c>
      <c r="B2242" s="1">
        <f>IFERROR(__xludf.DUMMYFUNCTION("""COMPUTED_VALUE"""),48000.0)</f>
        <v>48000</v>
      </c>
      <c r="C2242" s="1">
        <f>IFERROR(__xludf.DUMMYFUNCTION("""COMPUTED_VALUE"""),48450.0)</f>
        <v>48450</v>
      </c>
      <c r="D2242" s="1">
        <f>IFERROR(__xludf.DUMMYFUNCTION("""COMPUTED_VALUE"""),47250.0)</f>
        <v>47250</v>
      </c>
      <c r="E2242" s="1">
        <f>IFERROR(__xludf.DUMMYFUNCTION("""COMPUTED_VALUE"""),47300.0)</f>
        <v>47300</v>
      </c>
      <c r="F2242" s="1">
        <f>IFERROR(__xludf.DUMMYFUNCTION("""COMPUTED_VALUE"""),18315.0)</f>
        <v>18315</v>
      </c>
    </row>
    <row r="2243">
      <c r="A2243" s="2">
        <f>IFERROR(__xludf.DUMMYFUNCTION("""COMPUTED_VALUE"""),44258.64583333333)</f>
        <v>44258.64583</v>
      </c>
      <c r="B2243" s="1">
        <f>IFERROR(__xludf.DUMMYFUNCTION("""COMPUTED_VALUE"""),47100.0)</f>
        <v>47100</v>
      </c>
      <c r="C2243" s="1">
        <f>IFERROR(__xludf.DUMMYFUNCTION("""COMPUTED_VALUE"""),47700.0)</f>
        <v>47700</v>
      </c>
      <c r="D2243" s="1">
        <f>IFERROR(__xludf.DUMMYFUNCTION("""COMPUTED_VALUE"""),46450.0)</f>
        <v>46450</v>
      </c>
      <c r="E2243" s="1">
        <f>IFERROR(__xludf.DUMMYFUNCTION("""COMPUTED_VALUE"""),46850.0)</f>
        <v>46850</v>
      </c>
      <c r="F2243" s="1">
        <f>IFERROR(__xludf.DUMMYFUNCTION("""COMPUTED_VALUE"""),13836.0)</f>
        <v>13836</v>
      </c>
    </row>
    <row r="2244">
      <c r="A2244" s="2">
        <f>IFERROR(__xludf.DUMMYFUNCTION("""COMPUTED_VALUE"""),44259.64583333333)</f>
        <v>44259.64583</v>
      </c>
      <c r="B2244" s="1">
        <f>IFERROR(__xludf.DUMMYFUNCTION("""COMPUTED_VALUE"""),46850.0)</f>
        <v>46850</v>
      </c>
      <c r="C2244" s="1">
        <f>IFERROR(__xludf.DUMMYFUNCTION("""COMPUTED_VALUE"""),48000.0)</f>
        <v>48000</v>
      </c>
      <c r="D2244" s="1">
        <f>IFERROR(__xludf.DUMMYFUNCTION("""COMPUTED_VALUE"""),46700.0)</f>
        <v>46700</v>
      </c>
      <c r="E2244" s="1">
        <f>IFERROR(__xludf.DUMMYFUNCTION("""COMPUTED_VALUE"""),47100.0)</f>
        <v>47100</v>
      </c>
      <c r="F2244" s="1">
        <f>IFERROR(__xludf.DUMMYFUNCTION("""COMPUTED_VALUE"""),15285.0)</f>
        <v>15285</v>
      </c>
    </row>
    <row r="2245">
      <c r="A2245" s="2">
        <f>IFERROR(__xludf.DUMMYFUNCTION("""COMPUTED_VALUE"""),44260.64583333333)</f>
        <v>44260.64583</v>
      </c>
      <c r="B2245" s="1">
        <f>IFERROR(__xludf.DUMMYFUNCTION("""COMPUTED_VALUE"""),48850.0)</f>
        <v>48850</v>
      </c>
      <c r="C2245" s="1">
        <f>IFERROR(__xludf.DUMMYFUNCTION("""COMPUTED_VALUE"""),48850.0)</f>
        <v>48850</v>
      </c>
      <c r="D2245" s="1">
        <f>IFERROR(__xludf.DUMMYFUNCTION("""COMPUTED_VALUE"""),47200.0)</f>
        <v>47200</v>
      </c>
      <c r="E2245" s="1">
        <f>IFERROR(__xludf.DUMMYFUNCTION("""COMPUTED_VALUE"""),47550.0)</f>
        <v>47550</v>
      </c>
      <c r="F2245" s="1">
        <f>IFERROR(__xludf.DUMMYFUNCTION("""COMPUTED_VALUE"""),16641.0)</f>
        <v>16641</v>
      </c>
    </row>
    <row r="2246">
      <c r="A2246" s="2">
        <f>IFERROR(__xludf.DUMMYFUNCTION("""COMPUTED_VALUE"""),44263.64583333333)</f>
        <v>44263.64583</v>
      </c>
      <c r="B2246" s="1">
        <f>IFERROR(__xludf.DUMMYFUNCTION("""COMPUTED_VALUE"""),48500.0)</f>
        <v>48500</v>
      </c>
      <c r="C2246" s="1">
        <f>IFERROR(__xludf.DUMMYFUNCTION("""COMPUTED_VALUE"""),50300.0)</f>
        <v>50300</v>
      </c>
      <c r="D2246" s="1">
        <f>IFERROR(__xludf.DUMMYFUNCTION("""COMPUTED_VALUE"""),47600.0)</f>
        <v>47600</v>
      </c>
      <c r="E2246" s="1">
        <f>IFERROR(__xludf.DUMMYFUNCTION("""COMPUTED_VALUE"""),48100.0)</f>
        <v>48100</v>
      </c>
      <c r="F2246" s="1">
        <f>IFERROR(__xludf.DUMMYFUNCTION("""COMPUTED_VALUE"""),49980.0)</f>
        <v>49980</v>
      </c>
    </row>
    <row r="2247">
      <c r="A2247" s="2">
        <f>IFERROR(__xludf.DUMMYFUNCTION("""COMPUTED_VALUE"""),44264.64583333333)</f>
        <v>44264.64583</v>
      </c>
      <c r="B2247" s="1">
        <f>IFERROR(__xludf.DUMMYFUNCTION("""COMPUTED_VALUE"""),48100.0)</f>
        <v>48100</v>
      </c>
      <c r="C2247" s="1">
        <f>IFERROR(__xludf.DUMMYFUNCTION("""COMPUTED_VALUE"""),48400.0)</f>
        <v>48400</v>
      </c>
      <c r="D2247" s="1">
        <f>IFERROR(__xludf.DUMMYFUNCTION("""COMPUTED_VALUE"""),46500.0)</f>
        <v>46500</v>
      </c>
      <c r="E2247" s="1">
        <f>IFERROR(__xludf.DUMMYFUNCTION("""COMPUTED_VALUE"""),48100.0)</f>
        <v>48100</v>
      </c>
      <c r="F2247" s="1">
        <f>IFERROR(__xludf.DUMMYFUNCTION("""COMPUTED_VALUE"""),16747.0)</f>
        <v>16747</v>
      </c>
    </row>
    <row r="2248">
      <c r="A2248" s="2">
        <f>IFERROR(__xludf.DUMMYFUNCTION("""COMPUTED_VALUE"""),44265.64583333333)</f>
        <v>44265.64583</v>
      </c>
      <c r="B2248" s="1">
        <f>IFERROR(__xludf.DUMMYFUNCTION("""COMPUTED_VALUE"""),48500.0)</f>
        <v>48500</v>
      </c>
      <c r="C2248" s="1">
        <f>IFERROR(__xludf.DUMMYFUNCTION("""COMPUTED_VALUE"""),48700.0)</f>
        <v>48700</v>
      </c>
      <c r="D2248" s="1">
        <f>IFERROR(__xludf.DUMMYFUNCTION("""COMPUTED_VALUE"""),47200.0)</f>
        <v>47200</v>
      </c>
      <c r="E2248" s="1">
        <f>IFERROR(__xludf.DUMMYFUNCTION("""COMPUTED_VALUE"""),47300.0)</f>
        <v>47300</v>
      </c>
      <c r="F2248" s="1">
        <f>IFERROR(__xludf.DUMMYFUNCTION("""COMPUTED_VALUE"""),13530.0)</f>
        <v>13530</v>
      </c>
    </row>
    <row r="2249">
      <c r="A2249" s="2">
        <f>IFERROR(__xludf.DUMMYFUNCTION("""COMPUTED_VALUE"""),44266.64583333333)</f>
        <v>44266.64583</v>
      </c>
      <c r="B2249" s="1">
        <f>IFERROR(__xludf.DUMMYFUNCTION("""COMPUTED_VALUE"""),47550.0)</f>
        <v>47550</v>
      </c>
      <c r="C2249" s="1">
        <f>IFERROR(__xludf.DUMMYFUNCTION("""COMPUTED_VALUE"""),48300.0)</f>
        <v>48300</v>
      </c>
      <c r="D2249" s="1">
        <f>IFERROR(__xludf.DUMMYFUNCTION("""COMPUTED_VALUE"""),47550.0)</f>
        <v>47550</v>
      </c>
      <c r="E2249" s="1">
        <f>IFERROR(__xludf.DUMMYFUNCTION("""COMPUTED_VALUE"""),47850.0)</f>
        <v>47850</v>
      </c>
      <c r="F2249" s="1">
        <f>IFERROR(__xludf.DUMMYFUNCTION("""COMPUTED_VALUE"""),9227.0)</f>
        <v>9227</v>
      </c>
    </row>
    <row r="2250">
      <c r="A2250" s="2">
        <f>IFERROR(__xludf.DUMMYFUNCTION("""COMPUTED_VALUE"""),44267.64583333333)</f>
        <v>44267.64583</v>
      </c>
      <c r="B2250" s="1">
        <f>IFERROR(__xludf.DUMMYFUNCTION("""COMPUTED_VALUE"""),48000.0)</f>
        <v>48000</v>
      </c>
      <c r="C2250" s="1">
        <f>IFERROR(__xludf.DUMMYFUNCTION("""COMPUTED_VALUE"""),48550.0)</f>
        <v>48550</v>
      </c>
      <c r="D2250" s="1">
        <f>IFERROR(__xludf.DUMMYFUNCTION("""COMPUTED_VALUE"""),47950.0)</f>
        <v>47950</v>
      </c>
      <c r="E2250" s="1">
        <f>IFERROR(__xludf.DUMMYFUNCTION("""COMPUTED_VALUE"""),48500.0)</f>
        <v>48500</v>
      </c>
      <c r="F2250" s="1">
        <f>IFERROR(__xludf.DUMMYFUNCTION("""COMPUTED_VALUE"""),15835.0)</f>
        <v>15835</v>
      </c>
    </row>
    <row r="2251">
      <c r="A2251" s="2">
        <f>IFERROR(__xludf.DUMMYFUNCTION("""COMPUTED_VALUE"""),44270.64583333333)</f>
        <v>44270.64583</v>
      </c>
      <c r="B2251" s="1">
        <f>IFERROR(__xludf.DUMMYFUNCTION("""COMPUTED_VALUE"""),48400.0)</f>
        <v>48400</v>
      </c>
      <c r="C2251" s="1">
        <f>IFERROR(__xludf.DUMMYFUNCTION("""COMPUTED_VALUE"""),48600.0)</f>
        <v>48600</v>
      </c>
      <c r="D2251" s="1">
        <f>IFERROR(__xludf.DUMMYFUNCTION("""COMPUTED_VALUE"""),47500.0)</f>
        <v>47500</v>
      </c>
      <c r="E2251" s="1">
        <f>IFERROR(__xludf.DUMMYFUNCTION("""COMPUTED_VALUE"""),48200.0)</f>
        <v>48200</v>
      </c>
      <c r="F2251" s="1">
        <f>IFERROR(__xludf.DUMMYFUNCTION("""COMPUTED_VALUE"""),8636.0)</f>
        <v>8636</v>
      </c>
    </row>
    <row r="2252">
      <c r="A2252" s="2">
        <f>IFERROR(__xludf.DUMMYFUNCTION("""COMPUTED_VALUE"""),44271.64583333333)</f>
        <v>44271.64583</v>
      </c>
      <c r="B2252" s="1">
        <f>IFERROR(__xludf.DUMMYFUNCTION("""COMPUTED_VALUE"""),48300.0)</f>
        <v>48300</v>
      </c>
      <c r="C2252" s="1">
        <f>IFERROR(__xludf.DUMMYFUNCTION("""COMPUTED_VALUE"""),48300.0)</f>
        <v>48300</v>
      </c>
      <c r="D2252" s="1">
        <f>IFERROR(__xludf.DUMMYFUNCTION("""COMPUTED_VALUE"""),47200.0)</f>
        <v>47200</v>
      </c>
      <c r="E2252" s="1">
        <f>IFERROR(__xludf.DUMMYFUNCTION("""COMPUTED_VALUE"""),47900.0)</f>
        <v>47900</v>
      </c>
      <c r="F2252" s="1">
        <f>IFERROR(__xludf.DUMMYFUNCTION("""COMPUTED_VALUE"""),15480.0)</f>
        <v>15480</v>
      </c>
    </row>
    <row r="2253">
      <c r="A2253" s="2">
        <f>IFERROR(__xludf.DUMMYFUNCTION("""COMPUTED_VALUE"""),44272.64583333333)</f>
        <v>44272.64583</v>
      </c>
      <c r="B2253" s="1">
        <f>IFERROR(__xludf.DUMMYFUNCTION("""COMPUTED_VALUE"""),47000.0)</f>
        <v>47000</v>
      </c>
      <c r="C2253" s="1">
        <f>IFERROR(__xludf.DUMMYFUNCTION("""COMPUTED_VALUE"""),47550.0)</f>
        <v>47550</v>
      </c>
      <c r="D2253" s="1">
        <f>IFERROR(__xludf.DUMMYFUNCTION("""COMPUTED_VALUE"""),46550.0)</f>
        <v>46550</v>
      </c>
      <c r="E2253" s="1">
        <f>IFERROR(__xludf.DUMMYFUNCTION("""COMPUTED_VALUE"""),46750.0)</f>
        <v>46750</v>
      </c>
      <c r="F2253" s="1">
        <f>IFERROR(__xludf.DUMMYFUNCTION("""COMPUTED_VALUE"""),20510.0)</f>
        <v>20510</v>
      </c>
    </row>
    <row r="2254">
      <c r="A2254" s="2">
        <f>IFERROR(__xludf.DUMMYFUNCTION("""COMPUTED_VALUE"""),44273.64583333333)</f>
        <v>44273.64583</v>
      </c>
      <c r="B2254" s="1">
        <f>IFERROR(__xludf.DUMMYFUNCTION("""COMPUTED_VALUE"""),46950.0)</f>
        <v>46950</v>
      </c>
      <c r="C2254" s="1">
        <f>IFERROR(__xludf.DUMMYFUNCTION("""COMPUTED_VALUE"""),47300.0)</f>
        <v>47300</v>
      </c>
      <c r="D2254" s="1">
        <f>IFERROR(__xludf.DUMMYFUNCTION("""COMPUTED_VALUE"""),46000.0)</f>
        <v>46000</v>
      </c>
      <c r="E2254" s="1">
        <f>IFERROR(__xludf.DUMMYFUNCTION("""COMPUTED_VALUE"""),46350.0)</f>
        <v>46350</v>
      </c>
      <c r="F2254" s="1">
        <f>IFERROR(__xludf.DUMMYFUNCTION("""COMPUTED_VALUE"""),20942.0)</f>
        <v>20942</v>
      </c>
    </row>
    <row r="2255">
      <c r="A2255" s="2">
        <f>IFERROR(__xludf.DUMMYFUNCTION("""COMPUTED_VALUE"""),44274.64583333333)</f>
        <v>44274.64583</v>
      </c>
      <c r="B2255" s="1">
        <f>IFERROR(__xludf.DUMMYFUNCTION("""COMPUTED_VALUE"""),45550.0)</f>
        <v>45550</v>
      </c>
      <c r="C2255" s="1">
        <f>IFERROR(__xludf.DUMMYFUNCTION("""COMPUTED_VALUE"""),45600.0)</f>
        <v>45600</v>
      </c>
      <c r="D2255" s="1">
        <f>IFERROR(__xludf.DUMMYFUNCTION("""COMPUTED_VALUE"""),45100.0)</f>
        <v>45100</v>
      </c>
      <c r="E2255" s="1">
        <f>IFERROR(__xludf.DUMMYFUNCTION("""COMPUTED_VALUE"""),45400.0)</f>
        <v>45400</v>
      </c>
      <c r="F2255" s="1">
        <f>IFERROR(__xludf.DUMMYFUNCTION("""COMPUTED_VALUE"""),16318.0)</f>
        <v>16318</v>
      </c>
    </row>
    <row r="2256">
      <c r="A2256" s="2">
        <f>IFERROR(__xludf.DUMMYFUNCTION("""COMPUTED_VALUE"""),44277.64583333333)</f>
        <v>44277.64583</v>
      </c>
      <c r="B2256" s="1">
        <f>IFERROR(__xludf.DUMMYFUNCTION("""COMPUTED_VALUE"""),45400.0)</f>
        <v>45400</v>
      </c>
      <c r="C2256" s="1">
        <f>IFERROR(__xludf.DUMMYFUNCTION("""COMPUTED_VALUE"""),46200.0)</f>
        <v>46200</v>
      </c>
      <c r="D2256" s="1">
        <f>IFERROR(__xludf.DUMMYFUNCTION("""COMPUTED_VALUE"""),45400.0)</f>
        <v>45400</v>
      </c>
      <c r="E2256" s="1">
        <f>IFERROR(__xludf.DUMMYFUNCTION("""COMPUTED_VALUE"""),46000.0)</f>
        <v>46000</v>
      </c>
      <c r="F2256" s="1">
        <f>IFERROR(__xludf.DUMMYFUNCTION("""COMPUTED_VALUE"""),13845.0)</f>
        <v>13845</v>
      </c>
    </row>
    <row r="2257">
      <c r="A2257" s="2">
        <f>IFERROR(__xludf.DUMMYFUNCTION("""COMPUTED_VALUE"""),44278.64583333333)</f>
        <v>44278.64583</v>
      </c>
      <c r="B2257" s="1">
        <f>IFERROR(__xludf.DUMMYFUNCTION("""COMPUTED_VALUE"""),46050.0)</f>
        <v>46050</v>
      </c>
      <c r="C2257" s="1">
        <f>IFERROR(__xludf.DUMMYFUNCTION("""COMPUTED_VALUE"""),46600.0)</f>
        <v>46600</v>
      </c>
      <c r="D2257" s="1">
        <f>IFERROR(__xludf.DUMMYFUNCTION("""COMPUTED_VALUE"""),45750.0)</f>
        <v>45750</v>
      </c>
      <c r="E2257" s="1">
        <f>IFERROR(__xludf.DUMMYFUNCTION("""COMPUTED_VALUE"""),45950.0)</f>
        <v>45950</v>
      </c>
      <c r="F2257" s="1">
        <f>IFERROR(__xludf.DUMMYFUNCTION("""COMPUTED_VALUE"""),14579.0)</f>
        <v>14579</v>
      </c>
    </row>
    <row r="2258">
      <c r="A2258" s="2">
        <f>IFERROR(__xludf.DUMMYFUNCTION("""COMPUTED_VALUE"""),44279.64583333333)</f>
        <v>44279.64583</v>
      </c>
      <c r="B2258" s="1">
        <f>IFERROR(__xludf.DUMMYFUNCTION("""COMPUTED_VALUE"""),45000.0)</f>
        <v>45000</v>
      </c>
      <c r="C2258" s="1">
        <f>IFERROR(__xludf.DUMMYFUNCTION("""COMPUTED_VALUE"""),45450.0)</f>
        <v>45450</v>
      </c>
      <c r="D2258" s="1">
        <f>IFERROR(__xludf.DUMMYFUNCTION("""COMPUTED_VALUE"""),44500.0)</f>
        <v>44500</v>
      </c>
      <c r="E2258" s="1">
        <f>IFERROR(__xludf.DUMMYFUNCTION("""COMPUTED_VALUE"""),45200.0)</f>
        <v>45200</v>
      </c>
      <c r="F2258" s="1">
        <f>IFERROR(__xludf.DUMMYFUNCTION("""COMPUTED_VALUE"""),9805.0)</f>
        <v>9805</v>
      </c>
    </row>
    <row r="2259">
      <c r="A2259" s="2">
        <f>IFERROR(__xludf.DUMMYFUNCTION("""COMPUTED_VALUE"""),44280.64583333333)</f>
        <v>44280.64583</v>
      </c>
      <c r="B2259" s="1">
        <f>IFERROR(__xludf.DUMMYFUNCTION("""COMPUTED_VALUE"""),45900.0)</f>
        <v>45900</v>
      </c>
      <c r="C2259" s="1">
        <f>IFERROR(__xludf.DUMMYFUNCTION("""COMPUTED_VALUE"""),45900.0)</f>
        <v>45900</v>
      </c>
      <c r="D2259" s="1">
        <f>IFERROR(__xludf.DUMMYFUNCTION("""COMPUTED_VALUE"""),45000.0)</f>
        <v>45000</v>
      </c>
      <c r="E2259" s="1">
        <f>IFERROR(__xludf.DUMMYFUNCTION("""COMPUTED_VALUE"""),45150.0)</f>
        <v>45150</v>
      </c>
      <c r="F2259" s="1">
        <f>IFERROR(__xludf.DUMMYFUNCTION("""COMPUTED_VALUE"""),12421.0)</f>
        <v>12421</v>
      </c>
    </row>
    <row r="2260">
      <c r="A2260" s="2">
        <f>IFERROR(__xludf.DUMMYFUNCTION("""COMPUTED_VALUE"""),44281.64583333333)</f>
        <v>44281.64583</v>
      </c>
      <c r="B2260" s="1">
        <f>IFERROR(__xludf.DUMMYFUNCTION("""COMPUTED_VALUE"""),45150.0)</f>
        <v>45150</v>
      </c>
      <c r="C2260" s="1">
        <f>IFERROR(__xludf.DUMMYFUNCTION("""COMPUTED_VALUE"""),45800.0)</f>
        <v>45800</v>
      </c>
      <c r="D2260" s="1">
        <f>IFERROR(__xludf.DUMMYFUNCTION("""COMPUTED_VALUE"""),45050.0)</f>
        <v>45050</v>
      </c>
      <c r="E2260" s="1">
        <f>IFERROR(__xludf.DUMMYFUNCTION("""COMPUTED_VALUE"""),45800.0)</f>
        <v>45800</v>
      </c>
      <c r="F2260" s="1">
        <f>IFERROR(__xludf.DUMMYFUNCTION("""COMPUTED_VALUE"""),9061.0)</f>
        <v>9061</v>
      </c>
    </row>
    <row r="2261">
      <c r="A2261" s="2">
        <f>IFERROR(__xludf.DUMMYFUNCTION("""COMPUTED_VALUE"""),44284.64583333333)</f>
        <v>44284.64583</v>
      </c>
      <c r="B2261" s="1">
        <f>IFERROR(__xludf.DUMMYFUNCTION("""COMPUTED_VALUE"""),46300.0)</f>
        <v>46300</v>
      </c>
      <c r="C2261" s="1">
        <f>IFERROR(__xludf.DUMMYFUNCTION("""COMPUTED_VALUE"""),46750.0)</f>
        <v>46750</v>
      </c>
      <c r="D2261" s="1">
        <f>IFERROR(__xludf.DUMMYFUNCTION("""COMPUTED_VALUE"""),46000.0)</f>
        <v>46000</v>
      </c>
      <c r="E2261" s="1">
        <f>IFERROR(__xludf.DUMMYFUNCTION("""COMPUTED_VALUE"""),46000.0)</f>
        <v>46000</v>
      </c>
      <c r="F2261" s="1">
        <f>IFERROR(__xludf.DUMMYFUNCTION("""COMPUTED_VALUE"""),13744.0)</f>
        <v>13744</v>
      </c>
    </row>
    <row r="2262">
      <c r="A2262" s="2">
        <f>IFERROR(__xludf.DUMMYFUNCTION("""COMPUTED_VALUE"""),44285.64583333333)</f>
        <v>44285.64583</v>
      </c>
      <c r="B2262" s="1">
        <f>IFERROR(__xludf.DUMMYFUNCTION("""COMPUTED_VALUE"""),46100.0)</f>
        <v>46100</v>
      </c>
      <c r="C2262" s="1">
        <f>IFERROR(__xludf.DUMMYFUNCTION("""COMPUTED_VALUE"""),46650.0)</f>
        <v>46650</v>
      </c>
      <c r="D2262" s="1">
        <f>IFERROR(__xludf.DUMMYFUNCTION("""COMPUTED_VALUE"""),46050.0)</f>
        <v>46050</v>
      </c>
      <c r="E2262" s="1">
        <f>IFERROR(__xludf.DUMMYFUNCTION("""COMPUTED_VALUE"""),46500.0)</f>
        <v>46500</v>
      </c>
      <c r="F2262" s="1">
        <f>IFERROR(__xludf.DUMMYFUNCTION("""COMPUTED_VALUE"""),9641.0)</f>
        <v>9641</v>
      </c>
    </row>
    <row r="2263">
      <c r="A2263" s="2">
        <f>IFERROR(__xludf.DUMMYFUNCTION("""COMPUTED_VALUE"""),44286.64583333333)</f>
        <v>44286.64583</v>
      </c>
      <c r="B2263" s="1">
        <f>IFERROR(__xludf.DUMMYFUNCTION("""COMPUTED_VALUE"""),46750.0)</f>
        <v>46750</v>
      </c>
      <c r="C2263" s="1">
        <f>IFERROR(__xludf.DUMMYFUNCTION("""COMPUTED_VALUE"""),46950.0)</f>
        <v>46950</v>
      </c>
      <c r="D2263" s="1">
        <f>IFERROR(__xludf.DUMMYFUNCTION("""COMPUTED_VALUE"""),45850.0)</f>
        <v>45850</v>
      </c>
      <c r="E2263" s="1">
        <f>IFERROR(__xludf.DUMMYFUNCTION("""COMPUTED_VALUE"""),46000.0)</f>
        <v>46000</v>
      </c>
      <c r="F2263" s="1">
        <f>IFERROR(__xludf.DUMMYFUNCTION("""COMPUTED_VALUE"""),10307.0)</f>
        <v>10307</v>
      </c>
    </row>
    <row r="2264">
      <c r="A2264" s="2">
        <f>IFERROR(__xludf.DUMMYFUNCTION("""COMPUTED_VALUE"""),44287.64583333333)</f>
        <v>44287.64583</v>
      </c>
      <c r="B2264" s="1">
        <f>IFERROR(__xludf.DUMMYFUNCTION("""COMPUTED_VALUE"""),45900.0)</f>
        <v>45900</v>
      </c>
      <c r="C2264" s="1">
        <f>IFERROR(__xludf.DUMMYFUNCTION("""COMPUTED_VALUE"""),46450.0)</f>
        <v>46450</v>
      </c>
      <c r="D2264" s="1">
        <f>IFERROR(__xludf.DUMMYFUNCTION("""COMPUTED_VALUE"""),45700.0)</f>
        <v>45700</v>
      </c>
      <c r="E2264" s="1">
        <f>IFERROR(__xludf.DUMMYFUNCTION("""COMPUTED_VALUE"""),46000.0)</f>
        <v>46000</v>
      </c>
      <c r="F2264" s="1">
        <f>IFERROR(__xludf.DUMMYFUNCTION("""COMPUTED_VALUE"""),5745.0)</f>
        <v>5745</v>
      </c>
    </row>
    <row r="2265">
      <c r="A2265" s="2">
        <f>IFERROR(__xludf.DUMMYFUNCTION("""COMPUTED_VALUE"""),44288.64583333333)</f>
        <v>44288.64583</v>
      </c>
      <c r="B2265" s="1">
        <f>IFERROR(__xludf.DUMMYFUNCTION("""COMPUTED_VALUE"""),46100.0)</f>
        <v>46100</v>
      </c>
      <c r="C2265" s="1">
        <f>IFERROR(__xludf.DUMMYFUNCTION("""COMPUTED_VALUE"""),46850.0)</f>
        <v>46850</v>
      </c>
      <c r="D2265" s="1">
        <f>IFERROR(__xludf.DUMMYFUNCTION("""COMPUTED_VALUE"""),46100.0)</f>
        <v>46100</v>
      </c>
      <c r="E2265" s="1">
        <f>IFERROR(__xludf.DUMMYFUNCTION("""COMPUTED_VALUE"""),46400.0)</f>
        <v>46400</v>
      </c>
      <c r="F2265" s="1">
        <f>IFERROR(__xludf.DUMMYFUNCTION("""COMPUTED_VALUE"""),7553.0)</f>
        <v>7553</v>
      </c>
    </row>
    <row r="2266">
      <c r="A2266" s="2">
        <f>IFERROR(__xludf.DUMMYFUNCTION("""COMPUTED_VALUE"""),44291.64583333333)</f>
        <v>44291.64583</v>
      </c>
      <c r="B2266" s="1">
        <f>IFERROR(__xludf.DUMMYFUNCTION("""COMPUTED_VALUE"""),46800.0)</f>
        <v>46800</v>
      </c>
      <c r="C2266" s="1">
        <f>IFERROR(__xludf.DUMMYFUNCTION("""COMPUTED_VALUE"""),46800.0)</f>
        <v>46800</v>
      </c>
      <c r="D2266" s="1">
        <f>IFERROR(__xludf.DUMMYFUNCTION("""COMPUTED_VALUE"""),45950.0)</f>
        <v>45950</v>
      </c>
      <c r="E2266" s="1">
        <f>IFERROR(__xludf.DUMMYFUNCTION("""COMPUTED_VALUE"""),46200.0)</f>
        <v>46200</v>
      </c>
      <c r="F2266" s="1">
        <f>IFERROR(__xludf.DUMMYFUNCTION("""COMPUTED_VALUE"""),6339.0)</f>
        <v>6339</v>
      </c>
    </row>
    <row r="2267">
      <c r="A2267" s="2">
        <f>IFERROR(__xludf.DUMMYFUNCTION("""COMPUTED_VALUE"""),44292.64583333333)</f>
        <v>44292.64583</v>
      </c>
      <c r="B2267" s="1">
        <f>IFERROR(__xludf.DUMMYFUNCTION("""COMPUTED_VALUE"""),46100.0)</f>
        <v>46100</v>
      </c>
      <c r="C2267" s="1">
        <f>IFERROR(__xludf.DUMMYFUNCTION("""COMPUTED_VALUE"""),46150.0)</f>
        <v>46150</v>
      </c>
      <c r="D2267" s="1">
        <f>IFERROR(__xludf.DUMMYFUNCTION("""COMPUTED_VALUE"""),44950.0)</f>
        <v>44950</v>
      </c>
      <c r="E2267" s="1">
        <f>IFERROR(__xludf.DUMMYFUNCTION("""COMPUTED_VALUE"""),45450.0)</f>
        <v>45450</v>
      </c>
      <c r="F2267" s="1">
        <f>IFERROR(__xludf.DUMMYFUNCTION("""COMPUTED_VALUE"""),21196.0)</f>
        <v>21196</v>
      </c>
    </row>
    <row r="2268">
      <c r="A2268" s="2">
        <f>IFERROR(__xludf.DUMMYFUNCTION("""COMPUTED_VALUE"""),44293.64583333333)</f>
        <v>44293.64583</v>
      </c>
      <c r="B2268" s="1">
        <f>IFERROR(__xludf.DUMMYFUNCTION("""COMPUTED_VALUE"""),45900.0)</f>
        <v>45900</v>
      </c>
      <c r="C2268" s="1">
        <f>IFERROR(__xludf.DUMMYFUNCTION("""COMPUTED_VALUE"""),45950.0)</f>
        <v>45950</v>
      </c>
      <c r="D2268" s="1">
        <f>IFERROR(__xludf.DUMMYFUNCTION("""COMPUTED_VALUE"""),45050.0)</f>
        <v>45050</v>
      </c>
      <c r="E2268" s="1">
        <f>IFERROR(__xludf.DUMMYFUNCTION("""COMPUTED_VALUE"""),45250.0)</f>
        <v>45250</v>
      </c>
      <c r="F2268" s="1">
        <f>IFERROR(__xludf.DUMMYFUNCTION("""COMPUTED_VALUE"""),17363.0)</f>
        <v>17363</v>
      </c>
    </row>
    <row r="2269">
      <c r="A2269" s="2">
        <f>IFERROR(__xludf.DUMMYFUNCTION("""COMPUTED_VALUE"""),44294.64583333333)</f>
        <v>44294.64583</v>
      </c>
      <c r="B2269" s="1">
        <f>IFERROR(__xludf.DUMMYFUNCTION("""COMPUTED_VALUE"""),45550.0)</f>
        <v>45550</v>
      </c>
      <c r="C2269" s="1">
        <f>IFERROR(__xludf.DUMMYFUNCTION("""COMPUTED_VALUE"""),45550.0)</f>
        <v>45550</v>
      </c>
      <c r="D2269" s="1">
        <f>IFERROR(__xludf.DUMMYFUNCTION("""COMPUTED_VALUE"""),44750.0)</f>
        <v>44750</v>
      </c>
      <c r="E2269" s="1">
        <f>IFERROR(__xludf.DUMMYFUNCTION("""COMPUTED_VALUE"""),45000.0)</f>
        <v>45000</v>
      </c>
      <c r="F2269" s="1">
        <f>IFERROR(__xludf.DUMMYFUNCTION("""COMPUTED_VALUE"""),16604.0)</f>
        <v>16604</v>
      </c>
    </row>
    <row r="2270">
      <c r="A2270" s="2">
        <f>IFERROR(__xludf.DUMMYFUNCTION("""COMPUTED_VALUE"""),44295.64583333333)</f>
        <v>44295.64583</v>
      </c>
      <c r="B2270" s="1">
        <f>IFERROR(__xludf.DUMMYFUNCTION("""COMPUTED_VALUE"""),44800.0)</f>
        <v>44800</v>
      </c>
      <c r="C2270" s="1">
        <f>IFERROR(__xludf.DUMMYFUNCTION("""COMPUTED_VALUE"""),45050.0)</f>
        <v>45050</v>
      </c>
      <c r="D2270" s="1">
        <f>IFERROR(__xludf.DUMMYFUNCTION("""COMPUTED_VALUE"""),44300.0)</f>
        <v>44300</v>
      </c>
      <c r="E2270" s="1">
        <f>IFERROR(__xludf.DUMMYFUNCTION("""COMPUTED_VALUE"""),44350.0)</f>
        <v>44350</v>
      </c>
      <c r="F2270" s="1">
        <f>IFERROR(__xludf.DUMMYFUNCTION("""COMPUTED_VALUE"""),23467.0)</f>
        <v>23467</v>
      </c>
    </row>
    <row r="2271">
      <c r="A2271" s="2">
        <f>IFERROR(__xludf.DUMMYFUNCTION("""COMPUTED_VALUE"""),44298.64583333333)</f>
        <v>44298.64583</v>
      </c>
      <c r="B2271" s="1">
        <f>IFERROR(__xludf.DUMMYFUNCTION("""COMPUTED_VALUE"""),44500.0)</f>
        <v>44500</v>
      </c>
      <c r="C2271" s="1">
        <f>IFERROR(__xludf.DUMMYFUNCTION("""COMPUTED_VALUE"""),44600.0)</f>
        <v>44600</v>
      </c>
      <c r="D2271" s="1">
        <f>IFERROR(__xludf.DUMMYFUNCTION("""COMPUTED_VALUE"""),43750.0)</f>
        <v>43750</v>
      </c>
      <c r="E2271" s="1">
        <f>IFERROR(__xludf.DUMMYFUNCTION("""COMPUTED_VALUE"""),43950.0)</f>
        <v>43950</v>
      </c>
      <c r="F2271" s="1">
        <f>IFERROR(__xludf.DUMMYFUNCTION("""COMPUTED_VALUE"""),22528.0)</f>
        <v>22528</v>
      </c>
    </row>
    <row r="2272">
      <c r="A2272" s="2">
        <f>IFERROR(__xludf.DUMMYFUNCTION("""COMPUTED_VALUE"""),44299.64583333333)</f>
        <v>44299.64583</v>
      </c>
      <c r="B2272" s="1">
        <f>IFERROR(__xludf.DUMMYFUNCTION("""COMPUTED_VALUE"""),44200.0)</f>
        <v>44200</v>
      </c>
      <c r="C2272" s="1">
        <f>IFERROR(__xludf.DUMMYFUNCTION("""COMPUTED_VALUE"""),44300.0)</f>
        <v>44300</v>
      </c>
      <c r="D2272" s="1">
        <f>IFERROR(__xludf.DUMMYFUNCTION("""COMPUTED_VALUE"""),43900.0)</f>
        <v>43900</v>
      </c>
      <c r="E2272" s="1">
        <f>IFERROR(__xludf.DUMMYFUNCTION("""COMPUTED_VALUE"""),44100.0)</f>
        <v>44100</v>
      </c>
      <c r="F2272" s="1">
        <f>IFERROR(__xludf.DUMMYFUNCTION("""COMPUTED_VALUE"""),11049.0)</f>
        <v>11049</v>
      </c>
    </row>
    <row r="2273">
      <c r="A2273" s="2">
        <f>IFERROR(__xludf.DUMMYFUNCTION("""COMPUTED_VALUE"""),44300.64583333333)</f>
        <v>44300.64583</v>
      </c>
      <c r="B2273" s="1">
        <f>IFERROR(__xludf.DUMMYFUNCTION("""COMPUTED_VALUE"""),44100.0)</f>
        <v>44100</v>
      </c>
      <c r="C2273" s="1">
        <f>IFERROR(__xludf.DUMMYFUNCTION("""COMPUTED_VALUE"""),45250.0)</f>
        <v>45250</v>
      </c>
      <c r="D2273" s="1">
        <f>IFERROR(__xludf.DUMMYFUNCTION("""COMPUTED_VALUE"""),44100.0)</f>
        <v>44100</v>
      </c>
      <c r="E2273" s="1">
        <f>IFERROR(__xludf.DUMMYFUNCTION("""COMPUTED_VALUE"""),45250.0)</f>
        <v>45250</v>
      </c>
      <c r="F2273" s="1">
        <f>IFERROR(__xludf.DUMMYFUNCTION("""COMPUTED_VALUE"""),17472.0)</f>
        <v>17472</v>
      </c>
    </row>
    <row r="2274">
      <c r="A2274" s="2">
        <f>IFERROR(__xludf.DUMMYFUNCTION("""COMPUTED_VALUE"""),44301.64583333333)</f>
        <v>44301.64583</v>
      </c>
      <c r="B2274" s="1">
        <f>IFERROR(__xludf.DUMMYFUNCTION("""COMPUTED_VALUE"""),45650.0)</f>
        <v>45650</v>
      </c>
      <c r="C2274" s="1">
        <f>IFERROR(__xludf.DUMMYFUNCTION("""COMPUTED_VALUE"""),46550.0)</f>
        <v>46550</v>
      </c>
      <c r="D2274" s="1">
        <f>IFERROR(__xludf.DUMMYFUNCTION("""COMPUTED_VALUE"""),45150.0)</f>
        <v>45150</v>
      </c>
      <c r="E2274" s="1">
        <f>IFERROR(__xludf.DUMMYFUNCTION("""COMPUTED_VALUE"""),45750.0)</f>
        <v>45750</v>
      </c>
      <c r="F2274" s="1">
        <f>IFERROR(__xludf.DUMMYFUNCTION("""COMPUTED_VALUE"""),31398.0)</f>
        <v>31398</v>
      </c>
    </row>
    <row r="2275">
      <c r="A2275" s="2">
        <f>IFERROR(__xludf.DUMMYFUNCTION("""COMPUTED_VALUE"""),44302.64583333333)</f>
        <v>44302.64583</v>
      </c>
      <c r="B2275" s="1">
        <f>IFERROR(__xludf.DUMMYFUNCTION("""COMPUTED_VALUE"""),45700.0)</f>
        <v>45700</v>
      </c>
      <c r="C2275" s="1">
        <f>IFERROR(__xludf.DUMMYFUNCTION("""COMPUTED_VALUE"""),46300.0)</f>
        <v>46300</v>
      </c>
      <c r="D2275" s="1">
        <f>IFERROR(__xludf.DUMMYFUNCTION("""COMPUTED_VALUE"""),45600.0)</f>
        <v>45600</v>
      </c>
      <c r="E2275" s="1">
        <f>IFERROR(__xludf.DUMMYFUNCTION("""COMPUTED_VALUE"""),46300.0)</f>
        <v>46300</v>
      </c>
      <c r="F2275" s="1">
        <f>IFERROR(__xludf.DUMMYFUNCTION("""COMPUTED_VALUE"""),14577.0)</f>
        <v>14577</v>
      </c>
    </row>
    <row r="2276">
      <c r="A2276" s="2">
        <f>IFERROR(__xludf.DUMMYFUNCTION("""COMPUTED_VALUE"""),44305.64583333333)</f>
        <v>44305.64583</v>
      </c>
      <c r="B2276" s="1">
        <f>IFERROR(__xludf.DUMMYFUNCTION("""COMPUTED_VALUE"""),46300.0)</f>
        <v>46300</v>
      </c>
      <c r="C2276" s="1">
        <f>IFERROR(__xludf.DUMMYFUNCTION("""COMPUTED_VALUE"""),46350.0)</f>
        <v>46350</v>
      </c>
      <c r="D2276" s="1">
        <f>IFERROR(__xludf.DUMMYFUNCTION("""COMPUTED_VALUE"""),45250.0)</f>
        <v>45250</v>
      </c>
      <c r="E2276" s="1">
        <f>IFERROR(__xludf.DUMMYFUNCTION("""COMPUTED_VALUE"""),45950.0)</f>
        <v>45950</v>
      </c>
      <c r="F2276" s="1">
        <f>IFERROR(__xludf.DUMMYFUNCTION("""COMPUTED_VALUE"""),16908.0)</f>
        <v>16908</v>
      </c>
    </row>
    <row r="2277">
      <c r="A2277" s="2">
        <f>IFERROR(__xludf.DUMMYFUNCTION("""COMPUTED_VALUE"""),44306.64583333333)</f>
        <v>44306.64583</v>
      </c>
      <c r="B2277" s="1">
        <f>IFERROR(__xludf.DUMMYFUNCTION("""COMPUTED_VALUE"""),45950.0)</f>
        <v>45950</v>
      </c>
      <c r="C2277" s="1">
        <f>IFERROR(__xludf.DUMMYFUNCTION("""COMPUTED_VALUE"""),46150.0)</f>
        <v>46150</v>
      </c>
      <c r="D2277" s="1">
        <f>IFERROR(__xludf.DUMMYFUNCTION("""COMPUTED_VALUE"""),45600.0)</f>
        <v>45600</v>
      </c>
      <c r="E2277" s="1">
        <f>IFERROR(__xludf.DUMMYFUNCTION("""COMPUTED_VALUE"""),46150.0)</f>
        <v>46150</v>
      </c>
      <c r="F2277" s="1">
        <f>IFERROR(__xludf.DUMMYFUNCTION("""COMPUTED_VALUE"""),14969.0)</f>
        <v>14969</v>
      </c>
    </row>
    <row r="2278">
      <c r="A2278" s="2">
        <f>IFERROR(__xludf.DUMMYFUNCTION("""COMPUTED_VALUE"""),44307.64583333333)</f>
        <v>44307.64583</v>
      </c>
      <c r="B2278" s="1">
        <f>IFERROR(__xludf.DUMMYFUNCTION("""COMPUTED_VALUE"""),46000.0)</f>
        <v>46000</v>
      </c>
      <c r="C2278" s="1">
        <f>IFERROR(__xludf.DUMMYFUNCTION("""COMPUTED_VALUE"""),46000.0)</f>
        <v>46000</v>
      </c>
      <c r="D2278" s="1">
        <f>IFERROR(__xludf.DUMMYFUNCTION("""COMPUTED_VALUE"""),45400.0)</f>
        <v>45400</v>
      </c>
      <c r="E2278" s="1">
        <f>IFERROR(__xludf.DUMMYFUNCTION("""COMPUTED_VALUE"""),45750.0)</f>
        <v>45750</v>
      </c>
      <c r="F2278" s="1">
        <f>IFERROR(__xludf.DUMMYFUNCTION("""COMPUTED_VALUE"""),16012.0)</f>
        <v>16012</v>
      </c>
    </row>
    <row r="2279">
      <c r="A2279" s="2">
        <f>IFERROR(__xludf.DUMMYFUNCTION("""COMPUTED_VALUE"""),44308.64583333333)</f>
        <v>44308.64583</v>
      </c>
      <c r="B2279" s="1">
        <f>IFERROR(__xludf.DUMMYFUNCTION("""COMPUTED_VALUE"""),45600.0)</f>
        <v>45600</v>
      </c>
      <c r="C2279" s="1">
        <f>IFERROR(__xludf.DUMMYFUNCTION("""COMPUTED_VALUE"""),46250.0)</f>
        <v>46250</v>
      </c>
      <c r="D2279" s="1">
        <f>IFERROR(__xludf.DUMMYFUNCTION("""COMPUTED_VALUE"""),45600.0)</f>
        <v>45600</v>
      </c>
      <c r="E2279" s="1">
        <f>IFERROR(__xludf.DUMMYFUNCTION("""COMPUTED_VALUE"""),45800.0)</f>
        <v>45800</v>
      </c>
      <c r="F2279" s="1">
        <f>IFERROR(__xludf.DUMMYFUNCTION("""COMPUTED_VALUE"""),15240.0)</f>
        <v>15240</v>
      </c>
    </row>
    <row r="2280">
      <c r="A2280" s="2">
        <f>IFERROR(__xludf.DUMMYFUNCTION("""COMPUTED_VALUE"""),44309.64583333333)</f>
        <v>44309.64583</v>
      </c>
      <c r="B2280" s="1">
        <f>IFERROR(__xludf.DUMMYFUNCTION("""COMPUTED_VALUE"""),45800.0)</f>
        <v>45800</v>
      </c>
      <c r="C2280" s="1">
        <f>IFERROR(__xludf.DUMMYFUNCTION("""COMPUTED_VALUE"""),45900.0)</f>
        <v>45900</v>
      </c>
      <c r="D2280" s="1">
        <f>IFERROR(__xludf.DUMMYFUNCTION("""COMPUTED_VALUE"""),45300.0)</f>
        <v>45300</v>
      </c>
      <c r="E2280" s="1">
        <f>IFERROR(__xludf.DUMMYFUNCTION("""COMPUTED_VALUE"""),45850.0)</f>
        <v>45850</v>
      </c>
      <c r="F2280" s="1">
        <f>IFERROR(__xludf.DUMMYFUNCTION("""COMPUTED_VALUE"""),9999.0)</f>
        <v>9999</v>
      </c>
    </row>
    <row r="2281">
      <c r="A2281" s="2">
        <f>IFERROR(__xludf.DUMMYFUNCTION("""COMPUTED_VALUE"""),44312.64583333333)</f>
        <v>44312.64583</v>
      </c>
      <c r="B2281" s="1">
        <f>IFERROR(__xludf.DUMMYFUNCTION("""COMPUTED_VALUE"""),45900.0)</f>
        <v>45900</v>
      </c>
      <c r="C2281" s="1">
        <f>IFERROR(__xludf.DUMMYFUNCTION("""COMPUTED_VALUE"""),49250.0)</f>
        <v>49250</v>
      </c>
      <c r="D2281" s="1">
        <f>IFERROR(__xludf.DUMMYFUNCTION("""COMPUTED_VALUE"""),45900.0)</f>
        <v>45900</v>
      </c>
      <c r="E2281" s="1">
        <f>IFERROR(__xludf.DUMMYFUNCTION("""COMPUTED_VALUE"""),49050.0)</f>
        <v>49050</v>
      </c>
      <c r="F2281" s="1">
        <f>IFERROR(__xludf.DUMMYFUNCTION("""COMPUTED_VALUE"""),88365.0)</f>
        <v>88365</v>
      </c>
    </row>
    <row r="2282">
      <c r="A2282" s="2">
        <f>IFERROR(__xludf.DUMMYFUNCTION("""COMPUTED_VALUE"""),44313.64583333333)</f>
        <v>44313.64583</v>
      </c>
      <c r="B2282" s="1">
        <f>IFERROR(__xludf.DUMMYFUNCTION("""COMPUTED_VALUE"""),49450.0)</f>
        <v>49450</v>
      </c>
      <c r="C2282" s="1">
        <f>IFERROR(__xludf.DUMMYFUNCTION("""COMPUTED_VALUE"""),49500.0)</f>
        <v>49500</v>
      </c>
      <c r="D2282" s="1">
        <f>IFERROR(__xludf.DUMMYFUNCTION("""COMPUTED_VALUE"""),45050.0)</f>
        <v>45050</v>
      </c>
      <c r="E2282" s="1">
        <f>IFERROR(__xludf.DUMMYFUNCTION("""COMPUTED_VALUE"""),49500.0)</f>
        <v>49500</v>
      </c>
      <c r="F2282" s="1">
        <f>IFERROR(__xludf.DUMMYFUNCTION("""COMPUTED_VALUE"""),51643.0)</f>
        <v>51643</v>
      </c>
    </row>
    <row r="2283">
      <c r="A2283" s="2">
        <f>IFERROR(__xludf.DUMMYFUNCTION("""COMPUTED_VALUE"""),44314.64583333333)</f>
        <v>44314.64583</v>
      </c>
      <c r="B2283" s="1">
        <f>IFERROR(__xludf.DUMMYFUNCTION("""COMPUTED_VALUE"""),51000.0)</f>
        <v>51000</v>
      </c>
      <c r="C2283" s="1">
        <f>IFERROR(__xludf.DUMMYFUNCTION("""COMPUTED_VALUE"""),51800.0)</f>
        <v>51800</v>
      </c>
      <c r="D2283" s="1">
        <f>IFERROR(__xludf.DUMMYFUNCTION("""COMPUTED_VALUE"""),50300.0)</f>
        <v>50300</v>
      </c>
      <c r="E2283" s="1">
        <f>IFERROR(__xludf.DUMMYFUNCTION("""COMPUTED_VALUE"""),51000.0)</f>
        <v>51000</v>
      </c>
      <c r="F2283" s="1">
        <f>IFERROR(__xludf.DUMMYFUNCTION("""COMPUTED_VALUE"""),77995.0)</f>
        <v>77995</v>
      </c>
    </row>
    <row r="2284">
      <c r="A2284" s="2">
        <f>IFERROR(__xludf.DUMMYFUNCTION("""COMPUTED_VALUE"""),44315.64583333333)</f>
        <v>44315.64583</v>
      </c>
      <c r="B2284" s="1">
        <f>IFERROR(__xludf.DUMMYFUNCTION("""COMPUTED_VALUE"""),51200.0)</f>
        <v>51200</v>
      </c>
      <c r="C2284" s="1">
        <f>IFERROR(__xludf.DUMMYFUNCTION("""COMPUTED_VALUE"""),51400.0)</f>
        <v>51400</v>
      </c>
      <c r="D2284" s="1">
        <f>IFERROR(__xludf.DUMMYFUNCTION("""COMPUTED_VALUE"""),49700.0)</f>
        <v>49700</v>
      </c>
      <c r="E2284" s="1">
        <f>IFERROR(__xludf.DUMMYFUNCTION("""COMPUTED_VALUE"""),51000.0)</f>
        <v>51000</v>
      </c>
      <c r="F2284" s="1">
        <f>IFERROR(__xludf.DUMMYFUNCTION("""COMPUTED_VALUE"""),39790.0)</f>
        <v>39790</v>
      </c>
    </row>
    <row r="2285">
      <c r="A2285" s="2">
        <f>IFERROR(__xludf.DUMMYFUNCTION("""COMPUTED_VALUE"""),44316.64583333333)</f>
        <v>44316.64583</v>
      </c>
      <c r="B2285" s="1">
        <f>IFERROR(__xludf.DUMMYFUNCTION("""COMPUTED_VALUE"""),51200.0)</f>
        <v>51200</v>
      </c>
      <c r="C2285" s="1">
        <f>IFERROR(__xludf.DUMMYFUNCTION("""COMPUTED_VALUE"""),51600.0)</f>
        <v>51600</v>
      </c>
      <c r="D2285" s="1">
        <f>IFERROR(__xludf.DUMMYFUNCTION("""COMPUTED_VALUE"""),50000.0)</f>
        <v>50000</v>
      </c>
      <c r="E2285" s="1">
        <f>IFERROR(__xludf.DUMMYFUNCTION("""COMPUTED_VALUE"""),50700.0)</f>
        <v>50700</v>
      </c>
      <c r="F2285" s="1">
        <f>IFERROR(__xludf.DUMMYFUNCTION("""COMPUTED_VALUE"""),42152.0)</f>
        <v>42152</v>
      </c>
    </row>
    <row r="2286">
      <c r="A2286" s="2">
        <f>IFERROR(__xludf.DUMMYFUNCTION("""COMPUTED_VALUE"""),44319.64583333333)</f>
        <v>44319.64583</v>
      </c>
      <c r="B2286" s="1">
        <f>IFERROR(__xludf.DUMMYFUNCTION("""COMPUTED_VALUE"""),50200.0)</f>
        <v>50200</v>
      </c>
      <c r="C2286" s="1">
        <f>IFERROR(__xludf.DUMMYFUNCTION("""COMPUTED_VALUE"""),52000.0)</f>
        <v>52000</v>
      </c>
      <c r="D2286" s="1">
        <f>IFERROR(__xludf.DUMMYFUNCTION("""COMPUTED_VALUE"""),50000.0)</f>
        <v>50000</v>
      </c>
      <c r="E2286" s="1">
        <f>IFERROR(__xludf.DUMMYFUNCTION("""COMPUTED_VALUE"""),51000.0)</f>
        <v>51000</v>
      </c>
      <c r="F2286" s="1">
        <f>IFERROR(__xludf.DUMMYFUNCTION("""COMPUTED_VALUE"""),36483.0)</f>
        <v>36483</v>
      </c>
    </row>
    <row r="2287">
      <c r="A2287" s="2">
        <f>IFERROR(__xludf.DUMMYFUNCTION("""COMPUTED_VALUE"""),44320.64583333333)</f>
        <v>44320.64583</v>
      </c>
      <c r="B2287" s="1">
        <f>IFERROR(__xludf.DUMMYFUNCTION("""COMPUTED_VALUE"""),51600.0)</f>
        <v>51600</v>
      </c>
      <c r="C2287" s="1">
        <f>IFERROR(__xludf.DUMMYFUNCTION("""COMPUTED_VALUE"""),51900.0)</f>
        <v>51900</v>
      </c>
      <c r="D2287" s="1">
        <f>IFERROR(__xludf.DUMMYFUNCTION("""COMPUTED_VALUE"""),50700.0)</f>
        <v>50700</v>
      </c>
      <c r="E2287" s="1">
        <f>IFERROR(__xludf.DUMMYFUNCTION("""COMPUTED_VALUE"""),51500.0)</f>
        <v>51500</v>
      </c>
      <c r="F2287" s="1">
        <f>IFERROR(__xludf.DUMMYFUNCTION("""COMPUTED_VALUE"""),26152.0)</f>
        <v>26152</v>
      </c>
    </row>
    <row r="2288">
      <c r="A2288" s="2">
        <f>IFERROR(__xludf.DUMMYFUNCTION("""COMPUTED_VALUE"""),44322.64583333333)</f>
        <v>44322.64583</v>
      </c>
      <c r="B2288" s="1">
        <f>IFERROR(__xludf.DUMMYFUNCTION("""COMPUTED_VALUE"""),51900.0)</f>
        <v>51900</v>
      </c>
      <c r="C2288" s="1">
        <f>IFERROR(__xludf.DUMMYFUNCTION("""COMPUTED_VALUE"""),54200.0)</f>
        <v>54200</v>
      </c>
      <c r="D2288" s="1">
        <f>IFERROR(__xludf.DUMMYFUNCTION("""COMPUTED_VALUE"""),51800.0)</f>
        <v>51800</v>
      </c>
      <c r="E2288" s="1">
        <f>IFERROR(__xludf.DUMMYFUNCTION("""COMPUTED_VALUE"""),54200.0)</f>
        <v>54200</v>
      </c>
      <c r="F2288" s="1">
        <f>IFERROR(__xludf.DUMMYFUNCTION("""COMPUTED_VALUE"""),70734.0)</f>
        <v>70734</v>
      </c>
    </row>
    <row r="2289">
      <c r="A2289" s="2">
        <f>IFERROR(__xludf.DUMMYFUNCTION("""COMPUTED_VALUE"""),44323.64583333333)</f>
        <v>44323.64583</v>
      </c>
      <c r="B2289" s="1">
        <f>IFERROR(__xludf.DUMMYFUNCTION("""COMPUTED_VALUE"""),54100.0)</f>
        <v>54100</v>
      </c>
      <c r="C2289" s="1">
        <f>IFERROR(__xludf.DUMMYFUNCTION("""COMPUTED_VALUE"""),54500.0)</f>
        <v>54500</v>
      </c>
      <c r="D2289" s="1">
        <f>IFERROR(__xludf.DUMMYFUNCTION("""COMPUTED_VALUE"""),53300.0)</f>
        <v>53300</v>
      </c>
      <c r="E2289" s="1">
        <f>IFERROR(__xludf.DUMMYFUNCTION("""COMPUTED_VALUE"""),53900.0)</f>
        <v>53900</v>
      </c>
      <c r="F2289" s="1">
        <f>IFERROR(__xludf.DUMMYFUNCTION("""COMPUTED_VALUE"""),28115.0)</f>
        <v>28115</v>
      </c>
    </row>
    <row r="2290">
      <c r="A2290" s="2">
        <f>IFERROR(__xludf.DUMMYFUNCTION("""COMPUTED_VALUE"""),44326.64583333333)</f>
        <v>44326.64583</v>
      </c>
      <c r="B2290" s="1">
        <f>IFERROR(__xludf.DUMMYFUNCTION("""COMPUTED_VALUE"""),54000.0)</f>
        <v>54000</v>
      </c>
      <c r="C2290" s="1">
        <f>IFERROR(__xludf.DUMMYFUNCTION("""COMPUTED_VALUE"""),56000.0)</f>
        <v>56000</v>
      </c>
      <c r="D2290" s="1">
        <f>IFERROR(__xludf.DUMMYFUNCTION("""COMPUTED_VALUE"""),54000.0)</f>
        <v>54000</v>
      </c>
      <c r="E2290" s="1">
        <f>IFERROR(__xludf.DUMMYFUNCTION("""COMPUTED_VALUE"""),55900.0)</f>
        <v>55900</v>
      </c>
      <c r="F2290" s="1">
        <f>IFERROR(__xludf.DUMMYFUNCTION("""COMPUTED_VALUE"""),62504.0)</f>
        <v>62504</v>
      </c>
    </row>
    <row r="2291">
      <c r="A2291" s="2">
        <f>IFERROR(__xludf.DUMMYFUNCTION("""COMPUTED_VALUE"""),44327.64583333333)</f>
        <v>44327.64583</v>
      </c>
      <c r="B2291" s="1">
        <f>IFERROR(__xludf.DUMMYFUNCTION("""COMPUTED_VALUE"""),55800.0)</f>
        <v>55800</v>
      </c>
      <c r="C2291" s="1">
        <f>IFERROR(__xludf.DUMMYFUNCTION("""COMPUTED_VALUE"""),56800.0)</f>
        <v>56800</v>
      </c>
      <c r="D2291" s="1">
        <f>IFERROR(__xludf.DUMMYFUNCTION("""COMPUTED_VALUE"""),55000.0)</f>
        <v>55000</v>
      </c>
      <c r="E2291" s="1">
        <f>IFERROR(__xludf.DUMMYFUNCTION("""COMPUTED_VALUE"""),56200.0)</f>
        <v>56200</v>
      </c>
      <c r="F2291" s="1">
        <f>IFERROR(__xludf.DUMMYFUNCTION("""COMPUTED_VALUE"""),40937.0)</f>
        <v>40937</v>
      </c>
    </row>
    <row r="2292">
      <c r="A2292" s="2">
        <f>IFERROR(__xludf.DUMMYFUNCTION("""COMPUTED_VALUE"""),44328.64583333333)</f>
        <v>44328.64583</v>
      </c>
      <c r="B2292" s="1">
        <f>IFERROR(__xludf.DUMMYFUNCTION("""COMPUTED_VALUE"""),55900.0)</f>
        <v>55900</v>
      </c>
      <c r="C2292" s="1">
        <f>IFERROR(__xludf.DUMMYFUNCTION("""COMPUTED_VALUE"""),56500.0)</f>
        <v>56500</v>
      </c>
      <c r="D2292" s="1">
        <f>IFERROR(__xludf.DUMMYFUNCTION("""COMPUTED_VALUE"""),53900.0)</f>
        <v>53900</v>
      </c>
      <c r="E2292" s="1">
        <f>IFERROR(__xludf.DUMMYFUNCTION("""COMPUTED_VALUE"""),55400.0)</f>
        <v>55400</v>
      </c>
      <c r="F2292" s="1">
        <f>IFERROR(__xludf.DUMMYFUNCTION("""COMPUTED_VALUE"""),43579.0)</f>
        <v>43579</v>
      </c>
    </row>
    <row r="2293">
      <c r="A2293" s="2">
        <f>IFERROR(__xludf.DUMMYFUNCTION("""COMPUTED_VALUE"""),44329.64583333333)</f>
        <v>44329.64583</v>
      </c>
      <c r="B2293" s="1">
        <f>IFERROR(__xludf.DUMMYFUNCTION("""COMPUTED_VALUE"""),55400.0)</f>
        <v>55400</v>
      </c>
      <c r="C2293" s="1">
        <f>IFERROR(__xludf.DUMMYFUNCTION("""COMPUTED_VALUE"""),56700.0)</f>
        <v>56700</v>
      </c>
      <c r="D2293" s="1">
        <f>IFERROR(__xludf.DUMMYFUNCTION("""COMPUTED_VALUE"""),53600.0)</f>
        <v>53600</v>
      </c>
      <c r="E2293" s="1">
        <f>IFERROR(__xludf.DUMMYFUNCTION("""COMPUTED_VALUE"""),55200.0)</f>
        <v>55200</v>
      </c>
      <c r="F2293" s="1">
        <f>IFERROR(__xludf.DUMMYFUNCTION("""COMPUTED_VALUE"""),76422.0)</f>
        <v>76422</v>
      </c>
    </row>
    <row r="2294">
      <c r="A2294" s="2">
        <f>IFERROR(__xludf.DUMMYFUNCTION("""COMPUTED_VALUE"""),44330.64583333333)</f>
        <v>44330.64583</v>
      </c>
      <c r="B2294" s="1">
        <f>IFERROR(__xludf.DUMMYFUNCTION("""COMPUTED_VALUE"""),55200.0)</f>
        <v>55200</v>
      </c>
      <c r="C2294" s="1">
        <f>IFERROR(__xludf.DUMMYFUNCTION("""COMPUTED_VALUE"""),56000.0)</f>
        <v>56000</v>
      </c>
      <c r="D2294" s="1">
        <f>IFERROR(__xludf.DUMMYFUNCTION("""COMPUTED_VALUE"""),54100.0)</f>
        <v>54100</v>
      </c>
      <c r="E2294" s="1">
        <f>IFERROR(__xludf.DUMMYFUNCTION("""COMPUTED_VALUE"""),55800.0)</f>
        <v>55800</v>
      </c>
      <c r="F2294" s="1">
        <f>IFERROR(__xludf.DUMMYFUNCTION("""COMPUTED_VALUE"""),36356.0)</f>
        <v>36356</v>
      </c>
    </row>
    <row r="2295">
      <c r="A2295" s="2">
        <f>IFERROR(__xludf.DUMMYFUNCTION("""COMPUTED_VALUE"""),44333.64583333333)</f>
        <v>44333.64583</v>
      </c>
      <c r="B2295" s="1">
        <f>IFERROR(__xludf.DUMMYFUNCTION("""COMPUTED_VALUE"""),56700.0)</f>
        <v>56700</v>
      </c>
      <c r="C2295" s="1">
        <f>IFERROR(__xludf.DUMMYFUNCTION("""COMPUTED_VALUE"""),56800.0)</f>
        <v>56800</v>
      </c>
      <c r="D2295" s="1">
        <f>IFERROR(__xludf.DUMMYFUNCTION("""COMPUTED_VALUE"""),55300.0)</f>
        <v>55300</v>
      </c>
      <c r="E2295" s="1">
        <f>IFERROR(__xludf.DUMMYFUNCTION("""COMPUTED_VALUE"""),56700.0)</f>
        <v>56700</v>
      </c>
      <c r="F2295" s="1">
        <f>IFERROR(__xludf.DUMMYFUNCTION("""COMPUTED_VALUE"""),30841.0)</f>
        <v>30841</v>
      </c>
    </row>
    <row r="2296">
      <c r="A2296" s="2">
        <f>IFERROR(__xludf.DUMMYFUNCTION("""COMPUTED_VALUE"""),44334.64583333333)</f>
        <v>44334.64583</v>
      </c>
      <c r="B2296" s="1">
        <f>IFERROR(__xludf.DUMMYFUNCTION("""COMPUTED_VALUE"""),57100.0)</f>
        <v>57100</v>
      </c>
      <c r="C2296" s="1">
        <f>IFERROR(__xludf.DUMMYFUNCTION("""COMPUTED_VALUE"""),60000.0)</f>
        <v>60000</v>
      </c>
      <c r="D2296" s="1">
        <f>IFERROR(__xludf.DUMMYFUNCTION("""COMPUTED_VALUE"""),57100.0)</f>
        <v>57100</v>
      </c>
      <c r="E2296" s="1">
        <f>IFERROR(__xludf.DUMMYFUNCTION("""COMPUTED_VALUE"""),59400.0)</f>
        <v>59400</v>
      </c>
      <c r="F2296" s="1">
        <f>IFERROR(__xludf.DUMMYFUNCTION("""COMPUTED_VALUE"""),55491.0)</f>
        <v>55491</v>
      </c>
    </row>
    <row r="2297">
      <c r="A2297" s="2">
        <f>IFERROR(__xludf.DUMMYFUNCTION("""COMPUTED_VALUE"""),44336.64583333333)</f>
        <v>44336.64583</v>
      </c>
      <c r="B2297" s="1">
        <f>IFERROR(__xludf.DUMMYFUNCTION("""COMPUTED_VALUE"""),57600.0)</f>
        <v>57600</v>
      </c>
      <c r="C2297" s="1">
        <f>IFERROR(__xludf.DUMMYFUNCTION("""COMPUTED_VALUE"""),58500.0)</f>
        <v>58500</v>
      </c>
      <c r="D2297" s="1">
        <f>IFERROR(__xludf.DUMMYFUNCTION("""COMPUTED_VALUE"""),55200.0)</f>
        <v>55200</v>
      </c>
      <c r="E2297" s="1">
        <f>IFERROR(__xludf.DUMMYFUNCTION("""COMPUTED_VALUE"""),57600.0)</f>
        <v>57600</v>
      </c>
      <c r="F2297" s="1">
        <f>IFERROR(__xludf.DUMMYFUNCTION("""COMPUTED_VALUE"""),58590.0)</f>
        <v>58590</v>
      </c>
    </row>
    <row r="2298">
      <c r="A2298" s="2">
        <f>IFERROR(__xludf.DUMMYFUNCTION("""COMPUTED_VALUE"""),44337.64583333333)</f>
        <v>44337.64583</v>
      </c>
      <c r="B2298" s="1">
        <f>IFERROR(__xludf.DUMMYFUNCTION("""COMPUTED_VALUE"""),56700.0)</f>
        <v>56700</v>
      </c>
      <c r="C2298" s="1">
        <f>IFERROR(__xludf.DUMMYFUNCTION("""COMPUTED_VALUE"""),56700.0)</f>
        <v>56700</v>
      </c>
      <c r="D2298" s="1">
        <f>IFERROR(__xludf.DUMMYFUNCTION("""COMPUTED_VALUE"""),54400.0)</f>
        <v>54400</v>
      </c>
      <c r="E2298" s="1">
        <f>IFERROR(__xludf.DUMMYFUNCTION("""COMPUTED_VALUE"""),55500.0)</f>
        <v>55500</v>
      </c>
      <c r="F2298" s="1">
        <f>IFERROR(__xludf.DUMMYFUNCTION("""COMPUTED_VALUE"""),62562.0)</f>
        <v>62562</v>
      </c>
    </row>
    <row r="2299">
      <c r="A2299" s="2">
        <f>IFERROR(__xludf.DUMMYFUNCTION("""COMPUTED_VALUE"""),44340.64583333333)</f>
        <v>44340.64583</v>
      </c>
      <c r="B2299" s="1">
        <f>IFERROR(__xludf.DUMMYFUNCTION("""COMPUTED_VALUE"""),55000.0)</f>
        <v>55000</v>
      </c>
      <c r="C2299" s="1">
        <f>IFERROR(__xludf.DUMMYFUNCTION("""COMPUTED_VALUE"""),56100.0)</f>
        <v>56100</v>
      </c>
      <c r="D2299" s="1">
        <f>IFERROR(__xludf.DUMMYFUNCTION("""COMPUTED_VALUE"""),54600.0)</f>
        <v>54600</v>
      </c>
      <c r="E2299" s="1">
        <f>IFERROR(__xludf.DUMMYFUNCTION("""COMPUTED_VALUE"""),55400.0)</f>
        <v>55400</v>
      </c>
      <c r="F2299" s="1">
        <f>IFERROR(__xludf.DUMMYFUNCTION("""COMPUTED_VALUE"""),22504.0)</f>
        <v>22504</v>
      </c>
    </row>
    <row r="2300">
      <c r="A2300" s="2">
        <f>IFERROR(__xludf.DUMMYFUNCTION("""COMPUTED_VALUE"""),44341.64583333333)</f>
        <v>44341.64583</v>
      </c>
      <c r="B2300" s="1">
        <f>IFERROR(__xludf.DUMMYFUNCTION("""COMPUTED_VALUE"""),56200.0)</f>
        <v>56200</v>
      </c>
      <c r="C2300" s="1">
        <f>IFERROR(__xludf.DUMMYFUNCTION("""COMPUTED_VALUE"""),56800.0)</f>
        <v>56800</v>
      </c>
      <c r="D2300" s="1">
        <f>IFERROR(__xludf.DUMMYFUNCTION("""COMPUTED_VALUE"""),55500.0)</f>
        <v>55500</v>
      </c>
      <c r="E2300" s="1">
        <f>IFERROR(__xludf.DUMMYFUNCTION("""COMPUTED_VALUE"""),56300.0)</f>
        <v>56300</v>
      </c>
      <c r="F2300" s="1">
        <f>IFERROR(__xludf.DUMMYFUNCTION("""COMPUTED_VALUE"""),21941.0)</f>
        <v>21941</v>
      </c>
    </row>
    <row r="2301">
      <c r="A2301" s="2">
        <f>IFERROR(__xludf.DUMMYFUNCTION("""COMPUTED_VALUE"""),44342.64583333333)</f>
        <v>44342.64583</v>
      </c>
      <c r="B2301" s="1">
        <f>IFERROR(__xludf.DUMMYFUNCTION("""COMPUTED_VALUE"""),55600.0)</f>
        <v>55600</v>
      </c>
      <c r="C2301" s="1">
        <f>IFERROR(__xludf.DUMMYFUNCTION("""COMPUTED_VALUE"""),56600.0)</f>
        <v>56600</v>
      </c>
      <c r="D2301" s="1">
        <f>IFERROR(__xludf.DUMMYFUNCTION("""COMPUTED_VALUE"""),55500.0)</f>
        <v>55500</v>
      </c>
      <c r="E2301" s="1">
        <f>IFERROR(__xludf.DUMMYFUNCTION("""COMPUTED_VALUE"""),55900.0)</f>
        <v>55900</v>
      </c>
      <c r="F2301" s="1">
        <f>IFERROR(__xludf.DUMMYFUNCTION("""COMPUTED_VALUE"""),16250.0)</f>
        <v>16250</v>
      </c>
    </row>
    <row r="2302">
      <c r="A2302" s="2">
        <f>IFERROR(__xludf.DUMMYFUNCTION("""COMPUTED_VALUE"""),44343.64583333333)</f>
        <v>44343.64583</v>
      </c>
      <c r="B2302" s="1">
        <f>IFERROR(__xludf.DUMMYFUNCTION("""COMPUTED_VALUE"""),56100.0)</f>
        <v>56100</v>
      </c>
      <c r="C2302" s="1">
        <f>IFERROR(__xludf.DUMMYFUNCTION("""COMPUTED_VALUE"""),56100.0)</f>
        <v>56100</v>
      </c>
      <c r="D2302" s="1">
        <f>IFERROR(__xludf.DUMMYFUNCTION("""COMPUTED_VALUE"""),54700.0)</f>
        <v>54700</v>
      </c>
      <c r="E2302" s="1">
        <f>IFERROR(__xludf.DUMMYFUNCTION("""COMPUTED_VALUE"""),55700.0)</f>
        <v>55700</v>
      </c>
      <c r="F2302" s="1">
        <f>IFERROR(__xludf.DUMMYFUNCTION("""COMPUTED_VALUE"""),23654.0)</f>
        <v>23654</v>
      </c>
    </row>
    <row r="2303">
      <c r="A2303" s="2">
        <f>IFERROR(__xludf.DUMMYFUNCTION("""COMPUTED_VALUE"""),44344.64583333333)</f>
        <v>44344.64583</v>
      </c>
      <c r="B2303" s="1">
        <f>IFERROR(__xludf.DUMMYFUNCTION("""COMPUTED_VALUE"""),55700.0)</f>
        <v>55700</v>
      </c>
      <c r="C2303" s="1">
        <f>IFERROR(__xludf.DUMMYFUNCTION("""COMPUTED_VALUE"""),56300.0)</f>
        <v>56300</v>
      </c>
      <c r="D2303" s="1">
        <f>IFERROR(__xludf.DUMMYFUNCTION("""COMPUTED_VALUE"""),54900.0)</f>
        <v>54900</v>
      </c>
      <c r="E2303" s="1">
        <f>IFERROR(__xludf.DUMMYFUNCTION("""COMPUTED_VALUE"""),55000.0)</f>
        <v>55000</v>
      </c>
      <c r="F2303" s="1">
        <f>IFERROR(__xludf.DUMMYFUNCTION("""COMPUTED_VALUE"""),27611.0)</f>
        <v>27611</v>
      </c>
    </row>
    <row r="2304">
      <c r="A2304" s="2">
        <f>IFERROR(__xludf.DUMMYFUNCTION("""COMPUTED_VALUE"""),44347.64583333333)</f>
        <v>44347.64583</v>
      </c>
      <c r="B2304" s="1">
        <f>IFERROR(__xludf.DUMMYFUNCTION("""COMPUTED_VALUE"""),55500.0)</f>
        <v>55500</v>
      </c>
      <c r="C2304" s="1">
        <f>IFERROR(__xludf.DUMMYFUNCTION("""COMPUTED_VALUE"""),55500.0)</f>
        <v>55500</v>
      </c>
      <c r="D2304" s="1">
        <f>IFERROR(__xludf.DUMMYFUNCTION("""COMPUTED_VALUE"""),53000.0)</f>
        <v>53000</v>
      </c>
      <c r="E2304" s="1">
        <f>IFERROR(__xludf.DUMMYFUNCTION("""COMPUTED_VALUE"""),53500.0)</f>
        <v>53500</v>
      </c>
      <c r="F2304" s="1">
        <f>IFERROR(__xludf.DUMMYFUNCTION("""COMPUTED_VALUE"""),40409.0)</f>
        <v>40409</v>
      </c>
    </row>
    <row r="2305">
      <c r="A2305" s="2">
        <f>IFERROR(__xludf.DUMMYFUNCTION("""COMPUTED_VALUE"""),44348.64583333333)</f>
        <v>44348.64583</v>
      </c>
      <c r="B2305" s="1">
        <f>IFERROR(__xludf.DUMMYFUNCTION("""COMPUTED_VALUE"""),54200.0)</f>
        <v>54200</v>
      </c>
      <c r="C2305" s="1">
        <f>IFERROR(__xludf.DUMMYFUNCTION("""COMPUTED_VALUE"""),56800.0)</f>
        <v>56800</v>
      </c>
      <c r="D2305" s="1">
        <f>IFERROR(__xludf.DUMMYFUNCTION("""COMPUTED_VALUE"""),53700.0)</f>
        <v>53700</v>
      </c>
      <c r="E2305" s="1">
        <f>IFERROR(__xludf.DUMMYFUNCTION("""COMPUTED_VALUE"""),56000.0)</f>
        <v>56000</v>
      </c>
      <c r="F2305" s="1">
        <f>IFERROR(__xludf.DUMMYFUNCTION("""COMPUTED_VALUE"""),45313.0)</f>
        <v>45313</v>
      </c>
    </row>
    <row r="2306">
      <c r="A2306" s="2">
        <f>IFERROR(__xludf.DUMMYFUNCTION("""COMPUTED_VALUE"""),44349.64583333333)</f>
        <v>44349.64583</v>
      </c>
      <c r="B2306" s="1">
        <f>IFERROR(__xludf.DUMMYFUNCTION("""COMPUTED_VALUE"""),57300.0)</f>
        <v>57300</v>
      </c>
      <c r="C2306" s="1">
        <f>IFERROR(__xludf.DUMMYFUNCTION("""COMPUTED_VALUE"""),57500.0)</f>
        <v>57500</v>
      </c>
      <c r="D2306" s="1">
        <f>IFERROR(__xludf.DUMMYFUNCTION("""COMPUTED_VALUE"""),56000.0)</f>
        <v>56000</v>
      </c>
      <c r="E2306" s="1">
        <f>IFERROR(__xludf.DUMMYFUNCTION("""COMPUTED_VALUE"""),56900.0)</f>
        <v>56900</v>
      </c>
      <c r="F2306" s="1">
        <f>IFERROR(__xludf.DUMMYFUNCTION("""COMPUTED_VALUE"""),57508.0)</f>
        <v>57508</v>
      </c>
    </row>
    <row r="2307">
      <c r="A2307" s="2">
        <f>IFERROR(__xludf.DUMMYFUNCTION("""COMPUTED_VALUE"""),44350.64583333333)</f>
        <v>44350.64583</v>
      </c>
      <c r="B2307" s="1">
        <f>IFERROR(__xludf.DUMMYFUNCTION("""COMPUTED_VALUE"""),58100.0)</f>
        <v>58100</v>
      </c>
      <c r="C2307" s="1">
        <f>IFERROR(__xludf.DUMMYFUNCTION("""COMPUTED_VALUE"""),58800.0)</f>
        <v>58800</v>
      </c>
      <c r="D2307" s="1">
        <f>IFERROR(__xludf.DUMMYFUNCTION("""COMPUTED_VALUE"""),57600.0)</f>
        <v>57600</v>
      </c>
      <c r="E2307" s="1">
        <f>IFERROR(__xludf.DUMMYFUNCTION("""COMPUTED_VALUE"""),58500.0)</f>
        <v>58500</v>
      </c>
      <c r="F2307" s="1">
        <f>IFERROR(__xludf.DUMMYFUNCTION("""COMPUTED_VALUE"""),46568.0)</f>
        <v>46568</v>
      </c>
    </row>
    <row r="2308">
      <c r="A2308" s="2">
        <f>IFERROR(__xludf.DUMMYFUNCTION("""COMPUTED_VALUE"""),44351.64583333333)</f>
        <v>44351.64583</v>
      </c>
      <c r="B2308" s="1">
        <f>IFERROR(__xludf.DUMMYFUNCTION("""COMPUTED_VALUE"""),59700.0)</f>
        <v>59700</v>
      </c>
      <c r="C2308" s="1">
        <f>IFERROR(__xludf.DUMMYFUNCTION("""COMPUTED_VALUE"""),60000.0)</f>
        <v>60000</v>
      </c>
      <c r="D2308" s="1">
        <f>IFERROR(__xludf.DUMMYFUNCTION("""COMPUTED_VALUE"""),58600.0)</f>
        <v>58600</v>
      </c>
      <c r="E2308" s="1">
        <f>IFERROR(__xludf.DUMMYFUNCTION("""COMPUTED_VALUE"""),60000.0)</f>
        <v>60000</v>
      </c>
      <c r="F2308" s="1">
        <f>IFERROR(__xludf.DUMMYFUNCTION("""COMPUTED_VALUE"""),36514.0)</f>
        <v>36514</v>
      </c>
    </row>
    <row r="2309">
      <c r="A2309" s="2">
        <f>IFERROR(__xludf.DUMMYFUNCTION("""COMPUTED_VALUE"""),44354.64583333333)</f>
        <v>44354.64583</v>
      </c>
      <c r="B2309" s="1">
        <f>IFERROR(__xludf.DUMMYFUNCTION("""COMPUTED_VALUE"""),60500.0)</f>
        <v>60500</v>
      </c>
      <c r="C2309" s="1">
        <f>IFERROR(__xludf.DUMMYFUNCTION("""COMPUTED_VALUE"""),61000.0)</f>
        <v>61000</v>
      </c>
      <c r="D2309" s="1">
        <f>IFERROR(__xludf.DUMMYFUNCTION("""COMPUTED_VALUE"""),59700.0)</f>
        <v>59700</v>
      </c>
      <c r="E2309" s="1">
        <f>IFERROR(__xludf.DUMMYFUNCTION("""COMPUTED_VALUE"""),60500.0)</f>
        <v>60500</v>
      </c>
      <c r="F2309" s="1">
        <f>IFERROR(__xludf.DUMMYFUNCTION("""COMPUTED_VALUE"""),35385.0)</f>
        <v>35385</v>
      </c>
    </row>
    <row r="2310">
      <c r="A2310" s="2">
        <f>IFERROR(__xludf.DUMMYFUNCTION("""COMPUTED_VALUE"""),44355.64583333333)</f>
        <v>44355.64583</v>
      </c>
      <c r="B2310" s="1">
        <f>IFERROR(__xludf.DUMMYFUNCTION("""COMPUTED_VALUE"""),60400.0)</f>
        <v>60400</v>
      </c>
      <c r="C2310" s="1">
        <f>IFERROR(__xludf.DUMMYFUNCTION("""COMPUTED_VALUE"""),60400.0)</f>
        <v>60400</v>
      </c>
      <c r="D2310" s="1">
        <f>IFERROR(__xludf.DUMMYFUNCTION("""COMPUTED_VALUE"""),59100.0)</f>
        <v>59100</v>
      </c>
      <c r="E2310" s="1">
        <f>IFERROR(__xludf.DUMMYFUNCTION("""COMPUTED_VALUE"""),60100.0)</f>
        <v>60100</v>
      </c>
      <c r="F2310" s="1">
        <f>IFERROR(__xludf.DUMMYFUNCTION("""COMPUTED_VALUE"""),27161.0)</f>
        <v>27161</v>
      </c>
    </row>
    <row r="2311">
      <c r="A2311" s="2">
        <f>IFERROR(__xludf.DUMMYFUNCTION("""COMPUTED_VALUE"""),44356.64583333333)</f>
        <v>44356.64583</v>
      </c>
      <c r="B2311" s="1">
        <f>IFERROR(__xludf.DUMMYFUNCTION("""COMPUTED_VALUE"""),60600.0)</f>
        <v>60600</v>
      </c>
      <c r="C2311" s="1">
        <f>IFERROR(__xludf.DUMMYFUNCTION("""COMPUTED_VALUE"""),63400.0)</f>
        <v>63400</v>
      </c>
      <c r="D2311" s="1">
        <f>IFERROR(__xludf.DUMMYFUNCTION("""COMPUTED_VALUE"""),60200.0)</f>
        <v>60200</v>
      </c>
      <c r="E2311" s="1">
        <f>IFERROR(__xludf.DUMMYFUNCTION("""COMPUTED_VALUE"""),62600.0)</f>
        <v>62600</v>
      </c>
      <c r="F2311" s="1">
        <f>IFERROR(__xludf.DUMMYFUNCTION("""COMPUTED_VALUE"""),63125.0)</f>
        <v>63125</v>
      </c>
    </row>
    <row r="2312">
      <c r="A2312" s="2">
        <f>IFERROR(__xludf.DUMMYFUNCTION("""COMPUTED_VALUE"""),44357.64583333333)</f>
        <v>44357.64583</v>
      </c>
      <c r="B2312" s="1">
        <f>IFERROR(__xludf.DUMMYFUNCTION("""COMPUTED_VALUE"""),61600.0)</f>
        <v>61600</v>
      </c>
      <c r="C2312" s="1">
        <f>IFERROR(__xludf.DUMMYFUNCTION("""COMPUTED_VALUE"""),62600.0)</f>
        <v>62600</v>
      </c>
      <c r="D2312" s="1">
        <f>IFERROR(__xludf.DUMMYFUNCTION("""COMPUTED_VALUE"""),61500.0)</f>
        <v>61500</v>
      </c>
      <c r="E2312" s="1">
        <f>IFERROR(__xludf.DUMMYFUNCTION("""COMPUTED_VALUE"""),62300.0)</f>
        <v>62300</v>
      </c>
      <c r="F2312" s="1">
        <f>IFERROR(__xludf.DUMMYFUNCTION("""COMPUTED_VALUE"""),20187.0)</f>
        <v>20187</v>
      </c>
    </row>
    <row r="2313">
      <c r="A2313" s="2">
        <f>IFERROR(__xludf.DUMMYFUNCTION("""COMPUTED_VALUE"""),44358.64583333333)</f>
        <v>44358.64583</v>
      </c>
      <c r="B2313" s="1">
        <f>IFERROR(__xludf.DUMMYFUNCTION("""COMPUTED_VALUE"""),62300.0)</f>
        <v>62300</v>
      </c>
      <c r="C2313" s="1">
        <f>IFERROR(__xludf.DUMMYFUNCTION("""COMPUTED_VALUE"""),62500.0)</f>
        <v>62500</v>
      </c>
      <c r="D2313" s="1">
        <f>IFERROR(__xludf.DUMMYFUNCTION("""COMPUTED_VALUE"""),61100.0)</f>
        <v>61100</v>
      </c>
      <c r="E2313" s="1">
        <f>IFERROR(__xludf.DUMMYFUNCTION("""COMPUTED_VALUE"""),61800.0)</f>
        <v>61800</v>
      </c>
      <c r="F2313" s="1">
        <f>IFERROR(__xludf.DUMMYFUNCTION("""COMPUTED_VALUE"""),14336.0)</f>
        <v>14336</v>
      </c>
    </row>
    <row r="2314">
      <c r="A2314" s="2">
        <f>IFERROR(__xludf.DUMMYFUNCTION("""COMPUTED_VALUE"""),44361.64583333333)</f>
        <v>44361.64583</v>
      </c>
      <c r="B2314" s="1">
        <f>IFERROR(__xludf.DUMMYFUNCTION("""COMPUTED_VALUE"""),61900.0)</f>
        <v>61900</v>
      </c>
      <c r="C2314" s="1">
        <f>IFERROR(__xludf.DUMMYFUNCTION("""COMPUTED_VALUE"""),62200.0)</f>
        <v>62200</v>
      </c>
      <c r="D2314" s="1">
        <f>IFERROR(__xludf.DUMMYFUNCTION("""COMPUTED_VALUE"""),60400.0)</f>
        <v>60400</v>
      </c>
      <c r="E2314" s="1">
        <f>IFERROR(__xludf.DUMMYFUNCTION("""COMPUTED_VALUE"""),61400.0)</f>
        <v>61400</v>
      </c>
      <c r="F2314" s="1">
        <f>IFERROR(__xludf.DUMMYFUNCTION("""COMPUTED_VALUE"""),28296.0)</f>
        <v>28296</v>
      </c>
    </row>
    <row r="2315">
      <c r="A2315" s="2">
        <f>IFERROR(__xludf.DUMMYFUNCTION("""COMPUTED_VALUE"""),44362.64583333333)</f>
        <v>44362.64583</v>
      </c>
      <c r="B2315" s="1">
        <f>IFERROR(__xludf.DUMMYFUNCTION("""COMPUTED_VALUE"""),61400.0)</f>
        <v>61400</v>
      </c>
      <c r="C2315" s="1">
        <f>IFERROR(__xludf.DUMMYFUNCTION("""COMPUTED_VALUE"""),61700.0)</f>
        <v>61700</v>
      </c>
      <c r="D2315" s="1">
        <f>IFERROR(__xludf.DUMMYFUNCTION("""COMPUTED_VALUE"""),60700.0)</f>
        <v>60700</v>
      </c>
      <c r="E2315" s="1">
        <f>IFERROR(__xludf.DUMMYFUNCTION("""COMPUTED_VALUE"""),61500.0)</f>
        <v>61500</v>
      </c>
      <c r="F2315" s="1">
        <f>IFERROR(__xludf.DUMMYFUNCTION("""COMPUTED_VALUE"""),21794.0)</f>
        <v>21794</v>
      </c>
    </row>
    <row r="2316">
      <c r="A2316" s="2">
        <f>IFERROR(__xludf.DUMMYFUNCTION("""COMPUTED_VALUE"""),44363.64583333333)</f>
        <v>44363.64583</v>
      </c>
      <c r="B2316" s="1">
        <f>IFERROR(__xludf.DUMMYFUNCTION("""COMPUTED_VALUE"""),62200.0)</f>
        <v>62200</v>
      </c>
      <c r="C2316" s="1">
        <f>IFERROR(__xludf.DUMMYFUNCTION("""COMPUTED_VALUE"""),63100.0)</f>
        <v>63100</v>
      </c>
      <c r="D2316" s="1">
        <f>IFERROR(__xludf.DUMMYFUNCTION("""COMPUTED_VALUE"""),61000.0)</f>
        <v>61000</v>
      </c>
      <c r="E2316" s="1">
        <f>IFERROR(__xludf.DUMMYFUNCTION("""COMPUTED_VALUE"""),61500.0)</f>
        <v>61500</v>
      </c>
      <c r="F2316" s="1">
        <f>IFERROR(__xludf.DUMMYFUNCTION("""COMPUTED_VALUE"""),25676.0)</f>
        <v>25676</v>
      </c>
    </row>
    <row r="2317">
      <c r="A2317" s="2">
        <f>IFERROR(__xludf.DUMMYFUNCTION("""COMPUTED_VALUE"""),44364.64583333333)</f>
        <v>44364.64583</v>
      </c>
      <c r="B2317" s="1">
        <f>IFERROR(__xludf.DUMMYFUNCTION("""COMPUTED_VALUE"""),61300.0)</f>
        <v>61300</v>
      </c>
      <c r="C2317" s="1">
        <f>IFERROR(__xludf.DUMMYFUNCTION("""COMPUTED_VALUE"""),62200.0)</f>
        <v>62200</v>
      </c>
      <c r="D2317" s="1">
        <f>IFERROR(__xludf.DUMMYFUNCTION("""COMPUTED_VALUE"""),60900.0)</f>
        <v>60900</v>
      </c>
      <c r="E2317" s="1">
        <f>IFERROR(__xludf.DUMMYFUNCTION("""COMPUTED_VALUE"""),61700.0)</f>
        <v>61700</v>
      </c>
      <c r="F2317" s="1">
        <f>IFERROR(__xludf.DUMMYFUNCTION("""COMPUTED_VALUE"""),17552.0)</f>
        <v>17552</v>
      </c>
    </row>
    <row r="2318">
      <c r="A2318" s="2">
        <f>IFERROR(__xludf.DUMMYFUNCTION("""COMPUTED_VALUE"""),44365.64583333333)</f>
        <v>44365.64583</v>
      </c>
      <c r="B2318" s="1">
        <f>IFERROR(__xludf.DUMMYFUNCTION("""COMPUTED_VALUE"""),61000.0)</f>
        <v>61000</v>
      </c>
      <c r="C2318" s="1">
        <f>IFERROR(__xludf.DUMMYFUNCTION("""COMPUTED_VALUE"""),61100.0)</f>
        <v>61100</v>
      </c>
      <c r="D2318" s="1">
        <f>IFERROR(__xludf.DUMMYFUNCTION("""COMPUTED_VALUE"""),60100.0)</f>
        <v>60100</v>
      </c>
      <c r="E2318" s="1">
        <f>IFERROR(__xludf.DUMMYFUNCTION("""COMPUTED_VALUE"""),60100.0)</f>
        <v>60100</v>
      </c>
      <c r="F2318" s="1">
        <f>IFERROR(__xludf.DUMMYFUNCTION("""COMPUTED_VALUE"""),30359.0)</f>
        <v>30359</v>
      </c>
    </row>
    <row r="2319">
      <c r="A2319" s="2">
        <f>IFERROR(__xludf.DUMMYFUNCTION("""COMPUTED_VALUE"""),44368.64583333333)</f>
        <v>44368.64583</v>
      </c>
      <c r="B2319" s="1">
        <f>IFERROR(__xludf.DUMMYFUNCTION("""COMPUTED_VALUE"""),59300.0)</f>
        <v>59300</v>
      </c>
      <c r="C2319" s="1">
        <f>IFERROR(__xludf.DUMMYFUNCTION("""COMPUTED_VALUE"""),60900.0)</f>
        <v>60900</v>
      </c>
      <c r="D2319" s="1">
        <f>IFERROR(__xludf.DUMMYFUNCTION("""COMPUTED_VALUE"""),59000.0)</f>
        <v>59000</v>
      </c>
      <c r="E2319" s="1">
        <f>IFERROR(__xludf.DUMMYFUNCTION("""COMPUTED_VALUE"""),60400.0)</f>
        <v>60400</v>
      </c>
      <c r="F2319" s="1">
        <f>IFERROR(__xludf.DUMMYFUNCTION("""COMPUTED_VALUE"""),21407.0)</f>
        <v>21407</v>
      </c>
    </row>
    <row r="2320">
      <c r="A2320" s="2">
        <f>IFERROR(__xludf.DUMMYFUNCTION("""COMPUTED_VALUE"""),44369.64583333333)</f>
        <v>44369.64583</v>
      </c>
      <c r="B2320" s="1">
        <f>IFERROR(__xludf.DUMMYFUNCTION("""COMPUTED_VALUE"""),61800.0)</f>
        <v>61800</v>
      </c>
      <c r="C2320" s="1">
        <f>IFERROR(__xludf.DUMMYFUNCTION("""COMPUTED_VALUE"""),62800.0)</f>
        <v>62800</v>
      </c>
      <c r="D2320" s="1">
        <f>IFERROR(__xludf.DUMMYFUNCTION("""COMPUTED_VALUE"""),61100.0)</f>
        <v>61100</v>
      </c>
      <c r="E2320" s="1">
        <f>IFERROR(__xludf.DUMMYFUNCTION("""COMPUTED_VALUE"""),62700.0)</f>
        <v>62700</v>
      </c>
      <c r="F2320" s="1">
        <f>IFERROR(__xludf.DUMMYFUNCTION("""COMPUTED_VALUE"""),40601.0)</f>
        <v>40601</v>
      </c>
    </row>
    <row r="2321">
      <c r="A2321" s="2">
        <f>IFERROR(__xludf.DUMMYFUNCTION("""COMPUTED_VALUE"""),44370.64583333333)</f>
        <v>44370.64583</v>
      </c>
      <c r="B2321" s="1">
        <f>IFERROR(__xludf.DUMMYFUNCTION("""COMPUTED_VALUE"""),62400.0)</f>
        <v>62400</v>
      </c>
      <c r="C2321" s="1">
        <f>IFERROR(__xludf.DUMMYFUNCTION("""COMPUTED_VALUE"""),62400.0)</f>
        <v>62400</v>
      </c>
      <c r="D2321" s="1">
        <f>IFERROR(__xludf.DUMMYFUNCTION("""COMPUTED_VALUE"""),61500.0)</f>
        <v>61500</v>
      </c>
      <c r="E2321" s="1">
        <f>IFERROR(__xludf.DUMMYFUNCTION("""COMPUTED_VALUE"""),61800.0)</f>
        <v>61800</v>
      </c>
      <c r="F2321" s="1">
        <f>IFERROR(__xludf.DUMMYFUNCTION("""COMPUTED_VALUE"""),14591.0)</f>
        <v>14591</v>
      </c>
    </row>
    <row r="2322">
      <c r="A2322" s="2">
        <f>IFERROR(__xludf.DUMMYFUNCTION("""COMPUTED_VALUE"""),44371.64583333333)</f>
        <v>44371.64583</v>
      </c>
      <c r="B2322" s="1">
        <f>IFERROR(__xludf.DUMMYFUNCTION("""COMPUTED_VALUE"""),61800.0)</f>
        <v>61800</v>
      </c>
      <c r="C2322" s="1">
        <f>IFERROR(__xludf.DUMMYFUNCTION("""COMPUTED_VALUE"""),62500.0)</f>
        <v>62500</v>
      </c>
      <c r="D2322" s="1">
        <f>IFERROR(__xludf.DUMMYFUNCTION("""COMPUTED_VALUE"""),61200.0)</f>
        <v>61200</v>
      </c>
      <c r="E2322" s="1">
        <f>IFERROR(__xludf.DUMMYFUNCTION("""COMPUTED_VALUE"""),61500.0)</f>
        <v>61500</v>
      </c>
      <c r="F2322" s="1">
        <f>IFERROR(__xludf.DUMMYFUNCTION("""COMPUTED_VALUE"""),20489.0)</f>
        <v>20489</v>
      </c>
    </row>
    <row r="2323">
      <c r="A2323" s="2">
        <f>IFERROR(__xludf.DUMMYFUNCTION("""COMPUTED_VALUE"""),44372.64583333333)</f>
        <v>44372.64583</v>
      </c>
      <c r="B2323" s="1">
        <f>IFERROR(__xludf.DUMMYFUNCTION("""COMPUTED_VALUE"""),61800.0)</f>
        <v>61800</v>
      </c>
      <c r="C2323" s="1">
        <f>IFERROR(__xludf.DUMMYFUNCTION("""COMPUTED_VALUE"""),62500.0)</f>
        <v>62500</v>
      </c>
      <c r="D2323" s="1">
        <f>IFERROR(__xludf.DUMMYFUNCTION("""COMPUTED_VALUE"""),61700.0)</f>
        <v>61700</v>
      </c>
      <c r="E2323" s="1">
        <f>IFERROR(__xludf.DUMMYFUNCTION("""COMPUTED_VALUE"""),61900.0)</f>
        <v>61900</v>
      </c>
      <c r="F2323" s="1">
        <f>IFERROR(__xludf.DUMMYFUNCTION("""COMPUTED_VALUE"""),16331.0)</f>
        <v>16331</v>
      </c>
    </row>
    <row r="2324">
      <c r="A2324" s="2">
        <f>IFERROR(__xludf.DUMMYFUNCTION("""COMPUTED_VALUE"""),44375.64583333333)</f>
        <v>44375.64583</v>
      </c>
      <c r="B2324" s="1">
        <f>IFERROR(__xludf.DUMMYFUNCTION("""COMPUTED_VALUE"""),62400.0)</f>
        <v>62400</v>
      </c>
      <c r="C2324" s="1">
        <f>IFERROR(__xludf.DUMMYFUNCTION("""COMPUTED_VALUE"""),62800.0)</f>
        <v>62800</v>
      </c>
      <c r="D2324" s="1">
        <f>IFERROR(__xludf.DUMMYFUNCTION("""COMPUTED_VALUE"""),62200.0)</f>
        <v>62200</v>
      </c>
      <c r="E2324" s="1">
        <f>IFERROR(__xludf.DUMMYFUNCTION("""COMPUTED_VALUE"""),62600.0)</f>
        <v>62600</v>
      </c>
      <c r="F2324" s="1">
        <f>IFERROR(__xludf.DUMMYFUNCTION("""COMPUTED_VALUE"""),31325.0)</f>
        <v>31325</v>
      </c>
    </row>
    <row r="2325">
      <c r="A2325" s="2">
        <f>IFERROR(__xludf.DUMMYFUNCTION("""COMPUTED_VALUE"""),44376.64583333333)</f>
        <v>44376.64583</v>
      </c>
      <c r="B2325" s="1">
        <f>IFERROR(__xludf.DUMMYFUNCTION("""COMPUTED_VALUE"""),61300.0)</f>
        <v>61300</v>
      </c>
      <c r="C2325" s="1">
        <f>IFERROR(__xludf.DUMMYFUNCTION("""COMPUTED_VALUE"""),61800.0)</f>
        <v>61800</v>
      </c>
      <c r="D2325" s="1">
        <f>IFERROR(__xludf.DUMMYFUNCTION("""COMPUTED_VALUE"""),60900.0)</f>
        <v>60900</v>
      </c>
      <c r="E2325" s="1">
        <f>IFERROR(__xludf.DUMMYFUNCTION("""COMPUTED_VALUE"""),61300.0)</f>
        <v>61300</v>
      </c>
      <c r="F2325" s="1">
        <f>IFERROR(__xludf.DUMMYFUNCTION("""COMPUTED_VALUE"""),14174.0)</f>
        <v>14174</v>
      </c>
    </row>
    <row r="2326">
      <c r="A2326" s="2">
        <f>IFERROR(__xludf.DUMMYFUNCTION("""COMPUTED_VALUE"""),44377.64583333333)</f>
        <v>44377.64583</v>
      </c>
      <c r="B2326" s="1">
        <f>IFERROR(__xludf.DUMMYFUNCTION("""COMPUTED_VALUE"""),61400.0)</f>
        <v>61400</v>
      </c>
      <c r="C2326" s="1">
        <f>IFERROR(__xludf.DUMMYFUNCTION("""COMPUTED_VALUE"""),62200.0)</f>
        <v>62200</v>
      </c>
      <c r="D2326" s="1">
        <f>IFERROR(__xludf.DUMMYFUNCTION("""COMPUTED_VALUE"""),60900.0)</f>
        <v>60900</v>
      </c>
      <c r="E2326" s="1">
        <f>IFERROR(__xludf.DUMMYFUNCTION("""COMPUTED_VALUE"""),61300.0)</f>
        <v>61300</v>
      </c>
      <c r="F2326" s="1">
        <f>IFERROR(__xludf.DUMMYFUNCTION("""COMPUTED_VALUE"""),13594.0)</f>
        <v>13594</v>
      </c>
    </row>
    <row r="2327">
      <c r="A2327" s="2">
        <f>IFERROR(__xludf.DUMMYFUNCTION("""COMPUTED_VALUE"""),44379.64583333333)</f>
        <v>44379.64583</v>
      </c>
      <c r="B2327" s="1">
        <f>IFERROR(__xludf.DUMMYFUNCTION("""COMPUTED_VALUE"""),61700.0)</f>
        <v>61700</v>
      </c>
      <c r="C2327" s="1">
        <f>IFERROR(__xludf.DUMMYFUNCTION("""COMPUTED_VALUE"""),63000.0)</f>
        <v>63000</v>
      </c>
      <c r="D2327" s="1">
        <f>IFERROR(__xludf.DUMMYFUNCTION("""COMPUTED_VALUE"""),61400.0)</f>
        <v>61400</v>
      </c>
      <c r="E2327" s="1">
        <f>IFERROR(__xludf.DUMMYFUNCTION("""COMPUTED_VALUE"""),62300.0)</f>
        <v>62300</v>
      </c>
      <c r="F2327" s="1">
        <f>IFERROR(__xludf.DUMMYFUNCTION("""COMPUTED_VALUE"""),23209.0)</f>
        <v>23209</v>
      </c>
    </row>
    <row r="2328">
      <c r="A2328" s="2">
        <f>IFERROR(__xludf.DUMMYFUNCTION("""COMPUTED_VALUE"""),44382.64583333333)</f>
        <v>44382.64583</v>
      </c>
      <c r="B2328" s="1">
        <f>IFERROR(__xludf.DUMMYFUNCTION("""COMPUTED_VALUE"""),62000.0)</f>
        <v>62000</v>
      </c>
      <c r="C2328" s="1">
        <f>IFERROR(__xludf.DUMMYFUNCTION("""COMPUTED_VALUE"""),62700.0)</f>
        <v>62700</v>
      </c>
      <c r="D2328" s="1">
        <f>IFERROR(__xludf.DUMMYFUNCTION("""COMPUTED_VALUE"""),62000.0)</f>
        <v>62000</v>
      </c>
      <c r="E2328" s="1">
        <f>IFERROR(__xludf.DUMMYFUNCTION("""COMPUTED_VALUE"""),62200.0)</f>
        <v>62200</v>
      </c>
      <c r="F2328" s="1">
        <f>IFERROR(__xludf.DUMMYFUNCTION("""COMPUTED_VALUE"""),15816.0)</f>
        <v>15816</v>
      </c>
    </row>
    <row r="2329">
      <c r="A2329" s="2">
        <f>IFERROR(__xludf.DUMMYFUNCTION("""COMPUTED_VALUE"""),44383.64583333333)</f>
        <v>44383.64583</v>
      </c>
      <c r="B2329" s="1">
        <f>IFERROR(__xludf.DUMMYFUNCTION("""COMPUTED_VALUE"""),63000.0)</f>
        <v>63000</v>
      </c>
      <c r="C2329" s="1">
        <f>IFERROR(__xludf.DUMMYFUNCTION("""COMPUTED_VALUE"""),63700.0)</f>
        <v>63700</v>
      </c>
      <c r="D2329" s="1">
        <f>IFERROR(__xludf.DUMMYFUNCTION("""COMPUTED_VALUE"""),62500.0)</f>
        <v>62500</v>
      </c>
      <c r="E2329" s="1">
        <f>IFERROR(__xludf.DUMMYFUNCTION("""COMPUTED_VALUE"""),63500.0)</f>
        <v>63500</v>
      </c>
      <c r="F2329" s="1">
        <f>IFERROR(__xludf.DUMMYFUNCTION("""COMPUTED_VALUE"""),46622.0)</f>
        <v>46622</v>
      </c>
    </row>
    <row r="2330">
      <c r="A2330" s="2">
        <f>IFERROR(__xludf.DUMMYFUNCTION("""COMPUTED_VALUE"""),44384.64583333333)</f>
        <v>44384.64583</v>
      </c>
      <c r="B2330" s="1">
        <f>IFERROR(__xludf.DUMMYFUNCTION("""COMPUTED_VALUE"""),62500.0)</f>
        <v>62500</v>
      </c>
      <c r="C2330" s="1">
        <f>IFERROR(__xludf.DUMMYFUNCTION("""COMPUTED_VALUE"""),62800.0)</f>
        <v>62800</v>
      </c>
      <c r="D2330" s="1">
        <f>IFERROR(__xludf.DUMMYFUNCTION("""COMPUTED_VALUE"""),61600.0)</f>
        <v>61600</v>
      </c>
      <c r="E2330" s="1">
        <f>IFERROR(__xludf.DUMMYFUNCTION("""COMPUTED_VALUE"""),61900.0)</f>
        <v>61900</v>
      </c>
      <c r="F2330" s="1">
        <f>IFERROR(__xludf.DUMMYFUNCTION("""COMPUTED_VALUE"""),22254.0)</f>
        <v>22254</v>
      </c>
    </row>
    <row r="2331">
      <c r="A2331" s="2">
        <f>IFERROR(__xludf.DUMMYFUNCTION("""COMPUTED_VALUE"""),44385.64583333333)</f>
        <v>44385.64583</v>
      </c>
      <c r="B2331" s="1">
        <f>IFERROR(__xludf.DUMMYFUNCTION("""COMPUTED_VALUE"""),61500.0)</f>
        <v>61500</v>
      </c>
      <c r="C2331" s="1">
        <f>IFERROR(__xludf.DUMMYFUNCTION("""COMPUTED_VALUE"""),61900.0)</f>
        <v>61900</v>
      </c>
      <c r="D2331" s="1">
        <f>IFERROR(__xludf.DUMMYFUNCTION("""COMPUTED_VALUE"""),60000.0)</f>
        <v>60000</v>
      </c>
      <c r="E2331" s="1">
        <f>IFERROR(__xludf.DUMMYFUNCTION("""COMPUTED_VALUE"""),61200.0)</f>
        <v>61200</v>
      </c>
      <c r="F2331" s="1">
        <f>IFERROR(__xludf.DUMMYFUNCTION("""COMPUTED_VALUE"""),30929.0)</f>
        <v>30929</v>
      </c>
    </row>
    <row r="2332">
      <c r="A2332" s="2">
        <f>IFERROR(__xludf.DUMMYFUNCTION("""COMPUTED_VALUE"""),44386.64583333333)</f>
        <v>44386.64583</v>
      </c>
      <c r="B2332" s="1">
        <f>IFERROR(__xludf.DUMMYFUNCTION("""COMPUTED_VALUE"""),61000.0)</f>
        <v>61000</v>
      </c>
      <c r="C2332" s="1">
        <f>IFERROR(__xludf.DUMMYFUNCTION("""COMPUTED_VALUE"""),61100.0)</f>
        <v>61100</v>
      </c>
      <c r="D2332" s="1">
        <f>IFERROR(__xludf.DUMMYFUNCTION("""COMPUTED_VALUE"""),59100.0)</f>
        <v>59100</v>
      </c>
      <c r="E2332" s="1">
        <f>IFERROR(__xludf.DUMMYFUNCTION("""COMPUTED_VALUE"""),60300.0)</f>
        <v>60300</v>
      </c>
      <c r="F2332" s="1">
        <f>IFERROR(__xludf.DUMMYFUNCTION("""COMPUTED_VALUE"""),22278.0)</f>
        <v>22278</v>
      </c>
    </row>
    <row r="2333">
      <c r="A2333" s="2">
        <f>IFERROR(__xludf.DUMMYFUNCTION("""COMPUTED_VALUE"""),44389.64583333333)</f>
        <v>44389.64583</v>
      </c>
      <c r="B2333" s="1">
        <f>IFERROR(__xludf.DUMMYFUNCTION("""COMPUTED_VALUE"""),61000.0)</f>
        <v>61000</v>
      </c>
      <c r="C2333" s="1">
        <f>IFERROR(__xludf.DUMMYFUNCTION("""COMPUTED_VALUE"""),61500.0)</f>
        <v>61500</v>
      </c>
      <c r="D2333" s="1">
        <f>IFERROR(__xludf.DUMMYFUNCTION("""COMPUTED_VALUE"""),60800.0)</f>
        <v>60800</v>
      </c>
      <c r="E2333" s="1">
        <f>IFERROR(__xludf.DUMMYFUNCTION("""COMPUTED_VALUE"""),61200.0)</f>
        <v>61200</v>
      </c>
      <c r="F2333" s="1">
        <f>IFERROR(__xludf.DUMMYFUNCTION("""COMPUTED_VALUE"""),8690.0)</f>
        <v>8690</v>
      </c>
    </row>
    <row r="2334">
      <c r="A2334" s="2">
        <f>IFERROR(__xludf.DUMMYFUNCTION("""COMPUTED_VALUE"""),44390.64583333333)</f>
        <v>44390.64583</v>
      </c>
      <c r="B2334" s="1">
        <f>IFERROR(__xludf.DUMMYFUNCTION("""COMPUTED_VALUE"""),61300.0)</f>
        <v>61300</v>
      </c>
      <c r="C2334" s="1">
        <f>IFERROR(__xludf.DUMMYFUNCTION("""COMPUTED_VALUE"""),61500.0)</f>
        <v>61500</v>
      </c>
      <c r="D2334" s="1">
        <f>IFERROR(__xludf.DUMMYFUNCTION("""COMPUTED_VALUE"""),60400.0)</f>
        <v>60400</v>
      </c>
      <c r="E2334" s="1">
        <f>IFERROR(__xludf.DUMMYFUNCTION("""COMPUTED_VALUE"""),60800.0)</f>
        <v>60800</v>
      </c>
      <c r="F2334" s="1">
        <f>IFERROR(__xludf.DUMMYFUNCTION("""COMPUTED_VALUE"""),8018.0)</f>
        <v>8018</v>
      </c>
    </row>
    <row r="2335">
      <c r="A2335" s="2">
        <f>IFERROR(__xludf.DUMMYFUNCTION("""COMPUTED_VALUE"""),44391.64583333333)</f>
        <v>44391.64583</v>
      </c>
      <c r="B2335" s="1">
        <f>IFERROR(__xludf.DUMMYFUNCTION("""COMPUTED_VALUE"""),61000.0)</f>
        <v>61000</v>
      </c>
      <c r="C2335" s="1">
        <f>IFERROR(__xludf.DUMMYFUNCTION("""COMPUTED_VALUE"""),61100.0)</f>
        <v>61100</v>
      </c>
      <c r="D2335" s="1">
        <f>IFERROR(__xludf.DUMMYFUNCTION("""COMPUTED_VALUE"""),59800.0)</f>
        <v>59800</v>
      </c>
      <c r="E2335" s="1">
        <f>IFERROR(__xludf.DUMMYFUNCTION("""COMPUTED_VALUE"""),59800.0)</f>
        <v>59800</v>
      </c>
      <c r="F2335" s="1">
        <f>IFERROR(__xludf.DUMMYFUNCTION("""COMPUTED_VALUE"""),20891.0)</f>
        <v>20891</v>
      </c>
    </row>
    <row r="2336">
      <c r="A2336" s="2">
        <f>IFERROR(__xludf.DUMMYFUNCTION("""COMPUTED_VALUE"""),44392.64583333333)</f>
        <v>44392.64583</v>
      </c>
      <c r="B2336" s="1">
        <f>IFERROR(__xludf.DUMMYFUNCTION("""COMPUTED_VALUE"""),59400.0)</f>
        <v>59400</v>
      </c>
      <c r="C2336" s="1">
        <f>IFERROR(__xludf.DUMMYFUNCTION("""COMPUTED_VALUE"""),59500.0)</f>
        <v>59500</v>
      </c>
      <c r="D2336" s="1">
        <f>IFERROR(__xludf.DUMMYFUNCTION("""COMPUTED_VALUE"""),58200.0)</f>
        <v>58200</v>
      </c>
      <c r="E2336" s="1">
        <f>IFERROR(__xludf.DUMMYFUNCTION("""COMPUTED_VALUE"""),59500.0)</f>
        <v>59500</v>
      </c>
      <c r="F2336" s="1">
        <f>IFERROR(__xludf.DUMMYFUNCTION("""COMPUTED_VALUE"""),23451.0)</f>
        <v>23451</v>
      </c>
    </row>
    <row r="2337">
      <c r="A2337" s="2">
        <f>IFERROR(__xludf.DUMMYFUNCTION("""COMPUTED_VALUE"""),44393.64583333333)</f>
        <v>44393.64583</v>
      </c>
      <c r="B2337" s="1">
        <f>IFERROR(__xludf.DUMMYFUNCTION("""COMPUTED_VALUE"""),59700.0)</f>
        <v>59700</v>
      </c>
      <c r="C2337" s="1">
        <f>IFERROR(__xludf.DUMMYFUNCTION("""COMPUTED_VALUE"""),59700.0)</f>
        <v>59700</v>
      </c>
      <c r="D2337" s="1">
        <f>IFERROR(__xludf.DUMMYFUNCTION("""COMPUTED_VALUE"""),58700.0)</f>
        <v>58700</v>
      </c>
      <c r="E2337" s="1">
        <f>IFERROR(__xludf.DUMMYFUNCTION("""COMPUTED_VALUE"""),59600.0)</f>
        <v>59600</v>
      </c>
      <c r="F2337" s="1">
        <f>IFERROR(__xludf.DUMMYFUNCTION("""COMPUTED_VALUE"""),27526.0)</f>
        <v>27526</v>
      </c>
    </row>
    <row r="2338">
      <c r="A2338" s="2">
        <f>IFERROR(__xludf.DUMMYFUNCTION("""COMPUTED_VALUE"""),44396.64583333333)</f>
        <v>44396.64583</v>
      </c>
      <c r="B2338" s="1">
        <f>IFERROR(__xludf.DUMMYFUNCTION("""COMPUTED_VALUE"""),56000.0)</f>
        <v>56000</v>
      </c>
      <c r="C2338" s="1">
        <f>IFERROR(__xludf.DUMMYFUNCTION("""COMPUTED_VALUE"""),59500.0)</f>
        <v>59500</v>
      </c>
      <c r="D2338" s="1">
        <f>IFERROR(__xludf.DUMMYFUNCTION("""COMPUTED_VALUE"""),56000.0)</f>
        <v>56000</v>
      </c>
      <c r="E2338" s="1">
        <f>IFERROR(__xludf.DUMMYFUNCTION("""COMPUTED_VALUE"""),58900.0)</f>
        <v>58900</v>
      </c>
      <c r="F2338" s="1">
        <f>IFERROR(__xludf.DUMMYFUNCTION("""COMPUTED_VALUE"""),18717.0)</f>
        <v>18717</v>
      </c>
    </row>
    <row r="2339">
      <c r="A2339" s="2">
        <f>IFERROR(__xludf.DUMMYFUNCTION("""COMPUTED_VALUE"""),44397.64583333333)</f>
        <v>44397.64583</v>
      </c>
      <c r="B2339" s="1">
        <f>IFERROR(__xludf.DUMMYFUNCTION("""COMPUTED_VALUE"""),57200.0)</f>
        <v>57200</v>
      </c>
      <c r="C2339" s="1">
        <f>IFERROR(__xludf.DUMMYFUNCTION("""COMPUTED_VALUE"""),57500.0)</f>
        <v>57500</v>
      </c>
      <c r="D2339" s="1">
        <f>IFERROR(__xludf.DUMMYFUNCTION("""COMPUTED_VALUE"""),56000.0)</f>
        <v>56000</v>
      </c>
      <c r="E2339" s="1">
        <f>IFERROR(__xludf.DUMMYFUNCTION("""COMPUTED_VALUE"""),56800.0)</f>
        <v>56800</v>
      </c>
      <c r="F2339" s="1">
        <f>IFERROR(__xludf.DUMMYFUNCTION("""COMPUTED_VALUE"""),42513.0)</f>
        <v>42513</v>
      </c>
    </row>
    <row r="2340">
      <c r="A2340" s="2">
        <f>IFERROR(__xludf.DUMMYFUNCTION("""COMPUTED_VALUE"""),44398.64583333333)</f>
        <v>44398.64583</v>
      </c>
      <c r="B2340" s="1">
        <f>IFERROR(__xludf.DUMMYFUNCTION("""COMPUTED_VALUE"""),57200.0)</f>
        <v>57200</v>
      </c>
      <c r="C2340" s="1">
        <f>IFERROR(__xludf.DUMMYFUNCTION("""COMPUTED_VALUE"""),57600.0)</f>
        <v>57600</v>
      </c>
      <c r="D2340" s="1">
        <f>IFERROR(__xludf.DUMMYFUNCTION("""COMPUTED_VALUE"""),55200.0)</f>
        <v>55200</v>
      </c>
      <c r="E2340" s="1">
        <f>IFERROR(__xludf.DUMMYFUNCTION("""COMPUTED_VALUE"""),55600.0)</f>
        <v>55600</v>
      </c>
      <c r="F2340" s="1">
        <f>IFERROR(__xludf.DUMMYFUNCTION("""COMPUTED_VALUE"""),16240.0)</f>
        <v>16240</v>
      </c>
    </row>
    <row r="2341">
      <c r="A2341" s="2">
        <f>IFERROR(__xludf.DUMMYFUNCTION("""COMPUTED_VALUE"""),44399.64583333333)</f>
        <v>44399.64583</v>
      </c>
      <c r="B2341" s="1">
        <f>IFERROR(__xludf.DUMMYFUNCTION("""COMPUTED_VALUE"""),56500.0)</f>
        <v>56500</v>
      </c>
      <c r="C2341" s="1">
        <f>IFERROR(__xludf.DUMMYFUNCTION("""COMPUTED_VALUE"""),57400.0)</f>
        <v>57400</v>
      </c>
      <c r="D2341" s="1">
        <f>IFERROR(__xludf.DUMMYFUNCTION("""COMPUTED_VALUE"""),56200.0)</f>
        <v>56200</v>
      </c>
      <c r="E2341" s="1">
        <f>IFERROR(__xludf.DUMMYFUNCTION("""COMPUTED_VALUE"""),56500.0)</f>
        <v>56500</v>
      </c>
      <c r="F2341" s="1">
        <f>IFERROR(__xludf.DUMMYFUNCTION("""COMPUTED_VALUE"""),12272.0)</f>
        <v>12272</v>
      </c>
    </row>
    <row r="2342">
      <c r="A2342" s="2">
        <f>IFERROR(__xludf.DUMMYFUNCTION("""COMPUTED_VALUE"""),44400.64583333333)</f>
        <v>44400.64583</v>
      </c>
      <c r="B2342" s="1">
        <f>IFERROR(__xludf.DUMMYFUNCTION("""COMPUTED_VALUE"""),56500.0)</f>
        <v>56500</v>
      </c>
      <c r="C2342" s="1">
        <f>IFERROR(__xludf.DUMMYFUNCTION("""COMPUTED_VALUE"""),57000.0)</f>
        <v>57000</v>
      </c>
      <c r="D2342" s="1">
        <f>IFERROR(__xludf.DUMMYFUNCTION("""COMPUTED_VALUE"""),55800.0)</f>
        <v>55800</v>
      </c>
      <c r="E2342" s="1">
        <f>IFERROR(__xludf.DUMMYFUNCTION("""COMPUTED_VALUE"""),56300.0)</f>
        <v>56300</v>
      </c>
      <c r="F2342" s="1">
        <f>IFERROR(__xludf.DUMMYFUNCTION("""COMPUTED_VALUE"""),12102.0)</f>
        <v>12102</v>
      </c>
    </row>
    <row r="2343">
      <c r="A2343" s="2">
        <f>IFERROR(__xludf.DUMMYFUNCTION("""COMPUTED_VALUE"""),44403.64583333333)</f>
        <v>44403.64583</v>
      </c>
      <c r="B2343" s="1">
        <f>IFERROR(__xludf.DUMMYFUNCTION("""COMPUTED_VALUE"""),56000.0)</f>
        <v>56000</v>
      </c>
      <c r="C2343" s="1">
        <f>IFERROR(__xludf.DUMMYFUNCTION("""COMPUTED_VALUE"""),56500.0)</f>
        <v>56500</v>
      </c>
      <c r="D2343" s="1">
        <f>IFERROR(__xludf.DUMMYFUNCTION("""COMPUTED_VALUE"""),55800.0)</f>
        <v>55800</v>
      </c>
      <c r="E2343" s="1">
        <f>IFERROR(__xludf.DUMMYFUNCTION("""COMPUTED_VALUE"""),56200.0)</f>
        <v>56200</v>
      </c>
      <c r="F2343" s="1">
        <f>IFERROR(__xludf.DUMMYFUNCTION("""COMPUTED_VALUE"""),11053.0)</f>
        <v>11053</v>
      </c>
    </row>
    <row r="2344">
      <c r="A2344" s="2">
        <f>IFERROR(__xludf.DUMMYFUNCTION("""COMPUTED_VALUE"""),44404.64583333333)</f>
        <v>44404.64583</v>
      </c>
      <c r="B2344" s="1">
        <f>IFERROR(__xludf.DUMMYFUNCTION("""COMPUTED_VALUE"""),56300.0)</f>
        <v>56300</v>
      </c>
      <c r="C2344" s="1">
        <f>IFERROR(__xludf.DUMMYFUNCTION("""COMPUTED_VALUE"""),59200.0)</f>
        <v>59200</v>
      </c>
      <c r="D2344" s="1">
        <f>IFERROR(__xludf.DUMMYFUNCTION("""COMPUTED_VALUE"""),56300.0)</f>
        <v>56300</v>
      </c>
      <c r="E2344" s="1">
        <f>IFERROR(__xludf.DUMMYFUNCTION("""COMPUTED_VALUE"""),57500.0)</f>
        <v>57500</v>
      </c>
      <c r="F2344" s="1">
        <f>IFERROR(__xludf.DUMMYFUNCTION("""COMPUTED_VALUE"""),21351.0)</f>
        <v>21351</v>
      </c>
    </row>
    <row r="2345">
      <c r="A2345" s="2">
        <f>IFERROR(__xludf.DUMMYFUNCTION("""COMPUTED_VALUE"""),44405.64583333333)</f>
        <v>44405.64583</v>
      </c>
      <c r="B2345" s="1">
        <f>IFERROR(__xludf.DUMMYFUNCTION("""COMPUTED_VALUE"""),57600.0)</f>
        <v>57600</v>
      </c>
      <c r="C2345" s="1">
        <f>IFERROR(__xludf.DUMMYFUNCTION("""COMPUTED_VALUE"""),58400.0)</f>
        <v>58400</v>
      </c>
      <c r="D2345" s="1">
        <f>IFERROR(__xludf.DUMMYFUNCTION("""COMPUTED_VALUE"""),57100.0)</f>
        <v>57100</v>
      </c>
      <c r="E2345" s="1">
        <f>IFERROR(__xludf.DUMMYFUNCTION("""COMPUTED_VALUE"""),58300.0)</f>
        <v>58300</v>
      </c>
      <c r="F2345" s="1">
        <f>IFERROR(__xludf.DUMMYFUNCTION("""COMPUTED_VALUE"""),15591.0)</f>
        <v>15591</v>
      </c>
    </row>
    <row r="2346">
      <c r="A2346" s="2">
        <f>IFERROR(__xludf.DUMMYFUNCTION("""COMPUTED_VALUE"""),44406.64583333333)</f>
        <v>44406.64583</v>
      </c>
      <c r="B2346" s="1">
        <f>IFERROR(__xludf.DUMMYFUNCTION("""COMPUTED_VALUE"""),58700.0)</f>
        <v>58700</v>
      </c>
      <c r="C2346" s="1">
        <f>IFERROR(__xludf.DUMMYFUNCTION("""COMPUTED_VALUE"""),58700.0)</f>
        <v>58700</v>
      </c>
      <c r="D2346" s="1">
        <f>IFERROR(__xludf.DUMMYFUNCTION("""COMPUTED_VALUE"""),57300.0)</f>
        <v>57300</v>
      </c>
      <c r="E2346" s="1">
        <f>IFERROR(__xludf.DUMMYFUNCTION("""COMPUTED_VALUE"""),57600.0)</f>
        <v>57600</v>
      </c>
      <c r="F2346" s="1">
        <f>IFERROR(__xludf.DUMMYFUNCTION("""COMPUTED_VALUE"""),14620.0)</f>
        <v>14620</v>
      </c>
    </row>
    <row r="2347">
      <c r="A2347" s="2">
        <f>IFERROR(__xludf.DUMMYFUNCTION("""COMPUTED_VALUE"""),44407.64583333333)</f>
        <v>44407.64583</v>
      </c>
      <c r="B2347" s="1">
        <f>IFERROR(__xludf.DUMMYFUNCTION("""COMPUTED_VALUE"""),58000.0)</f>
        <v>58000</v>
      </c>
      <c r="C2347" s="1">
        <f>IFERROR(__xludf.DUMMYFUNCTION("""COMPUTED_VALUE"""),58000.0)</f>
        <v>58000</v>
      </c>
      <c r="D2347" s="1">
        <f>IFERROR(__xludf.DUMMYFUNCTION("""COMPUTED_VALUE"""),55500.0)</f>
        <v>55500</v>
      </c>
      <c r="E2347" s="1">
        <f>IFERROR(__xludf.DUMMYFUNCTION("""COMPUTED_VALUE"""),56300.0)</f>
        <v>56300</v>
      </c>
      <c r="F2347" s="1">
        <f>IFERROR(__xludf.DUMMYFUNCTION("""COMPUTED_VALUE"""),18665.0)</f>
        <v>18665</v>
      </c>
    </row>
    <row r="2348">
      <c r="A2348" s="2">
        <f>IFERROR(__xludf.DUMMYFUNCTION("""COMPUTED_VALUE"""),44410.64583333333)</f>
        <v>44410.64583</v>
      </c>
      <c r="B2348" s="1">
        <f>IFERROR(__xludf.DUMMYFUNCTION("""COMPUTED_VALUE"""),56300.0)</f>
        <v>56300</v>
      </c>
      <c r="C2348" s="1">
        <f>IFERROR(__xludf.DUMMYFUNCTION("""COMPUTED_VALUE"""),57300.0)</f>
        <v>57300</v>
      </c>
      <c r="D2348" s="1">
        <f>IFERROR(__xludf.DUMMYFUNCTION("""COMPUTED_VALUE"""),55900.0)</f>
        <v>55900</v>
      </c>
      <c r="E2348" s="1">
        <f>IFERROR(__xludf.DUMMYFUNCTION("""COMPUTED_VALUE"""),55900.0)</f>
        <v>55900</v>
      </c>
      <c r="F2348" s="1">
        <f>IFERROR(__xludf.DUMMYFUNCTION("""COMPUTED_VALUE"""),13599.0)</f>
        <v>13599</v>
      </c>
    </row>
    <row r="2349">
      <c r="A2349" s="2">
        <f>IFERROR(__xludf.DUMMYFUNCTION("""COMPUTED_VALUE"""),44411.64583333333)</f>
        <v>44411.64583</v>
      </c>
      <c r="B2349" s="1">
        <f>IFERROR(__xludf.DUMMYFUNCTION("""COMPUTED_VALUE"""),55800.0)</f>
        <v>55800</v>
      </c>
      <c r="C2349" s="1">
        <f>IFERROR(__xludf.DUMMYFUNCTION("""COMPUTED_VALUE"""),55800.0)</f>
        <v>55800</v>
      </c>
      <c r="D2349" s="1">
        <f>IFERROR(__xludf.DUMMYFUNCTION("""COMPUTED_VALUE"""),54700.0)</f>
        <v>54700</v>
      </c>
      <c r="E2349" s="1">
        <f>IFERROR(__xludf.DUMMYFUNCTION("""COMPUTED_VALUE"""),55600.0)</f>
        <v>55600</v>
      </c>
      <c r="F2349" s="1">
        <f>IFERROR(__xludf.DUMMYFUNCTION("""COMPUTED_VALUE"""),18002.0)</f>
        <v>18002</v>
      </c>
    </row>
    <row r="2350">
      <c r="A2350" s="2">
        <f>IFERROR(__xludf.DUMMYFUNCTION("""COMPUTED_VALUE"""),44412.64583333333)</f>
        <v>44412.64583</v>
      </c>
      <c r="B2350" s="1">
        <f>IFERROR(__xludf.DUMMYFUNCTION("""COMPUTED_VALUE"""),56100.0)</f>
        <v>56100</v>
      </c>
      <c r="C2350" s="1">
        <f>IFERROR(__xludf.DUMMYFUNCTION("""COMPUTED_VALUE"""),56900.0)</f>
        <v>56900</v>
      </c>
      <c r="D2350" s="1">
        <f>IFERROR(__xludf.DUMMYFUNCTION("""COMPUTED_VALUE"""),55400.0)</f>
        <v>55400</v>
      </c>
      <c r="E2350" s="1">
        <f>IFERROR(__xludf.DUMMYFUNCTION("""COMPUTED_VALUE"""),56600.0)</f>
        <v>56600</v>
      </c>
      <c r="F2350" s="1">
        <f>IFERROR(__xludf.DUMMYFUNCTION("""COMPUTED_VALUE"""),13721.0)</f>
        <v>13721</v>
      </c>
    </row>
    <row r="2351">
      <c r="A2351" s="2">
        <f>IFERROR(__xludf.DUMMYFUNCTION("""COMPUTED_VALUE"""),44413.64583333333)</f>
        <v>44413.64583</v>
      </c>
      <c r="B2351" s="1">
        <f>IFERROR(__xludf.DUMMYFUNCTION("""COMPUTED_VALUE"""),56400.0)</f>
        <v>56400</v>
      </c>
      <c r="C2351" s="1">
        <f>IFERROR(__xludf.DUMMYFUNCTION("""COMPUTED_VALUE"""),56800.0)</f>
        <v>56800</v>
      </c>
      <c r="D2351" s="1">
        <f>IFERROR(__xludf.DUMMYFUNCTION("""COMPUTED_VALUE"""),55700.0)</f>
        <v>55700</v>
      </c>
      <c r="E2351" s="1">
        <f>IFERROR(__xludf.DUMMYFUNCTION("""COMPUTED_VALUE"""),56300.0)</f>
        <v>56300</v>
      </c>
      <c r="F2351" s="1">
        <f>IFERROR(__xludf.DUMMYFUNCTION("""COMPUTED_VALUE"""),12973.0)</f>
        <v>12973</v>
      </c>
    </row>
    <row r="2352">
      <c r="A2352" s="2">
        <f>IFERROR(__xludf.DUMMYFUNCTION("""COMPUTED_VALUE"""),44414.64583333333)</f>
        <v>44414.64583</v>
      </c>
      <c r="B2352" s="1">
        <f>IFERROR(__xludf.DUMMYFUNCTION("""COMPUTED_VALUE"""),56800.0)</f>
        <v>56800</v>
      </c>
      <c r="C2352" s="1">
        <f>IFERROR(__xludf.DUMMYFUNCTION("""COMPUTED_VALUE"""),56800.0)</f>
        <v>56800</v>
      </c>
      <c r="D2352" s="1">
        <f>IFERROR(__xludf.DUMMYFUNCTION("""COMPUTED_VALUE"""),55200.0)</f>
        <v>55200</v>
      </c>
      <c r="E2352" s="1">
        <f>IFERROR(__xludf.DUMMYFUNCTION("""COMPUTED_VALUE"""),55400.0)</f>
        <v>55400</v>
      </c>
      <c r="F2352" s="1">
        <f>IFERROR(__xludf.DUMMYFUNCTION("""COMPUTED_VALUE"""),14153.0)</f>
        <v>14153</v>
      </c>
    </row>
    <row r="2353">
      <c r="A2353" s="2">
        <f>IFERROR(__xludf.DUMMYFUNCTION("""COMPUTED_VALUE"""),44417.64583333333)</f>
        <v>44417.64583</v>
      </c>
      <c r="B2353" s="1">
        <f>IFERROR(__xludf.DUMMYFUNCTION("""COMPUTED_VALUE"""),55400.0)</f>
        <v>55400</v>
      </c>
      <c r="C2353" s="1">
        <f>IFERROR(__xludf.DUMMYFUNCTION("""COMPUTED_VALUE"""),55800.0)</f>
        <v>55800</v>
      </c>
      <c r="D2353" s="1">
        <f>IFERROR(__xludf.DUMMYFUNCTION("""COMPUTED_VALUE"""),54300.0)</f>
        <v>54300</v>
      </c>
      <c r="E2353" s="1">
        <f>IFERROR(__xludf.DUMMYFUNCTION("""COMPUTED_VALUE"""),54600.0)</f>
        <v>54600</v>
      </c>
      <c r="F2353" s="1">
        <f>IFERROR(__xludf.DUMMYFUNCTION("""COMPUTED_VALUE"""),21365.0)</f>
        <v>21365</v>
      </c>
    </row>
    <row r="2354">
      <c r="A2354" s="2">
        <f>IFERROR(__xludf.DUMMYFUNCTION("""COMPUTED_VALUE"""),44418.64583333333)</f>
        <v>44418.64583</v>
      </c>
      <c r="B2354" s="1">
        <f>IFERROR(__xludf.DUMMYFUNCTION("""COMPUTED_VALUE"""),54600.0)</f>
        <v>54600</v>
      </c>
      <c r="C2354" s="1">
        <f>IFERROR(__xludf.DUMMYFUNCTION("""COMPUTED_VALUE"""),55100.0)</f>
        <v>55100</v>
      </c>
      <c r="D2354" s="1">
        <f>IFERROR(__xludf.DUMMYFUNCTION("""COMPUTED_VALUE"""),53400.0)</f>
        <v>53400</v>
      </c>
      <c r="E2354" s="1">
        <f>IFERROR(__xludf.DUMMYFUNCTION("""COMPUTED_VALUE"""),54900.0)</f>
        <v>54900</v>
      </c>
      <c r="F2354" s="1">
        <f>IFERROR(__xludf.DUMMYFUNCTION("""COMPUTED_VALUE"""),22537.0)</f>
        <v>22537</v>
      </c>
    </row>
    <row r="2355">
      <c r="A2355" s="2">
        <f>IFERROR(__xludf.DUMMYFUNCTION("""COMPUTED_VALUE"""),44419.64583333333)</f>
        <v>44419.64583</v>
      </c>
      <c r="B2355" s="1">
        <f>IFERROR(__xludf.DUMMYFUNCTION("""COMPUTED_VALUE"""),55000.0)</f>
        <v>55000</v>
      </c>
      <c r="C2355" s="1">
        <f>IFERROR(__xludf.DUMMYFUNCTION("""COMPUTED_VALUE"""),55400.0)</f>
        <v>55400</v>
      </c>
      <c r="D2355" s="1">
        <f>IFERROR(__xludf.DUMMYFUNCTION("""COMPUTED_VALUE"""),54200.0)</f>
        <v>54200</v>
      </c>
      <c r="E2355" s="1">
        <f>IFERROR(__xludf.DUMMYFUNCTION("""COMPUTED_VALUE"""),54800.0)</f>
        <v>54800</v>
      </c>
      <c r="F2355" s="1">
        <f>IFERROR(__xludf.DUMMYFUNCTION("""COMPUTED_VALUE"""),15963.0)</f>
        <v>15963</v>
      </c>
    </row>
    <row r="2356">
      <c r="A2356" s="2">
        <f>IFERROR(__xludf.DUMMYFUNCTION("""COMPUTED_VALUE"""),44420.64583333333)</f>
        <v>44420.64583</v>
      </c>
      <c r="B2356" s="1">
        <f>IFERROR(__xludf.DUMMYFUNCTION("""COMPUTED_VALUE"""),54900.0)</f>
        <v>54900</v>
      </c>
      <c r="C2356" s="1">
        <f>IFERROR(__xludf.DUMMYFUNCTION("""COMPUTED_VALUE"""),55200.0)</f>
        <v>55200</v>
      </c>
      <c r="D2356" s="1">
        <f>IFERROR(__xludf.DUMMYFUNCTION("""COMPUTED_VALUE"""),54300.0)</f>
        <v>54300</v>
      </c>
      <c r="E2356" s="1">
        <f>IFERROR(__xludf.DUMMYFUNCTION("""COMPUTED_VALUE"""),54300.0)</f>
        <v>54300</v>
      </c>
      <c r="F2356" s="1">
        <f>IFERROR(__xludf.DUMMYFUNCTION("""COMPUTED_VALUE"""),7351.0)</f>
        <v>7351</v>
      </c>
    </row>
    <row r="2357">
      <c r="A2357" s="2">
        <f>IFERROR(__xludf.DUMMYFUNCTION("""COMPUTED_VALUE"""),44421.64583333333)</f>
        <v>44421.64583</v>
      </c>
      <c r="B2357" s="1">
        <f>IFERROR(__xludf.DUMMYFUNCTION("""COMPUTED_VALUE"""),53900.0)</f>
        <v>53900</v>
      </c>
      <c r="C2357" s="1">
        <f>IFERROR(__xludf.DUMMYFUNCTION("""COMPUTED_VALUE"""),54700.0)</f>
        <v>54700</v>
      </c>
      <c r="D2357" s="1">
        <f>IFERROR(__xludf.DUMMYFUNCTION("""COMPUTED_VALUE"""),53200.0)</f>
        <v>53200</v>
      </c>
      <c r="E2357" s="1">
        <f>IFERROR(__xludf.DUMMYFUNCTION("""COMPUTED_VALUE"""),54000.0)</f>
        <v>54000</v>
      </c>
      <c r="F2357" s="1">
        <f>IFERROR(__xludf.DUMMYFUNCTION("""COMPUTED_VALUE"""),14787.0)</f>
        <v>14787</v>
      </c>
    </row>
    <row r="2358">
      <c r="A2358" s="2">
        <f>IFERROR(__xludf.DUMMYFUNCTION("""COMPUTED_VALUE"""),44425.64583333333)</f>
        <v>44425.64583</v>
      </c>
      <c r="B2358" s="1">
        <f>IFERROR(__xludf.DUMMYFUNCTION("""COMPUTED_VALUE"""),54700.0)</f>
        <v>54700</v>
      </c>
      <c r="C2358" s="1">
        <f>IFERROR(__xludf.DUMMYFUNCTION("""COMPUTED_VALUE"""),54800.0)</f>
        <v>54800</v>
      </c>
      <c r="D2358" s="1">
        <f>IFERROR(__xludf.DUMMYFUNCTION("""COMPUTED_VALUE"""),51700.0)</f>
        <v>51700</v>
      </c>
      <c r="E2358" s="1">
        <f>IFERROR(__xludf.DUMMYFUNCTION("""COMPUTED_VALUE"""),52600.0)</f>
        <v>52600</v>
      </c>
      <c r="F2358" s="1">
        <f>IFERROR(__xludf.DUMMYFUNCTION("""COMPUTED_VALUE"""),17573.0)</f>
        <v>17573</v>
      </c>
    </row>
    <row r="2359">
      <c r="A2359" s="2">
        <f>IFERROR(__xludf.DUMMYFUNCTION("""COMPUTED_VALUE"""),44426.64583333333)</f>
        <v>44426.64583</v>
      </c>
      <c r="B2359" s="1">
        <f>IFERROR(__xludf.DUMMYFUNCTION("""COMPUTED_VALUE"""),52600.0)</f>
        <v>52600</v>
      </c>
      <c r="C2359" s="1">
        <f>IFERROR(__xludf.DUMMYFUNCTION("""COMPUTED_VALUE"""),54000.0)</f>
        <v>54000</v>
      </c>
      <c r="D2359" s="1">
        <f>IFERROR(__xludf.DUMMYFUNCTION("""COMPUTED_VALUE"""),50000.0)</f>
        <v>50000</v>
      </c>
      <c r="E2359" s="1">
        <f>IFERROR(__xludf.DUMMYFUNCTION("""COMPUTED_VALUE"""),53800.0)</f>
        <v>53800</v>
      </c>
      <c r="F2359" s="1">
        <f>IFERROR(__xludf.DUMMYFUNCTION("""COMPUTED_VALUE"""),9198.0)</f>
        <v>9198</v>
      </c>
    </row>
    <row r="2360">
      <c r="A2360" s="2">
        <f>IFERROR(__xludf.DUMMYFUNCTION("""COMPUTED_VALUE"""),44427.64583333333)</f>
        <v>44427.64583</v>
      </c>
      <c r="B2360" s="1">
        <f>IFERROR(__xludf.DUMMYFUNCTION("""COMPUTED_VALUE"""),52300.0)</f>
        <v>52300</v>
      </c>
      <c r="C2360" s="1">
        <f>IFERROR(__xludf.DUMMYFUNCTION("""COMPUTED_VALUE"""),53500.0)</f>
        <v>53500</v>
      </c>
      <c r="D2360" s="1">
        <f>IFERROR(__xludf.DUMMYFUNCTION("""COMPUTED_VALUE"""),51300.0)</f>
        <v>51300</v>
      </c>
      <c r="E2360" s="1">
        <f>IFERROR(__xludf.DUMMYFUNCTION("""COMPUTED_VALUE"""),51700.0)</f>
        <v>51700</v>
      </c>
      <c r="F2360" s="1">
        <f>IFERROR(__xludf.DUMMYFUNCTION("""COMPUTED_VALUE"""),19328.0)</f>
        <v>19328</v>
      </c>
    </row>
    <row r="2361">
      <c r="A2361" s="2">
        <f>IFERROR(__xludf.DUMMYFUNCTION("""COMPUTED_VALUE"""),44428.64583333333)</f>
        <v>44428.64583</v>
      </c>
      <c r="B2361" s="1">
        <f>IFERROR(__xludf.DUMMYFUNCTION("""COMPUTED_VALUE"""),51700.0)</f>
        <v>51700</v>
      </c>
      <c r="C2361" s="1">
        <f>IFERROR(__xludf.DUMMYFUNCTION("""COMPUTED_VALUE"""),52100.0)</f>
        <v>52100</v>
      </c>
      <c r="D2361" s="1">
        <f>IFERROR(__xludf.DUMMYFUNCTION("""COMPUTED_VALUE"""),50600.0)</f>
        <v>50600</v>
      </c>
      <c r="E2361" s="1">
        <f>IFERROR(__xludf.DUMMYFUNCTION("""COMPUTED_VALUE"""),51100.0)</f>
        <v>51100</v>
      </c>
      <c r="F2361" s="1">
        <f>IFERROR(__xludf.DUMMYFUNCTION("""COMPUTED_VALUE"""),16983.0)</f>
        <v>16983</v>
      </c>
    </row>
    <row r="2362">
      <c r="A2362" s="2">
        <f>IFERROR(__xludf.DUMMYFUNCTION("""COMPUTED_VALUE"""),44431.64583333333)</f>
        <v>44431.64583</v>
      </c>
      <c r="B2362" s="1">
        <f>IFERROR(__xludf.DUMMYFUNCTION("""COMPUTED_VALUE"""),51300.0)</f>
        <v>51300</v>
      </c>
      <c r="C2362" s="1">
        <f>IFERROR(__xludf.DUMMYFUNCTION("""COMPUTED_VALUE"""),53300.0)</f>
        <v>53300</v>
      </c>
      <c r="D2362" s="1">
        <f>IFERROR(__xludf.DUMMYFUNCTION("""COMPUTED_VALUE"""),50900.0)</f>
        <v>50900</v>
      </c>
      <c r="E2362" s="1">
        <f>IFERROR(__xludf.DUMMYFUNCTION("""COMPUTED_VALUE"""),53100.0)</f>
        <v>53100</v>
      </c>
      <c r="F2362" s="1">
        <f>IFERROR(__xludf.DUMMYFUNCTION("""COMPUTED_VALUE"""),21343.0)</f>
        <v>21343</v>
      </c>
    </row>
    <row r="2363">
      <c r="A2363" s="2">
        <f>IFERROR(__xludf.DUMMYFUNCTION("""COMPUTED_VALUE"""),44432.64583333333)</f>
        <v>44432.64583</v>
      </c>
      <c r="B2363" s="1">
        <f>IFERROR(__xludf.DUMMYFUNCTION("""COMPUTED_VALUE"""),54000.0)</f>
        <v>54000</v>
      </c>
      <c r="C2363" s="1">
        <f>IFERROR(__xludf.DUMMYFUNCTION("""COMPUTED_VALUE"""),55000.0)</f>
        <v>55000</v>
      </c>
      <c r="D2363" s="1">
        <f>IFERROR(__xludf.DUMMYFUNCTION("""COMPUTED_VALUE"""),53200.0)</f>
        <v>53200</v>
      </c>
      <c r="E2363" s="1">
        <f>IFERROR(__xludf.DUMMYFUNCTION("""COMPUTED_VALUE"""),53900.0)</f>
        <v>53900</v>
      </c>
      <c r="F2363" s="1">
        <f>IFERROR(__xludf.DUMMYFUNCTION("""COMPUTED_VALUE"""),8975.0)</f>
        <v>8975</v>
      </c>
    </row>
    <row r="2364">
      <c r="A2364" s="2">
        <f>IFERROR(__xludf.DUMMYFUNCTION("""COMPUTED_VALUE"""),44433.64583333333)</f>
        <v>44433.64583</v>
      </c>
      <c r="B2364" s="1">
        <f>IFERROR(__xludf.DUMMYFUNCTION("""COMPUTED_VALUE"""),54400.0)</f>
        <v>54400</v>
      </c>
      <c r="C2364" s="1">
        <f>IFERROR(__xludf.DUMMYFUNCTION("""COMPUTED_VALUE"""),54400.0)</f>
        <v>54400</v>
      </c>
      <c r="D2364" s="1">
        <f>IFERROR(__xludf.DUMMYFUNCTION("""COMPUTED_VALUE"""),53300.0)</f>
        <v>53300</v>
      </c>
      <c r="E2364" s="1">
        <f>IFERROR(__xludf.DUMMYFUNCTION("""COMPUTED_VALUE"""),54000.0)</f>
        <v>54000</v>
      </c>
      <c r="F2364" s="1">
        <f>IFERROR(__xludf.DUMMYFUNCTION("""COMPUTED_VALUE"""),8169.0)</f>
        <v>8169</v>
      </c>
    </row>
    <row r="2365">
      <c r="A2365" s="2">
        <f>IFERROR(__xludf.DUMMYFUNCTION("""COMPUTED_VALUE"""),44434.64583333333)</f>
        <v>44434.64583</v>
      </c>
      <c r="B2365" s="1">
        <f>IFERROR(__xludf.DUMMYFUNCTION("""COMPUTED_VALUE"""),54200.0)</f>
        <v>54200</v>
      </c>
      <c r="C2365" s="1">
        <f>IFERROR(__xludf.DUMMYFUNCTION("""COMPUTED_VALUE"""),54300.0)</f>
        <v>54300</v>
      </c>
      <c r="D2365" s="1">
        <f>IFERROR(__xludf.DUMMYFUNCTION("""COMPUTED_VALUE"""),53400.0)</f>
        <v>53400</v>
      </c>
      <c r="E2365" s="1">
        <f>IFERROR(__xludf.DUMMYFUNCTION("""COMPUTED_VALUE"""),53900.0)</f>
        <v>53900</v>
      </c>
      <c r="F2365" s="1">
        <f>IFERROR(__xludf.DUMMYFUNCTION("""COMPUTED_VALUE"""),7302.0)</f>
        <v>7302</v>
      </c>
    </row>
    <row r="2366">
      <c r="A2366" s="2">
        <f>IFERROR(__xludf.DUMMYFUNCTION("""COMPUTED_VALUE"""),44435.64583333333)</f>
        <v>44435.64583</v>
      </c>
      <c r="B2366" s="1">
        <f>IFERROR(__xludf.DUMMYFUNCTION("""COMPUTED_VALUE"""),53500.0)</f>
        <v>53500</v>
      </c>
      <c r="C2366" s="1">
        <f>IFERROR(__xludf.DUMMYFUNCTION("""COMPUTED_VALUE"""),54100.0)</f>
        <v>54100</v>
      </c>
      <c r="D2366" s="1">
        <f>IFERROR(__xludf.DUMMYFUNCTION("""COMPUTED_VALUE"""),53000.0)</f>
        <v>53000</v>
      </c>
      <c r="E2366" s="1">
        <f>IFERROR(__xludf.DUMMYFUNCTION("""COMPUTED_VALUE"""),54000.0)</f>
        <v>54000</v>
      </c>
      <c r="F2366" s="1">
        <f>IFERROR(__xludf.DUMMYFUNCTION("""COMPUTED_VALUE"""),6468.0)</f>
        <v>6468</v>
      </c>
    </row>
    <row r="2367">
      <c r="A2367" s="2">
        <f>IFERROR(__xludf.DUMMYFUNCTION("""COMPUTED_VALUE"""),44438.64583333333)</f>
        <v>44438.64583</v>
      </c>
      <c r="B2367" s="1">
        <f>IFERROR(__xludf.DUMMYFUNCTION("""COMPUTED_VALUE"""),54900.0)</f>
        <v>54900</v>
      </c>
      <c r="C2367" s="1">
        <f>IFERROR(__xludf.DUMMYFUNCTION("""COMPUTED_VALUE"""),55700.0)</f>
        <v>55700</v>
      </c>
      <c r="D2367" s="1">
        <f>IFERROR(__xludf.DUMMYFUNCTION("""COMPUTED_VALUE"""),54100.0)</f>
        <v>54100</v>
      </c>
      <c r="E2367" s="1">
        <f>IFERROR(__xludf.DUMMYFUNCTION("""COMPUTED_VALUE"""),55300.0)</f>
        <v>55300</v>
      </c>
      <c r="F2367" s="1">
        <f>IFERROR(__xludf.DUMMYFUNCTION("""COMPUTED_VALUE"""),13333.0)</f>
        <v>13333</v>
      </c>
    </row>
    <row r="2368">
      <c r="A2368" s="2">
        <f>IFERROR(__xludf.DUMMYFUNCTION("""COMPUTED_VALUE"""),44439.64583333333)</f>
        <v>44439.64583</v>
      </c>
      <c r="B2368" s="1">
        <f>IFERROR(__xludf.DUMMYFUNCTION("""COMPUTED_VALUE"""),55300.0)</f>
        <v>55300</v>
      </c>
      <c r="C2368" s="1">
        <f>IFERROR(__xludf.DUMMYFUNCTION("""COMPUTED_VALUE"""),55300.0)</f>
        <v>55300</v>
      </c>
      <c r="D2368" s="1">
        <f>IFERROR(__xludf.DUMMYFUNCTION("""COMPUTED_VALUE"""),54600.0)</f>
        <v>54600</v>
      </c>
      <c r="E2368" s="1">
        <f>IFERROR(__xludf.DUMMYFUNCTION("""COMPUTED_VALUE"""),55200.0)</f>
        <v>55200</v>
      </c>
      <c r="F2368" s="1">
        <f>IFERROR(__xludf.DUMMYFUNCTION("""COMPUTED_VALUE"""),9129.0)</f>
        <v>9129</v>
      </c>
    </row>
    <row r="2369">
      <c r="A2369" s="2">
        <f>IFERROR(__xludf.DUMMYFUNCTION("""COMPUTED_VALUE"""),44440.64583333333)</f>
        <v>44440.64583</v>
      </c>
      <c r="B2369" s="1">
        <f>IFERROR(__xludf.DUMMYFUNCTION("""COMPUTED_VALUE"""),55100.0)</f>
        <v>55100</v>
      </c>
      <c r="C2369" s="1">
        <f>IFERROR(__xludf.DUMMYFUNCTION("""COMPUTED_VALUE"""),55100.0)</f>
        <v>55100</v>
      </c>
      <c r="D2369" s="1">
        <f>IFERROR(__xludf.DUMMYFUNCTION("""COMPUTED_VALUE"""),54700.0)</f>
        <v>54700</v>
      </c>
      <c r="E2369" s="1">
        <f>IFERROR(__xludf.DUMMYFUNCTION("""COMPUTED_VALUE"""),54800.0)</f>
        <v>54800</v>
      </c>
      <c r="F2369" s="1">
        <f>IFERROR(__xludf.DUMMYFUNCTION("""COMPUTED_VALUE"""),3351.0)</f>
        <v>3351</v>
      </c>
    </row>
    <row r="2370">
      <c r="A2370" s="2">
        <f>IFERROR(__xludf.DUMMYFUNCTION("""COMPUTED_VALUE"""),44441.64583333333)</f>
        <v>44441.64583</v>
      </c>
      <c r="B2370" s="1">
        <f>IFERROR(__xludf.DUMMYFUNCTION("""COMPUTED_VALUE"""),55100.0)</f>
        <v>55100</v>
      </c>
      <c r="C2370" s="1">
        <f>IFERROR(__xludf.DUMMYFUNCTION("""COMPUTED_VALUE"""),55100.0)</f>
        <v>55100</v>
      </c>
      <c r="D2370" s="1">
        <f>IFERROR(__xludf.DUMMYFUNCTION("""COMPUTED_VALUE"""),54000.0)</f>
        <v>54000</v>
      </c>
      <c r="E2370" s="1">
        <f>IFERROR(__xludf.DUMMYFUNCTION("""COMPUTED_VALUE"""),54800.0)</f>
        <v>54800</v>
      </c>
      <c r="F2370" s="1">
        <f>IFERROR(__xludf.DUMMYFUNCTION("""COMPUTED_VALUE"""),5155.0)</f>
        <v>5155</v>
      </c>
    </row>
    <row r="2371">
      <c r="A2371" s="2">
        <f>IFERROR(__xludf.DUMMYFUNCTION("""COMPUTED_VALUE"""),44442.64583333333)</f>
        <v>44442.64583</v>
      </c>
      <c r="B2371" s="1">
        <f>IFERROR(__xludf.DUMMYFUNCTION("""COMPUTED_VALUE"""),55100.0)</f>
        <v>55100</v>
      </c>
      <c r="C2371" s="1">
        <f>IFERROR(__xludf.DUMMYFUNCTION("""COMPUTED_VALUE"""),55200.0)</f>
        <v>55200</v>
      </c>
      <c r="D2371" s="1">
        <f>IFERROR(__xludf.DUMMYFUNCTION("""COMPUTED_VALUE"""),54700.0)</f>
        <v>54700</v>
      </c>
      <c r="E2371" s="1">
        <f>IFERROR(__xludf.DUMMYFUNCTION("""COMPUTED_VALUE"""),55200.0)</f>
        <v>55200</v>
      </c>
      <c r="F2371" s="1">
        <f>IFERROR(__xludf.DUMMYFUNCTION("""COMPUTED_VALUE"""),6506.0)</f>
        <v>6506</v>
      </c>
    </row>
    <row r="2372">
      <c r="A2372" s="2">
        <f>IFERROR(__xludf.DUMMYFUNCTION("""COMPUTED_VALUE"""),44445.64583333333)</f>
        <v>44445.64583</v>
      </c>
      <c r="B2372" s="1">
        <f>IFERROR(__xludf.DUMMYFUNCTION("""COMPUTED_VALUE"""),55200.0)</f>
        <v>55200</v>
      </c>
      <c r="C2372" s="1">
        <f>IFERROR(__xludf.DUMMYFUNCTION("""COMPUTED_VALUE"""),55200.0)</f>
        <v>55200</v>
      </c>
      <c r="D2372" s="1">
        <f>IFERROR(__xludf.DUMMYFUNCTION("""COMPUTED_VALUE"""),54300.0)</f>
        <v>54300</v>
      </c>
      <c r="E2372" s="1">
        <f>IFERROR(__xludf.DUMMYFUNCTION("""COMPUTED_VALUE"""),54800.0)</f>
        <v>54800</v>
      </c>
      <c r="F2372" s="1">
        <f>IFERROR(__xludf.DUMMYFUNCTION("""COMPUTED_VALUE"""),6689.0)</f>
        <v>6689</v>
      </c>
    </row>
    <row r="2373">
      <c r="A2373" s="2">
        <f>IFERROR(__xludf.DUMMYFUNCTION("""COMPUTED_VALUE"""),44446.64583333333)</f>
        <v>44446.64583</v>
      </c>
      <c r="B2373" s="1">
        <f>IFERROR(__xludf.DUMMYFUNCTION("""COMPUTED_VALUE"""),54800.0)</f>
        <v>54800</v>
      </c>
      <c r="C2373" s="1">
        <f>IFERROR(__xludf.DUMMYFUNCTION("""COMPUTED_VALUE"""),55500.0)</f>
        <v>55500</v>
      </c>
      <c r="D2373" s="1">
        <f>IFERROR(__xludf.DUMMYFUNCTION("""COMPUTED_VALUE"""),54200.0)</f>
        <v>54200</v>
      </c>
      <c r="E2373" s="1">
        <f>IFERROR(__xludf.DUMMYFUNCTION("""COMPUTED_VALUE"""),55100.0)</f>
        <v>55100</v>
      </c>
      <c r="F2373" s="1">
        <f>IFERROR(__xludf.DUMMYFUNCTION("""COMPUTED_VALUE"""),5268.0)</f>
        <v>5268</v>
      </c>
    </row>
    <row r="2374">
      <c r="A2374" s="2">
        <f>IFERROR(__xludf.DUMMYFUNCTION("""COMPUTED_VALUE"""),44447.64583333333)</f>
        <v>44447.64583</v>
      </c>
      <c r="B2374" s="1">
        <f>IFERROR(__xludf.DUMMYFUNCTION("""COMPUTED_VALUE"""),55100.0)</f>
        <v>55100</v>
      </c>
      <c r="C2374" s="1">
        <f>IFERROR(__xludf.DUMMYFUNCTION("""COMPUTED_VALUE"""),58200.0)</f>
        <v>58200</v>
      </c>
      <c r="D2374" s="1">
        <f>IFERROR(__xludf.DUMMYFUNCTION("""COMPUTED_VALUE"""),54500.0)</f>
        <v>54500</v>
      </c>
      <c r="E2374" s="1">
        <f>IFERROR(__xludf.DUMMYFUNCTION("""COMPUTED_VALUE"""),56900.0)</f>
        <v>56900</v>
      </c>
      <c r="F2374" s="1">
        <f>IFERROR(__xludf.DUMMYFUNCTION("""COMPUTED_VALUE"""),25840.0)</f>
        <v>25840</v>
      </c>
    </row>
    <row r="2375">
      <c r="A2375" s="2">
        <f>IFERROR(__xludf.DUMMYFUNCTION("""COMPUTED_VALUE"""),44448.64583333333)</f>
        <v>44448.64583</v>
      </c>
      <c r="B2375" s="1">
        <f>IFERROR(__xludf.DUMMYFUNCTION("""COMPUTED_VALUE"""),56800.0)</f>
        <v>56800</v>
      </c>
      <c r="C2375" s="1">
        <f>IFERROR(__xludf.DUMMYFUNCTION("""COMPUTED_VALUE"""),56900.0)</f>
        <v>56900</v>
      </c>
      <c r="D2375" s="1">
        <f>IFERROR(__xludf.DUMMYFUNCTION("""COMPUTED_VALUE"""),56200.0)</f>
        <v>56200</v>
      </c>
      <c r="E2375" s="1">
        <f>IFERROR(__xludf.DUMMYFUNCTION("""COMPUTED_VALUE"""),56400.0)</f>
        <v>56400</v>
      </c>
      <c r="F2375" s="1">
        <f>IFERROR(__xludf.DUMMYFUNCTION("""COMPUTED_VALUE"""),5722.0)</f>
        <v>5722</v>
      </c>
    </row>
    <row r="2376">
      <c r="A2376" s="2">
        <f>IFERROR(__xludf.DUMMYFUNCTION("""COMPUTED_VALUE"""),44449.64583333333)</f>
        <v>44449.64583</v>
      </c>
      <c r="B2376" s="1">
        <f>IFERROR(__xludf.DUMMYFUNCTION("""COMPUTED_VALUE"""),56100.0)</f>
        <v>56100</v>
      </c>
      <c r="C2376" s="1">
        <f>IFERROR(__xludf.DUMMYFUNCTION("""COMPUTED_VALUE"""),56900.0)</f>
        <v>56900</v>
      </c>
      <c r="D2376" s="1">
        <f>IFERROR(__xludf.DUMMYFUNCTION("""COMPUTED_VALUE"""),55500.0)</f>
        <v>55500</v>
      </c>
      <c r="E2376" s="1">
        <f>IFERROR(__xludf.DUMMYFUNCTION("""COMPUTED_VALUE"""),56800.0)</f>
        <v>56800</v>
      </c>
      <c r="F2376" s="1">
        <f>IFERROR(__xludf.DUMMYFUNCTION("""COMPUTED_VALUE"""),8858.0)</f>
        <v>8858</v>
      </c>
    </row>
    <row r="2377">
      <c r="A2377" s="2">
        <f>IFERROR(__xludf.DUMMYFUNCTION("""COMPUTED_VALUE"""),44452.64583333333)</f>
        <v>44452.64583</v>
      </c>
      <c r="B2377" s="1">
        <f>IFERROR(__xludf.DUMMYFUNCTION("""COMPUTED_VALUE"""),56600.0)</f>
        <v>56600</v>
      </c>
      <c r="C2377" s="1">
        <f>IFERROR(__xludf.DUMMYFUNCTION("""COMPUTED_VALUE"""),58000.0)</f>
        <v>58000</v>
      </c>
      <c r="D2377" s="1">
        <f>IFERROR(__xludf.DUMMYFUNCTION("""COMPUTED_VALUE"""),56600.0)</f>
        <v>56600</v>
      </c>
      <c r="E2377" s="1">
        <f>IFERROR(__xludf.DUMMYFUNCTION("""COMPUTED_VALUE"""),57200.0)</f>
        <v>57200</v>
      </c>
      <c r="F2377" s="1">
        <f>IFERROR(__xludf.DUMMYFUNCTION("""COMPUTED_VALUE"""),15721.0)</f>
        <v>15721</v>
      </c>
    </row>
    <row r="2378">
      <c r="A2378" s="2">
        <f>IFERROR(__xludf.DUMMYFUNCTION("""COMPUTED_VALUE"""),44453.64583333333)</f>
        <v>44453.64583</v>
      </c>
      <c r="B2378" s="1">
        <f>IFERROR(__xludf.DUMMYFUNCTION("""COMPUTED_VALUE"""),58100.0)</f>
        <v>58100</v>
      </c>
      <c r="C2378" s="1">
        <f>IFERROR(__xludf.DUMMYFUNCTION("""COMPUTED_VALUE"""),58900.0)</f>
        <v>58900</v>
      </c>
      <c r="D2378" s="1">
        <f>IFERROR(__xludf.DUMMYFUNCTION("""COMPUTED_VALUE"""),58000.0)</f>
        <v>58000</v>
      </c>
      <c r="E2378" s="1">
        <f>IFERROR(__xludf.DUMMYFUNCTION("""COMPUTED_VALUE"""),58700.0)</f>
        <v>58700</v>
      </c>
      <c r="F2378" s="1">
        <f>IFERROR(__xludf.DUMMYFUNCTION("""COMPUTED_VALUE"""),21009.0)</f>
        <v>21009</v>
      </c>
    </row>
    <row r="2379">
      <c r="A2379" s="2">
        <f>IFERROR(__xludf.DUMMYFUNCTION("""COMPUTED_VALUE"""),44454.64583333333)</f>
        <v>44454.64583</v>
      </c>
      <c r="B2379" s="1">
        <f>IFERROR(__xludf.DUMMYFUNCTION("""COMPUTED_VALUE"""),58600.0)</f>
        <v>58600</v>
      </c>
      <c r="C2379" s="1">
        <f>IFERROR(__xludf.DUMMYFUNCTION("""COMPUTED_VALUE"""),60200.0)</f>
        <v>60200</v>
      </c>
      <c r="D2379" s="1">
        <f>IFERROR(__xludf.DUMMYFUNCTION("""COMPUTED_VALUE"""),58500.0)</f>
        <v>58500</v>
      </c>
      <c r="E2379" s="1">
        <f>IFERROR(__xludf.DUMMYFUNCTION("""COMPUTED_VALUE"""),59700.0)</f>
        <v>59700</v>
      </c>
      <c r="F2379" s="1">
        <f>IFERROR(__xludf.DUMMYFUNCTION("""COMPUTED_VALUE"""),18362.0)</f>
        <v>18362</v>
      </c>
    </row>
    <row r="2380">
      <c r="A2380" s="2">
        <f>IFERROR(__xludf.DUMMYFUNCTION("""COMPUTED_VALUE"""),44455.64583333333)</f>
        <v>44455.64583</v>
      </c>
      <c r="B2380" s="1">
        <f>IFERROR(__xludf.DUMMYFUNCTION("""COMPUTED_VALUE"""),61400.0)</f>
        <v>61400</v>
      </c>
      <c r="C2380" s="1">
        <f>IFERROR(__xludf.DUMMYFUNCTION("""COMPUTED_VALUE"""),61700.0)</f>
        <v>61700</v>
      </c>
      <c r="D2380" s="1">
        <f>IFERROR(__xludf.DUMMYFUNCTION("""COMPUTED_VALUE"""),60200.0)</f>
        <v>60200</v>
      </c>
      <c r="E2380" s="1">
        <f>IFERROR(__xludf.DUMMYFUNCTION("""COMPUTED_VALUE"""),60400.0)</f>
        <v>60400</v>
      </c>
      <c r="F2380" s="1">
        <f>IFERROR(__xludf.DUMMYFUNCTION("""COMPUTED_VALUE"""),20334.0)</f>
        <v>20334</v>
      </c>
    </row>
    <row r="2381">
      <c r="A2381" s="2">
        <f>IFERROR(__xludf.DUMMYFUNCTION("""COMPUTED_VALUE"""),44456.64583333333)</f>
        <v>44456.64583</v>
      </c>
      <c r="B2381" s="1">
        <f>IFERROR(__xludf.DUMMYFUNCTION("""COMPUTED_VALUE"""),60500.0)</f>
        <v>60500</v>
      </c>
      <c r="C2381" s="1">
        <f>IFERROR(__xludf.DUMMYFUNCTION("""COMPUTED_VALUE"""),60500.0)</f>
        <v>60500</v>
      </c>
      <c r="D2381" s="1">
        <f>IFERROR(__xludf.DUMMYFUNCTION("""COMPUTED_VALUE"""),59100.0)</f>
        <v>59100</v>
      </c>
      <c r="E2381" s="1">
        <f>IFERROR(__xludf.DUMMYFUNCTION("""COMPUTED_VALUE"""),60200.0)</f>
        <v>60200</v>
      </c>
      <c r="F2381" s="1">
        <f>IFERROR(__xludf.DUMMYFUNCTION("""COMPUTED_VALUE"""),6757.0)</f>
        <v>6757</v>
      </c>
    </row>
    <row r="2382">
      <c r="A2382" s="2">
        <f>IFERROR(__xludf.DUMMYFUNCTION("""COMPUTED_VALUE"""),44462.64583333333)</f>
        <v>44462.64583</v>
      </c>
      <c r="B2382" s="1">
        <f>IFERROR(__xludf.DUMMYFUNCTION("""COMPUTED_VALUE"""),60200.0)</f>
        <v>60200</v>
      </c>
      <c r="C2382" s="1">
        <f>IFERROR(__xludf.DUMMYFUNCTION("""COMPUTED_VALUE"""),61000.0)</f>
        <v>61000</v>
      </c>
      <c r="D2382" s="1">
        <f>IFERROR(__xludf.DUMMYFUNCTION("""COMPUTED_VALUE"""),59400.0)</f>
        <v>59400</v>
      </c>
      <c r="E2382" s="1">
        <f>IFERROR(__xludf.DUMMYFUNCTION("""COMPUTED_VALUE"""),60600.0)</f>
        <v>60600</v>
      </c>
      <c r="F2382" s="1">
        <f>IFERROR(__xludf.DUMMYFUNCTION("""COMPUTED_VALUE"""),24381.0)</f>
        <v>24381</v>
      </c>
    </row>
    <row r="2383">
      <c r="A2383" s="2">
        <f>IFERROR(__xludf.DUMMYFUNCTION("""COMPUTED_VALUE"""),44463.64583333333)</f>
        <v>44463.64583</v>
      </c>
      <c r="B2383" s="1">
        <f>IFERROR(__xludf.DUMMYFUNCTION("""COMPUTED_VALUE"""),61000.0)</f>
        <v>61000</v>
      </c>
      <c r="C2383" s="1">
        <f>IFERROR(__xludf.DUMMYFUNCTION("""COMPUTED_VALUE"""),61300.0)</f>
        <v>61300</v>
      </c>
      <c r="D2383" s="1">
        <f>IFERROR(__xludf.DUMMYFUNCTION("""COMPUTED_VALUE"""),60400.0)</f>
        <v>60400</v>
      </c>
      <c r="E2383" s="1">
        <f>IFERROR(__xludf.DUMMYFUNCTION("""COMPUTED_VALUE"""),60500.0)</f>
        <v>60500</v>
      </c>
      <c r="F2383" s="1">
        <f>IFERROR(__xludf.DUMMYFUNCTION("""COMPUTED_VALUE"""),11743.0)</f>
        <v>11743</v>
      </c>
    </row>
    <row r="2384">
      <c r="A2384" s="2">
        <f>IFERROR(__xludf.DUMMYFUNCTION("""COMPUTED_VALUE"""),44466.64583333333)</f>
        <v>44466.64583</v>
      </c>
      <c r="B2384" s="1">
        <f>IFERROR(__xludf.DUMMYFUNCTION("""COMPUTED_VALUE"""),60500.0)</f>
        <v>60500</v>
      </c>
      <c r="C2384" s="1">
        <f>IFERROR(__xludf.DUMMYFUNCTION("""COMPUTED_VALUE"""),61800.0)</f>
        <v>61800</v>
      </c>
      <c r="D2384" s="1">
        <f>IFERROR(__xludf.DUMMYFUNCTION("""COMPUTED_VALUE"""),60000.0)</f>
        <v>60000</v>
      </c>
      <c r="E2384" s="1">
        <f>IFERROR(__xludf.DUMMYFUNCTION("""COMPUTED_VALUE"""),61600.0)</f>
        <v>61600</v>
      </c>
      <c r="F2384" s="1">
        <f>IFERROR(__xludf.DUMMYFUNCTION("""COMPUTED_VALUE"""),28993.0)</f>
        <v>28993</v>
      </c>
    </row>
    <row r="2385">
      <c r="A2385" s="2">
        <f>IFERROR(__xludf.DUMMYFUNCTION("""COMPUTED_VALUE"""),44467.64583333333)</f>
        <v>44467.64583</v>
      </c>
      <c r="B2385" s="1">
        <f>IFERROR(__xludf.DUMMYFUNCTION("""COMPUTED_VALUE"""),62500.0)</f>
        <v>62500</v>
      </c>
      <c r="C2385" s="1">
        <f>IFERROR(__xludf.DUMMYFUNCTION("""COMPUTED_VALUE"""),65000.0)</f>
        <v>65000</v>
      </c>
      <c r="D2385" s="1">
        <f>IFERROR(__xludf.DUMMYFUNCTION("""COMPUTED_VALUE"""),62200.0)</f>
        <v>62200</v>
      </c>
      <c r="E2385" s="1">
        <f>IFERROR(__xludf.DUMMYFUNCTION("""COMPUTED_VALUE"""),63900.0)</f>
        <v>63900</v>
      </c>
      <c r="F2385" s="1">
        <f>IFERROR(__xludf.DUMMYFUNCTION("""COMPUTED_VALUE"""),58543.0)</f>
        <v>58543</v>
      </c>
    </row>
    <row r="2386">
      <c r="A2386" s="2">
        <f>IFERROR(__xludf.DUMMYFUNCTION("""COMPUTED_VALUE"""),44468.64583333333)</f>
        <v>44468.64583</v>
      </c>
      <c r="B2386" s="1">
        <f>IFERROR(__xludf.DUMMYFUNCTION("""COMPUTED_VALUE"""),63000.0)</f>
        <v>63000</v>
      </c>
      <c r="C2386" s="1">
        <f>IFERROR(__xludf.DUMMYFUNCTION("""COMPUTED_VALUE"""),64300.0)</f>
        <v>64300</v>
      </c>
      <c r="D2386" s="1">
        <f>IFERROR(__xludf.DUMMYFUNCTION("""COMPUTED_VALUE"""),62300.0)</f>
        <v>62300</v>
      </c>
      <c r="E2386" s="1">
        <f>IFERROR(__xludf.DUMMYFUNCTION("""COMPUTED_VALUE"""),63400.0)</f>
        <v>63400</v>
      </c>
      <c r="F2386" s="1">
        <f>IFERROR(__xludf.DUMMYFUNCTION("""COMPUTED_VALUE"""),29897.0)</f>
        <v>29897</v>
      </c>
    </row>
    <row r="2387">
      <c r="A2387" s="2">
        <f>IFERROR(__xludf.DUMMYFUNCTION("""COMPUTED_VALUE"""),44469.64583333333)</f>
        <v>44469.64583</v>
      </c>
      <c r="B2387" s="1">
        <f>IFERROR(__xludf.DUMMYFUNCTION("""COMPUTED_VALUE"""),62600.0)</f>
        <v>62600</v>
      </c>
      <c r="C2387" s="1">
        <f>IFERROR(__xludf.DUMMYFUNCTION("""COMPUTED_VALUE"""),63900.0)</f>
        <v>63900</v>
      </c>
      <c r="D2387" s="1">
        <f>IFERROR(__xludf.DUMMYFUNCTION("""COMPUTED_VALUE"""),61700.0)</f>
        <v>61700</v>
      </c>
      <c r="E2387" s="1">
        <f>IFERROR(__xludf.DUMMYFUNCTION("""COMPUTED_VALUE"""),63400.0)</f>
        <v>63400</v>
      </c>
      <c r="F2387" s="1">
        <f>IFERROR(__xludf.DUMMYFUNCTION("""COMPUTED_VALUE"""),18834.0)</f>
        <v>18834</v>
      </c>
    </row>
    <row r="2388">
      <c r="A2388" s="2">
        <f>IFERROR(__xludf.DUMMYFUNCTION("""COMPUTED_VALUE"""),44470.64583333333)</f>
        <v>44470.64583</v>
      </c>
      <c r="B2388" s="1">
        <f>IFERROR(__xludf.DUMMYFUNCTION("""COMPUTED_VALUE"""),63800.0)</f>
        <v>63800</v>
      </c>
      <c r="C2388" s="1">
        <f>IFERROR(__xludf.DUMMYFUNCTION("""COMPUTED_VALUE"""),63800.0)</f>
        <v>63800</v>
      </c>
      <c r="D2388" s="1">
        <f>IFERROR(__xludf.DUMMYFUNCTION("""COMPUTED_VALUE"""),62200.0)</f>
        <v>62200</v>
      </c>
      <c r="E2388" s="1">
        <f>IFERROR(__xludf.DUMMYFUNCTION("""COMPUTED_VALUE"""),63400.0)</f>
        <v>63400</v>
      </c>
      <c r="F2388" s="1">
        <f>IFERROR(__xludf.DUMMYFUNCTION("""COMPUTED_VALUE"""),23741.0)</f>
        <v>23741</v>
      </c>
    </row>
    <row r="2389">
      <c r="A2389" s="2">
        <f>IFERROR(__xludf.DUMMYFUNCTION("""COMPUTED_VALUE"""),44474.64583333333)</f>
        <v>44474.64583</v>
      </c>
      <c r="B2389" s="1">
        <f>IFERROR(__xludf.DUMMYFUNCTION("""COMPUTED_VALUE"""),64200.0)</f>
        <v>64200</v>
      </c>
      <c r="C2389" s="1">
        <f>IFERROR(__xludf.DUMMYFUNCTION("""COMPUTED_VALUE"""),66200.0)</f>
        <v>66200</v>
      </c>
      <c r="D2389" s="1">
        <f>IFERROR(__xludf.DUMMYFUNCTION("""COMPUTED_VALUE"""),63900.0)</f>
        <v>63900</v>
      </c>
      <c r="E2389" s="1">
        <f>IFERROR(__xludf.DUMMYFUNCTION("""COMPUTED_VALUE"""),64500.0)</f>
        <v>64500</v>
      </c>
      <c r="F2389" s="1">
        <f>IFERROR(__xludf.DUMMYFUNCTION("""COMPUTED_VALUE"""),41057.0)</f>
        <v>41057</v>
      </c>
    </row>
    <row r="2390">
      <c r="A2390" s="2">
        <f>IFERROR(__xludf.DUMMYFUNCTION("""COMPUTED_VALUE"""),44475.64583333333)</f>
        <v>44475.64583</v>
      </c>
      <c r="B2390" s="1">
        <f>IFERROR(__xludf.DUMMYFUNCTION("""COMPUTED_VALUE"""),65500.0)</f>
        <v>65500</v>
      </c>
      <c r="C2390" s="1">
        <f>IFERROR(__xludf.DUMMYFUNCTION("""COMPUTED_VALUE"""),65500.0)</f>
        <v>65500</v>
      </c>
      <c r="D2390" s="1">
        <f>IFERROR(__xludf.DUMMYFUNCTION("""COMPUTED_VALUE"""),63000.0)</f>
        <v>63000</v>
      </c>
      <c r="E2390" s="1">
        <f>IFERROR(__xludf.DUMMYFUNCTION("""COMPUTED_VALUE"""),63600.0)</f>
        <v>63600</v>
      </c>
      <c r="F2390" s="1">
        <f>IFERROR(__xludf.DUMMYFUNCTION("""COMPUTED_VALUE"""),20885.0)</f>
        <v>20885</v>
      </c>
    </row>
    <row r="2391">
      <c r="A2391" s="2">
        <f>IFERROR(__xludf.DUMMYFUNCTION("""COMPUTED_VALUE"""),44476.64583333333)</f>
        <v>44476.64583</v>
      </c>
      <c r="B2391" s="1">
        <f>IFERROR(__xludf.DUMMYFUNCTION("""COMPUTED_VALUE"""),63200.0)</f>
        <v>63200</v>
      </c>
      <c r="C2391" s="1">
        <f>IFERROR(__xludf.DUMMYFUNCTION("""COMPUTED_VALUE"""),63200.0)</f>
        <v>63200</v>
      </c>
      <c r="D2391" s="1">
        <f>IFERROR(__xludf.DUMMYFUNCTION("""COMPUTED_VALUE"""),61100.0)</f>
        <v>61100</v>
      </c>
      <c r="E2391" s="1">
        <f>IFERROR(__xludf.DUMMYFUNCTION("""COMPUTED_VALUE"""),62400.0)</f>
        <v>62400</v>
      </c>
      <c r="F2391" s="1">
        <f>IFERROR(__xludf.DUMMYFUNCTION("""COMPUTED_VALUE"""),21758.0)</f>
        <v>21758</v>
      </c>
    </row>
    <row r="2392">
      <c r="A2392" s="2">
        <f>IFERROR(__xludf.DUMMYFUNCTION("""COMPUTED_VALUE"""),44477.64583333333)</f>
        <v>44477.64583</v>
      </c>
      <c r="B2392" s="1">
        <f>IFERROR(__xludf.DUMMYFUNCTION("""COMPUTED_VALUE"""),62500.0)</f>
        <v>62500</v>
      </c>
      <c r="C2392" s="1">
        <f>IFERROR(__xludf.DUMMYFUNCTION("""COMPUTED_VALUE"""),62900.0)</f>
        <v>62900</v>
      </c>
      <c r="D2392" s="1">
        <f>IFERROR(__xludf.DUMMYFUNCTION("""COMPUTED_VALUE"""),61200.0)</f>
        <v>61200</v>
      </c>
      <c r="E2392" s="1">
        <f>IFERROR(__xludf.DUMMYFUNCTION("""COMPUTED_VALUE"""),62600.0)</f>
        <v>62600</v>
      </c>
      <c r="F2392" s="1">
        <f>IFERROR(__xludf.DUMMYFUNCTION("""COMPUTED_VALUE"""),26588.0)</f>
        <v>26588</v>
      </c>
    </row>
    <row r="2393">
      <c r="A2393" s="2">
        <f>IFERROR(__xludf.DUMMYFUNCTION("""COMPUTED_VALUE"""),44481.64583333333)</f>
        <v>44481.64583</v>
      </c>
      <c r="B2393" s="1">
        <f>IFERROR(__xludf.DUMMYFUNCTION("""COMPUTED_VALUE"""),63300.0)</f>
        <v>63300</v>
      </c>
      <c r="C2393" s="1">
        <f>IFERROR(__xludf.DUMMYFUNCTION("""COMPUTED_VALUE"""),65300.0)</f>
        <v>65300</v>
      </c>
      <c r="D2393" s="1">
        <f>IFERROR(__xludf.DUMMYFUNCTION("""COMPUTED_VALUE"""),63000.0)</f>
        <v>63000</v>
      </c>
      <c r="E2393" s="1">
        <f>IFERROR(__xludf.DUMMYFUNCTION("""COMPUTED_VALUE"""),65200.0)</f>
        <v>65200</v>
      </c>
      <c r="F2393" s="1">
        <f>IFERROR(__xludf.DUMMYFUNCTION("""COMPUTED_VALUE"""),45688.0)</f>
        <v>45688</v>
      </c>
    </row>
    <row r="2394">
      <c r="A2394" s="2">
        <f>IFERROR(__xludf.DUMMYFUNCTION("""COMPUTED_VALUE"""),44482.64583333333)</f>
        <v>44482.64583</v>
      </c>
      <c r="B2394" s="1">
        <f>IFERROR(__xludf.DUMMYFUNCTION("""COMPUTED_VALUE"""),65100.0)</f>
        <v>65100</v>
      </c>
      <c r="C2394" s="1">
        <f>IFERROR(__xludf.DUMMYFUNCTION("""COMPUTED_VALUE"""),65500.0)</f>
        <v>65500</v>
      </c>
      <c r="D2394" s="1">
        <f>IFERROR(__xludf.DUMMYFUNCTION("""COMPUTED_VALUE"""),64400.0)</f>
        <v>64400</v>
      </c>
      <c r="E2394" s="1">
        <f>IFERROR(__xludf.DUMMYFUNCTION("""COMPUTED_VALUE"""),64600.0)</f>
        <v>64600</v>
      </c>
      <c r="F2394" s="1">
        <f>IFERROR(__xludf.DUMMYFUNCTION("""COMPUTED_VALUE"""),16763.0)</f>
        <v>16763</v>
      </c>
    </row>
    <row r="2395">
      <c r="A2395" s="2">
        <f>IFERROR(__xludf.DUMMYFUNCTION("""COMPUTED_VALUE"""),44483.64583333333)</f>
        <v>44483.64583</v>
      </c>
      <c r="B2395" s="1">
        <f>IFERROR(__xludf.DUMMYFUNCTION("""COMPUTED_VALUE"""),64700.0)</f>
        <v>64700</v>
      </c>
      <c r="C2395" s="1">
        <f>IFERROR(__xludf.DUMMYFUNCTION("""COMPUTED_VALUE"""),65000.0)</f>
        <v>65000</v>
      </c>
      <c r="D2395" s="1">
        <f>IFERROR(__xludf.DUMMYFUNCTION("""COMPUTED_VALUE"""),63600.0)</f>
        <v>63600</v>
      </c>
      <c r="E2395" s="1">
        <f>IFERROR(__xludf.DUMMYFUNCTION("""COMPUTED_VALUE"""),63800.0)</f>
        <v>63800</v>
      </c>
      <c r="F2395" s="1">
        <f>IFERROR(__xludf.DUMMYFUNCTION("""COMPUTED_VALUE"""),11572.0)</f>
        <v>11572</v>
      </c>
    </row>
    <row r="2396">
      <c r="A2396" s="2">
        <f>IFERROR(__xludf.DUMMYFUNCTION("""COMPUTED_VALUE"""),44484.64583333333)</f>
        <v>44484.64583</v>
      </c>
      <c r="B2396" s="1">
        <f>IFERROR(__xludf.DUMMYFUNCTION("""COMPUTED_VALUE"""),64500.0)</f>
        <v>64500</v>
      </c>
      <c r="C2396" s="1">
        <f>IFERROR(__xludf.DUMMYFUNCTION("""COMPUTED_VALUE"""),64600.0)</f>
        <v>64600</v>
      </c>
      <c r="D2396" s="1">
        <f>IFERROR(__xludf.DUMMYFUNCTION("""COMPUTED_VALUE"""),62900.0)</f>
        <v>62900</v>
      </c>
      <c r="E2396" s="1">
        <f>IFERROR(__xludf.DUMMYFUNCTION("""COMPUTED_VALUE"""),63600.0)</f>
        <v>63600</v>
      </c>
      <c r="F2396" s="1">
        <f>IFERROR(__xludf.DUMMYFUNCTION("""COMPUTED_VALUE"""),11525.0)</f>
        <v>11525</v>
      </c>
    </row>
    <row r="2397">
      <c r="A2397" s="2">
        <f>IFERROR(__xludf.DUMMYFUNCTION("""COMPUTED_VALUE"""),44487.64583333333)</f>
        <v>44487.64583</v>
      </c>
      <c r="B2397" s="1">
        <f>IFERROR(__xludf.DUMMYFUNCTION("""COMPUTED_VALUE"""),64100.0)</f>
        <v>64100</v>
      </c>
      <c r="C2397" s="1">
        <f>IFERROR(__xludf.DUMMYFUNCTION("""COMPUTED_VALUE"""),64900.0)</f>
        <v>64900</v>
      </c>
      <c r="D2397" s="1">
        <f>IFERROR(__xludf.DUMMYFUNCTION("""COMPUTED_VALUE"""),63600.0)</f>
        <v>63600</v>
      </c>
      <c r="E2397" s="1">
        <f>IFERROR(__xludf.DUMMYFUNCTION("""COMPUTED_VALUE"""),64700.0)</f>
        <v>64700</v>
      </c>
      <c r="F2397" s="1">
        <f>IFERROR(__xludf.DUMMYFUNCTION("""COMPUTED_VALUE"""),15758.0)</f>
        <v>15758</v>
      </c>
    </row>
    <row r="2398">
      <c r="A2398" s="2">
        <f>IFERROR(__xludf.DUMMYFUNCTION("""COMPUTED_VALUE"""),44488.64583333333)</f>
        <v>44488.64583</v>
      </c>
      <c r="B2398" s="1">
        <f>IFERROR(__xludf.DUMMYFUNCTION("""COMPUTED_VALUE"""),64900.0)</f>
        <v>64900</v>
      </c>
      <c r="C2398" s="1">
        <f>IFERROR(__xludf.DUMMYFUNCTION("""COMPUTED_VALUE"""),65000.0)</f>
        <v>65000</v>
      </c>
      <c r="D2398" s="1">
        <f>IFERROR(__xludf.DUMMYFUNCTION("""COMPUTED_VALUE"""),63500.0)</f>
        <v>63500</v>
      </c>
      <c r="E2398" s="1">
        <f>IFERROR(__xludf.DUMMYFUNCTION("""COMPUTED_VALUE"""),63800.0)</f>
        <v>63800</v>
      </c>
      <c r="F2398" s="1">
        <f>IFERROR(__xludf.DUMMYFUNCTION("""COMPUTED_VALUE"""),13357.0)</f>
        <v>13357</v>
      </c>
    </row>
    <row r="2399">
      <c r="A2399" s="2">
        <f>IFERROR(__xludf.DUMMYFUNCTION("""COMPUTED_VALUE"""),44489.64583333333)</f>
        <v>44489.64583</v>
      </c>
      <c r="B2399" s="1">
        <f>IFERROR(__xludf.DUMMYFUNCTION("""COMPUTED_VALUE"""),64200.0)</f>
        <v>64200</v>
      </c>
      <c r="C2399" s="1">
        <f>IFERROR(__xludf.DUMMYFUNCTION("""COMPUTED_VALUE"""),64300.0)</f>
        <v>64300</v>
      </c>
      <c r="D2399" s="1">
        <f>IFERROR(__xludf.DUMMYFUNCTION("""COMPUTED_VALUE"""),62500.0)</f>
        <v>62500</v>
      </c>
      <c r="E2399" s="1">
        <f>IFERROR(__xludf.DUMMYFUNCTION("""COMPUTED_VALUE"""),62600.0)</f>
        <v>62600</v>
      </c>
      <c r="F2399" s="1">
        <f>IFERROR(__xludf.DUMMYFUNCTION("""COMPUTED_VALUE"""),11734.0)</f>
        <v>11734</v>
      </c>
    </row>
    <row r="2400">
      <c r="A2400" s="2">
        <f>IFERROR(__xludf.DUMMYFUNCTION("""COMPUTED_VALUE"""),44490.64583333333)</f>
        <v>44490.64583</v>
      </c>
      <c r="B2400" s="1">
        <f>IFERROR(__xludf.DUMMYFUNCTION("""COMPUTED_VALUE"""),63400.0)</f>
        <v>63400</v>
      </c>
      <c r="C2400" s="1">
        <f>IFERROR(__xludf.DUMMYFUNCTION("""COMPUTED_VALUE"""),63900.0)</f>
        <v>63900</v>
      </c>
      <c r="D2400" s="1">
        <f>IFERROR(__xludf.DUMMYFUNCTION("""COMPUTED_VALUE"""),63100.0)</f>
        <v>63100</v>
      </c>
      <c r="E2400" s="1">
        <f>IFERROR(__xludf.DUMMYFUNCTION("""COMPUTED_VALUE"""),63700.0)</f>
        <v>63700</v>
      </c>
      <c r="F2400" s="1">
        <f>IFERROR(__xludf.DUMMYFUNCTION("""COMPUTED_VALUE"""),8881.0)</f>
        <v>8881</v>
      </c>
    </row>
    <row r="2401">
      <c r="A2401" s="2">
        <f>IFERROR(__xludf.DUMMYFUNCTION("""COMPUTED_VALUE"""),44491.64583333333)</f>
        <v>44491.64583</v>
      </c>
      <c r="B2401" s="1">
        <f>IFERROR(__xludf.DUMMYFUNCTION("""COMPUTED_VALUE"""),63600.0)</f>
        <v>63600</v>
      </c>
      <c r="C2401" s="1">
        <f>IFERROR(__xludf.DUMMYFUNCTION("""COMPUTED_VALUE"""),63600.0)</f>
        <v>63600</v>
      </c>
      <c r="D2401" s="1">
        <f>IFERROR(__xludf.DUMMYFUNCTION("""COMPUTED_VALUE"""),62500.0)</f>
        <v>62500</v>
      </c>
      <c r="E2401" s="1">
        <f>IFERROR(__xludf.DUMMYFUNCTION("""COMPUTED_VALUE"""),62800.0)</f>
        <v>62800</v>
      </c>
      <c r="F2401" s="1">
        <f>IFERROR(__xludf.DUMMYFUNCTION("""COMPUTED_VALUE"""),9963.0)</f>
        <v>9963</v>
      </c>
    </row>
    <row r="2402">
      <c r="A2402" s="2">
        <f>IFERROR(__xludf.DUMMYFUNCTION("""COMPUTED_VALUE"""),44494.64583333333)</f>
        <v>44494.64583</v>
      </c>
      <c r="B2402" s="1">
        <f>IFERROR(__xludf.DUMMYFUNCTION("""COMPUTED_VALUE"""),63500.0)</f>
        <v>63500</v>
      </c>
      <c r="C2402" s="1">
        <f>IFERROR(__xludf.DUMMYFUNCTION("""COMPUTED_VALUE"""),64500.0)</f>
        <v>64500</v>
      </c>
      <c r="D2402" s="1">
        <f>IFERROR(__xludf.DUMMYFUNCTION("""COMPUTED_VALUE"""),62900.0)</f>
        <v>62900</v>
      </c>
      <c r="E2402" s="1">
        <f>IFERROR(__xludf.DUMMYFUNCTION("""COMPUTED_VALUE"""),64300.0)</f>
        <v>64300</v>
      </c>
      <c r="F2402" s="1">
        <f>IFERROR(__xludf.DUMMYFUNCTION("""COMPUTED_VALUE"""),17859.0)</f>
        <v>17859</v>
      </c>
    </row>
    <row r="2403">
      <c r="A2403" s="2">
        <f>IFERROR(__xludf.DUMMYFUNCTION("""COMPUTED_VALUE"""),44495.64583333333)</f>
        <v>44495.64583</v>
      </c>
      <c r="B2403" s="1">
        <f>IFERROR(__xludf.DUMMYFUNCTION("""COMPUTED_VALUE"""),64600.0)</f>
        <v>64600</v>
      </c>
      <c r="C2403" s="1">
        <f>IFERROR(__xludf.DUMMYFUNCTION("""COMPUTED_VALUE"""),64700.0)</f>
        <v>64700</v>
      </c>
      <c r="D2403" s="1">
        <f>IFERROR(__xludf.DUMMYFUNCTION("""COMPUTED_VALUE"""),63400.0)</f>
        <v>63400</v>
      </c>
      <c r="E2403" s="1">
        <f>IFERROR(__xludf.DUMMYFUNCTION("""COMPUTED_VALUE"""),63800.0)</f>
        <v>63800</v>
      </c>
      <c r="F2403" s="1">
        <f>IFERROR(__xludf.DUMMYFUNCTION("""COMPUTED_VALUE"""),12139.0)</f>
        <v>12139</v>
      </c>
    </row>
    <row r="2404">
      <c r="A2404" s="2">
        <f>IFERROR(__xludf.DUMMYFUNCTION("""COMPUTED_VALUE"""),44496.64583333333)</f>
        <v>44496.64583</v>
      </c>
      <c r="B2404" s="1">
        <f>IFERROR(__xludf.DUMMYFUNCTION("""COMPUTED_VALUE"""),63800.0)</f>
        <v>63800</v>
      </c>
      <c r="C2404" s="1">
        <f>IFERROR(__xludf.DUMMYFUNCTION("""COMPUTED_VALUE"""),64400.0)</f>
        <v>64400</v>
      </c>
      <c r="D2404" s="1">
        <f>IFERROR(__xludf.DUMMYFUNCTION("""COMPUTED_VALUE"""),63800.0)</f>
        <v>63800</v>
      </c>
      <c r="E2404" s="1">
        <f>IFERROR(__xludf.DUMMYFUNCTION("""COMPUTED_VALUE"""),64000.0)</f>
        <v>64000</v>
      </c>
      <c r="F2404" s="1">
        <f>IFERROR(__xludf.DUMMYFUNCTION("""COMPUTED_VALUE"""),5195.0)</f>
        <v>5195</v>
      </c>
    </row>
    <row r="2405">
      <c r="A2405" s="2">
        <f>IFERROR(__xludf.DUMMYFUNCTION("""COMPUTED_VALUE"""),44497.64583333333)</f>
        <v>44497.64583</v>
      </c>
      <c r="B2405" s="1">
        <f>IFERROR(__xludf.DUMMYFUNCTION("""COMPUTED_VALUE"""),63700.0)</f>
        <v>63700</v>
      </c>
      <c r="C2405" s="1">
        <f>IFERROR(__xludf.DUMMYFUNCTION("""COMPUTED_VALUE"""),63900.0)</f>
        <v>63900</v>
      </c>
      <c r="D2405" s="1">
        <f>IFERROR(__xludf.DUMMYFUNCTION("""COMPUTED_VALUE"""),62200.0)</f>
        <v>62200</v>
      </c>
      <c r="E2405" s="1">
        <f>IFERROR(__xludf.DUMMYFUNCTION("""COMPUTED_VALUE"""),62700.0)</f>
        <v>62700</v>
      </c>
      <c r="F2405" s="1">
        <f>IFERROR(__xludf.DUMMYFUNCTION("""COMPUTED_VALUE"""),17320.0)</f>
        <v>17320</v>
      </c>
    </row>
    <row r="2406">
      <c r="A2406" s="2">
        <f>IFERROR(__xludf.DUMMYFUNCTION("""COMPUTED_VALUE"""),44498.64583333333)</f>
        <v>44498.64583</v>
      </c>
      <c r="B2406" s="1">
        <f>IFERROR(__xludf.DUMMYFUNCTION("""COMPUTED_VALUE"""),62700.0)</f>
        <v>62700</v>
      </c>
      <c r="C2406" s="1">
        <f>IFERROR(__xludf.DUMMYFUNCTION("""COMPUTED_VALUE"""),63200.0)</f>
        <v>63200</v>
      </c>
      <c r="D2406" s="1">
        <f>IFERROR(__xludf.DUMMYFUNCTION("""COMPUTED_VALUE"""),62200.0)</f>
        <v>62200</v>
      </c>
      <c r="E2406" s="1">
        <f>IFERROR(__xludf.DUMMYFUNCTION("""COMPUTED_VALUE"""),62700.0)</f>
        <v>62700</v>
      </c>
      <c r="F2406" s="1">
        <f>IFERROR(__xludf.DUMMYFUNCTION("""COMPUTED_VALUE"""),5200.0)</f>
        <v>5200</v>
      </c>
    </row>
    <row r="2407">
      <c r="A2407" s="2">
        <f>IFERROR(__xludf.DUMMYFUNCTION("""COMPUTED_VALUE"""),44501.64583333333)</f>
        <v>44501.64583</v>
      </c>
      <c r="B2407" s="1">
        <f>IFERROR(__xludf.DUMMYFUNCTION("""COMPUTED_VALUE"""),62600.0)</f>
        <v>62600</v>
      </c>
      <c r="C2407" s="1">
        <f>IFERROR(__xludf.DUMMYFUNCTION("""COMPUTED_VALUE"""),62800.0)</f>
        <v>62800</v>
      </c>
      <c r="D2407" s="1">
        <f>IFERROR(__xludf.DUMMYFUNCTION("""COMPUTED_VALUE"""),61400.0)</f>
        <v>61400</v>
      </c>
      <c r="E2407" s="1">
        <f>IFERROR(__xludf.DUMMYFUNCTION("""COMPUTED_VALUE"""),61800.0)</f>
        <v>61800</v>
      </c>
      <c r="F2407" s="1">
        <f>IFERROR(__xludf.DUMMYFUNCTION("""COMPUTED_VALUE"""),8790.0)</f>
        <v>8790</v>
      </c>
    </row>
    <row r="2408">
      <c r="A2408" s="2">
        <f>IFERROR(__xludf.DUMMYFUNCTION("""COMPUTED_VALUE"""),44502.64583333333)</f>
        <v>44502.64583</v>
      </c>
      <c r="B2408" s="1">
        <f>IFERROR(__xludf.DUMMYFUNCTION("""COMPUTED_VALUE"""),62200.0)</f>
        <v>62200</v>
      </c>
      <c r="C2408" s="1">
        <f>IFERROR(__xludf.DUMMYFUNCTION("""COMPUTED_VALUE"""),62800.0)</f>
        <v>62800</v>
      </c>
      <c r="D2408" s="1">
        <f>IFERROR(__xludf.DUMMYFUNCTION("""COMPUTED_VALUE"""),61700.0)</f>
        <v>61700</v>
      </c>
      <c r="E2408" s="1">
        <f>IFERROR(__xludf.DUMMYFUNCTION("""COMPUTED_VALUE"""),62200.0)</f>
        <v>62200</v>
      </c>
      <c r="F2408" s="1">
        <f>IFERROR(__xludf.DUMMYFUNCTION("""COMPUTED_VALUE"""),7442.0)</f>
        <v>7442</v>
      </c>
    </row>
    <row r="2409">
      <c r="A2409" s="2">
        <f>IFERROR(__xludf.DUMMYFUNCTION("""COMPUTED_VALUE"""),44503.64583333333)</f>
        <v>44503.64583</v>
      </c>
      <c r="B2409" s="1">
        <f>IFERROR(__xludf.DUMMYFUNCTION("""COMPUTED_VALUE"""),62500.0)</f>
        <v>62500</v>
      </c>
      <c r="C2409" s="1">
        <f>IFERROR(__xludf.DUMMYFUNCTION("""COMPUTED_VALUE"""),62500.0)</f>
        <v>62500</v>
      </c>
      <c r="D2409" s="1">
        <f>IFERROR(__xludf.DUMMYFUNCTION("""COMPUTED_VALUE"""),60800.0)</f>
        <v>60800</v>
      </c>
      <c r="E2409" s="1">
        <f>IFERROR(__xludf.DUMMYFUNCTION("""COMPUTED_VALUE"""),61000.0)</f>
        <v>61000</v>
      </c>
      <c r="F2409" s="1">
        <f>IFERROR(__xludf.DUMMYFUNCTION("""COMPUTED_VALUE"""),7119.0)</f>
        <v>7119</v>
      </c>
    </row>
    <row r="2410">
      <c r="A2410" s="2">
        <f>IFERROR(__xludf.DUMMYFUNCTION("""COMPUTED_VALUE"""),44504.64583333333)</f>
        <v>44504.64583</v>
      </c>
      <c r="B2410" s="1">
        <f>IFERROR(__xludf.DUMMYFUNCTION("""COMPUTED_VALUE"""),60800.0)</f>
        <v>60800</v>
      </c>
      <c r="C2410" s="1">
        <f>IFERROR(__xludf.DUMMYFUNCTION("""COMPUTED_VALUE"""),61300.0)</f>
        <v>61300</v>
      </c>
      <c r="D2410" s="1">
        <f>IFERROR(__xludf.DUMMYFUNCTION("""COMPUTED_VALUE"""),59900.0)</f>
        <v>59900</v>
      </c>
      <c r="E2410" s="1">
        <f>IFERROR(__xludf.DUMMYFUNCTION("""COMPUTED_VALUE"""),60300.0)</f>
        <v>60300</v>
      </c>
      <c r="F2410" s="1">
        <f>IFERROR(__xludf.DUMMYFUNCTION("""COMPUTED_VALUE"""),10765.0)</f>
        <v>10765</v>
      </c>
    </row>
    <row r="2411">
      <c r="A2411" s="2">
        <f>IFERROR(__xludf.DUMMYFUNCTION("""COMPUTED_VALUE"""),44505.64583333333)</f>
        <v>44505.64583</v>
      </c>
      <c r="B2411" s="1">
        <f>IFERROR(__xludf.DUMMYFUNCTION("""COMPUTED_VALUE"""),60000.0)</f>
        <v>60000</v>
      </c>
      <c r="C2411" s="1">
        <f>IFERROR(__xludf.DUMMYFUNCTION("""COMPUTED_VALUE"""),60300.0)</f>
        <v>60300</v>
      </c>
      <c r="D2411" s="1">
        <f>IFERROR(__xludf.DUMMYFUNCTION("""COMPUTED_VALUE"""),58900.0)</f>
        <v>58900</v>
      </c>
      <c r="E2411" s="1">
        <f>IFERROR(__xludf.DUMMYFUNCTION("""COMPUTED_VALUE"""),59400.0)</f>
        <v>59400</v>
      </c>
      <c r="F2411" s="1">
        <f>IFERROR(__xludf.DUMMYFUNCTION("""COMPUTED_VALUE"""),15784.0)</f>
        <v>15784</v>
      </c>
    </row>
    <row r="2412">
      <c r="A2412" s="2">
        <f>IFERROR(__xludf.DUMMYFUNCTION("""COMPUTED_VALUE"""),44508.64583333333)</f>
        <v>44508.64583</v>
      </c>
      <c r="B2412" s="1">
        <f>IFERROR(__xludf.DUMMYFUNCTION("""COMPUTED_VALUE"""),60300.0)</f>
        <v>60300</v>
      </c>
      <c r="C2412" s="1">
        <f>IFERROR(__xludf.DUMMYFUNCTION("""COMPUTED_VALUE"""),61500.0)</f>
        <v>61500</v>
      </c>
      <c r="D2412" s="1">
        <f>IFERROR(__xludf.DUMMYFUNCTION("""COMPUTED_VALUE"""),59900.0)</f>
        <v>59900</v>
      </c>
      <c r="E2412" s="1">
        <f>IFERROR(__xludf.DUMMYFUNCTION("""COMPUTED_VALUE"""),61100.0)</f>
        <v>61100</v>
      </c>
      <c r="F2412" s="1">
        <f>IFERROR(__xludf.DUMMYFUNCTION("""COMPUTED_VALUE"""),8208.0)</f>
        <v>8208</v>
      </c>
    </row>
    <row r="2413">
      <c r="A2413" s="2">
        <f>IFERROR(__xludf.DUMMYFUNCTION("""COMPUTED_VALUE"""),44509.64583333333)</f>
        <v>44509.64583</v>
      </c>
      <c r="B2413" s="1">
        <f>IFERROR(__xludf.DUMMYFUNCTION("""COMPUTED_VALUE"""),61200.0)</f>
        <v>61200</v>
      </c>
      <c r="C2413" s="1">
        <f>IFERROR(__xludf.DUMMYFUNCTION("""COMPUTED_VALUE"""),61300.0)</f>
        <v>61300</v>
      </c>
      <c r="D2413" s="1">
        <f>IFERROR(__xludf.DUMMYFUNCTION("""COMPUTED_VALUE"""),60600.0)</f>
        <v>60600</v>
      </c>
      <c r="E2413" s="1">
        <f>IFERROR(__xludf.DUMMYFUNCTION("""COMPUTED_VALUE"""),61100.0)</f>
        <v>61100</v>
      </c>
      <c r="F2413" s="1">
        <f>IFERROR(__xludf.DUMMYFUNCTION("""COMPUTED_VALUE"""),3095.0)</f>
        <v>3095</v>
      </c>
    </row>
    <row r="2414">
      <c r="A2414" s="2">
        <f>IFERROR(__xludf.DUMMYFUNCTION("""COMPUTED_VALUE"""),44510.64583333333)</f>
        <v>44510.64583</v>
      </c>
      <c r="B2414" s="1">
        <f>IFERROR(__xludf.DUMMYFUNCTION("""COMPUTED_VALUE"""),61500.0)</f>
        <v>61500</v>
      </c>
      <c r="C2414" s="1">
        <f>IFERROR(__xludf.DUMMYFUNCTION("""COMPUTED_VALUE"""),61500.0)</f>
        <v>61500</v>
      </c>
      <c r="D2414" s="1">
        <f>IFERROR(__xludf.DUMMYFUNCTION("""COMPUTED_VALUE"""),59700.0)</f>
        <v>59700</v>
      </c>
      <c r="E2414" s="1">
        <f>IFERROR(__xludf.DUMMYFUNCTION("""COMPUTED_VALUE"""),59800.0)</f>
        <v>59800</v>
      </c>
      <c r="F2414" s="1">
        <f>IFERROR(__xludf.DUMMYFUNCTION("""COMPUTED_VALUE"""),9375.0)</f>
        <v>9375</v>
      </c>
    </row>
    <row r="2415">
      <c r="A2415" s="2">
        <f>IFERROR(__xludf.DUMMYFUNCTION("""COMPUTED_VALUE"""),44511.64583333333)</f>
        <v>44511.64583</v>
      </c>
      <c r="B2415" s="1">
        <f>IFERROR(__xludf.DUMMYFUNCTION("""COMPUTED_VALUE"""),59000.0)</f>
        <v>59000</v>
      </c>
      <c r="C2415" s="1">
        <f>IFERROR(__xludf.DUMMYFUNCTION("""COMPUTED_VALUE"""),60400.0)</f>
        <v>60400</v>
      </c>
      <c r="D2415" s="1">
        <f>IFERROR(__xludf.DUMMYFUNCTION("""COMPUTED_VALUE"""),59000.0)</f>
        <v>59000</v>
      </c>
      <c r="E2415" s="1">
        <f>IFERROR(__xludf.DUMMYFUNCTION("""COMPUTED_VALUE"""),59700.0)</f>
        <v>59700</v>
      </c>
      <c r="F2415" s="1">
        <f>IFERROR(__xludf.DUMMYFUNCTION("""COMPUTED_VALUE"""),9437.0)</f>
        <v>9437</v>
      </c>
    </row>
    <row r="2416">
      <c r="A2416" s="2">
        <f>IFERROR(__xludf.DUMMYFUNCTION("""COMPUTED_VALUE"""),44512.64583333333)</f>
        <v>44512.64583</v>
      </c>
      <c r="B2416" s="1">
        <f>IFERROR(__xludf.DUMMYFUNCTION("""COMPUTED_VALUE"""),60000.0)</f>
        <v>60000</v>
      </c>
      <c r="C2416" s="1">
        <f>IFERROR(__xludf.DUMMYFUNCTION("""COMPUTED_VALUE"""),60900.0)</f>
        <v>60900</v>
      </c>
      <c r="D2416" s="1">
        <f>IFERROR(__xludf.DUMMYFUNCTION("""COMPUTED_VALUE"""),59800.0)</f>
        <v>59800</v>
      </c>
      <c r="E2416" s="1">
        <f>IFERROR(__xludf.DUMMYFUNCTION("""COMPUTED_VALUE"""),60800.0)</f>
        <v>60800</v>
      </c>
      <c r="F2416" s="1">
        <f>IFERROR(__xludf.DUMMYFUNCTION("""COMPUTED_VALUE"""),9184.0)</f>
        <v>9184</v>
      </c>
    </row>
    <row r="2417">
      <c r="A2417" s="2">
        <f>IFERROR(__xludf.DUMMYFUNCTION("""COMPUTED_VALUE"""),44515.64583333333)</f>
        <v>44515.64583</v>
      </c>
      <c r="B2417" s="1">
        <f>IFERROR(__xludf.DUMMYFUNCTION("""COMPUTED_VALUE"""),61300.0)</f>
        <v>61300</v>
      </c>
      <c r="C2417" s="1">
        <f>IFERROR(__xludf.DUMMYFUNCTION("""COMPUTED_VALUE"""),61300.0)</f>
        <v>61300</v>
      </c>
      <c r="D2417" s="1">
        <f>IFERROR(__xludf.DUMMYFUNCTION("""COMPUTED_VALUE"""),59700.0)</f>
        <v>59700</v>
      </c>
      <c r="E2417" s="1">
        <f>IFERROR(__xludf.DUMMYFUNCTION("""COMPUTED_VALUE"""),60000.0)</f>
        <v>60000</v>
      </c>
      <c r="F2417" s="1">
        <f>IFERROR(__xludf.DUMMYFUNCTION("""COMPUTED_VALUE"""),7387.0)</f>
        <v>7387</v>
      </c>
    </row>
    <row r="2418">
      <c r="A2418" s="2">
        <f>IFERROR(__xludf.DUMMYFUNCTION("""COMPUTED_VALUE"""),44516.64583333333)</f>
        <v>44516.64583</v>
      </c>
      <c r="B2418" s="1">
        <f>IFERROR(__xludf.DUMMYFUNCTION("""COMPUTED_VALUE"""),60100.0)</f>
        <v>60100</v>
      </c>
      <c r="C2418" s="1">
        <f>IFERROR(__xludf.DUMMYFUNCTION("""COMPUTED_VALUE"""),60100.0)</f>
        <v>60100</v>
      </c>
      <c r="D2418" s="1">
        <f>IFERROR(__xludf.DUMMYFUNCTION("""COMPUTED_VALUE"""),59000.0)</f>
        <v>59000</v>
      </c>
      <c r="E2418" s="1">
        <f>IFERROR(__xludf.DUMMYFUNCTION("""COMPUTED_VALUE"""),59500.0)</f>
        <v>59500</v>
      </c>
      <c r="F2418" s="1">
        <f>IFERROR(__xludf.DUMMYFUNCTION("""COMPUTED_VALUE"""),6587.0)</f>
        <v>6587</v>
      </c>
    </row>
    <row r="2419">
      <c r="A2419" s="2">
        <f>IFERROR(__xludf.DUMMYFUNCTION("""COMPUTED_VALUE"""),44517.64583333333)</f>
        <v>44517.64583</v>
      </c>
      <c r="B2419" s="1">
        <f>IFERROR(__xludf.DUMMYFUNCTION("""COMPUTED_VALUE"""),59500.0)</f>
        <v>59500</v>
      </c>
      <c r="C2419" s="1">
        <f>IFERROR(__xludf.DUMMYFUNCTION("""COMPUTED_VALUE"""),59500.0)</f>
        <v>59500</v>
      </c>
      <c r="D2419" s="1">
        <f>IFERROR(__xludf.DUMMYFUNCTION("""COMPUTED_VALUE"""),56300.0)</f>
        <v>56300</v>
      </c>
      <c r="E2419" s="1">
        <f>IFERROR(__xludf.DUMMYFUNCTION("""COMPUTED_VALUE"""),57000.0)</f>
        <v>57000</v>
      </c>
      <c r="F2419" s="1">
        <f>IFERROR(__xludf.DUMMYFUNCTION("""COMPUTED_VALUE"""),20741.0)</f>
        <v>20741</v>
      </c>
    </row>
    <row r="2420">
      <c r="A2420" s="2">
        <f>IFERROR(__xludf.DUMMYFUNCTION("""COMPUTED_VALUE"""),44518.64583333333)</f>
        <v>44518.64583</v>
      </c>
      <c r="B2420" s="1">
        <f>IFERROR(__xludf.DUMMYFUNCTION("""COMPUTED_VALUE"""),57000.0)</f>
        <v>57000</v>
      </c>
      <c r="C2420" s="1">
        <f>IFERROR(__xludf.DUMMYFUNCTION("""COMPUTED_VALUE"""),57000.0)</f>
        <v>57000</v>
      </c>
      <c r="D2420" s="1">
        <f>IFERROR(__xludf.DUMMYFUNCTION("""COMPUTED_VALUE"""),55600.0)</f>
        <v>55600</v>
      </c>
      <c r="E2420" s="1">
        <f>IFERROR(__xludf.DUMMYFUNCTION("""COMPUTED_VALUE"""),56000.0)</f>
        <v>56000</v>
      </c>
      <c r="F2420" s="1">
        <f>IFERROR(__xludf.DUMMYFUNCTION("""COMPUTED_VALUE"""),13013.0)</f>
        <v>13013</v>
      </c>
    </row>
    <row r="2421">
      <c r="A2421" s="2">
        <f>IFERROR(__xludf.DUMMYFUNCTION("""COMPUTED_VALUE"""),44519.64583333333)</f>
        <v>44519.64583</v>
      </c>
      <c r="B2421" s="1">
        <f>IFERROR(__xludf.DUMMYFUNCTION("""COMPUTED_VALUE"""),56800.0)</f>
        <v>56800</v>
      </c>
      <c r="C2421" s="1">
        <f>IFERROR(__xludf.DUMMYFUNCTION("""COMPUTED_VALUE"""),56800.0)</f>
        <v>56800</v>
      </c>
      <c r="D2421" s="1">
        <f>IFERROR(__xludf.DUMMYFUNCTION("""COMPUTED_VALUE"""),56000.0)</f>
        <v>56000</v>
      </c>
      <c r="E2421" s="1">
        <f>IFERROR(__xludf.DUMMYFUNCTION("""COMPUTED_VALUE"""),56700.0)</f>
        <v>56700</v>
      </c>
      <c r="F2421" s="1">
        <f>IFERROR(__xludf.DUMMYFUNCTION("""COMPUTED_VALUE"""),5287.0)</f>
        <v>5287</v>
      </c>
    </row>
    <row r="2422">
      <c r="A2422" s="2">
        <f>IFERROR(__xludf.DUMMYFUNCTION("""COMPUTED_VALUE"""),44522.64583333333)</f>
        <v>44522.64583</v>
      </c>
      <c r="B2422" s="1">
        <f>IFERROR(__xludf.DUMMYFUNCTION("""COMPUTED_VALUE"""),56700.0)</f>
        <v>56700</v>
      </c>
      <c r="C2422" s="1">
        <f>IFERROR(__xludf.DUMMYFUNCTION("""COMPUTED_VALUE"""),56700.0)</f>
        <v>56700</v>
      </c>
      <c r="D2422" s="1">
        <f>IFERROR(__xludf.DUMMYFUNCTION("""COMPUTED_VALUE"""),54900.0)</f>
        <v>54900</v>
      </c>
      <c r="E2422" s="1">
        <f>IFERROR(__xludf.DUMMYFUNCTION("""COMPUTED_VALUE"""),55600.0)</f>
        <v>55600</v>
      </c>
      <c r="F2422" s="1">
        <f>IFERROR(__xludf.DUMMYFUNCTION("""COMPUTED_VALUE"""),12381.0)</f>
        <v>12381</v>
      </c>
    </row>
    <row r="2423">
      <c r="A2423" s="2">
        <f>IFERROR(__xludf.DUMMYFUNCTION("""COMPUTED_VALUE"""),44523.64583333333)</f>
        <v>44523.64583</v>
      </c>
      <c r="B2423" s="1">
        <f>IFERROR(__xludf.DUMMYFUNCTION("""COMPUTED_VALUE"""),55600.0)</f>
        <v>55600</v>
      </c>
      <c r="C2423" s="1">
        <f>IFERROR(__xludf.DUMMYFUNCTION("""COMPUTED_VALUE"""),56600.0)</f>
        <v>56600</v>
      </c>
      <c r="D2423" s="1">
        <f>IFERROR(__xludf.DUMMYFUNCTION("""COMPUTED_VALUE"""),55300.0)</f>
        <v>55300</v>
      </c>
      <c r="E2423" s="1">
        <f>IFERROR(__xludf.DUMMYFUNCTION("""COMPUTED_VALUE"""),55700.0)</f>
        <v>55700</v>
      </c>
      <c r="F2423" s="1">
        <f>IFERROR(__xludf.DUMMYFUNCTION("""COMPUTED_VALUE"""),11848.0)</f>
        <v>11848</v>
      </c>
    </row>
    <row r="2424">
      <c r="A2424" s="2">
        <f>IFERROR(__xludf.DUMMYFUNCTION("""COMPUTED_VALUE"""),44524.64583333333)</f>
        <v>44524.64583</v>
      </c>
      <c r="B2424" s="1">
        <f>IFERROR(__xludf.DUMMYFUNCTION("""COMPUTED_VALUE"""),56300.0)</f>
        <v>56300</v>
      </c>
      <c r="C2424" s="1">
        <f>IFERROR(__xludf.DUMMYFUNCTION("""COMPUTED_VALUE"""),56500.0)</f>
        <v>56500</v>
      </c>
      <c r="D2424" s="1">
        <f>IFERROR(__xludf.DUMMYFUNCTION("""COMPUTED_VALUE"""),55800.0)</f>
        <v>55800</v>
      </c>
      <c r="E2424" s="1">
        <f>IFERROR(__xludf.DUMMYFUNCTION("""COMPUTED_VALUE"""),56200.0)</f>
        <v>56200</v>
      </c>
      <c r="F2424" s="1">
        <f>IFERROR(__xludf.DUMMYFUNCTION("""COMPUTED_VALUE"""),3393.0)</f>
        <v>3393</v>
      </c>
    </row>
    <row r="2425">
      <c r="A2425" s="2">
        <f>IFERROR(__xludf.DUMMYFUNCTION("""COMPUTED_VALUE"""),44525.64583333333)</f>
        <v>44525.64583</v>
      </c>
      <c r="B2425" s="1">
        <f>IFERROR(__xludf.DUMMYFUNCTION("""COMPUTED_VALUE"""),56000.0)</f>
        <v>56000</v>
      </c>
      <c r="C2425" s="1">
        <f>IFERROR(__xludf.DUMMYFUNCTION("""COMPUTED_VALUE"""),57000.0)</f>
        <v>57000</v>
      </c>
      <c r="D2425" s="1">
        <f>IFERROR(__xludf.DUMMYFUNCTION("""COMPUTED_VALUE"""),55700.0)</f>
        <v>55700</v>
      </c>
      <c r="E2425" s="1">
        <f>IFERROR(__xludf.DUMMYFUNCTION("""COMPUTED_VALUE"""),56500.0)</f>
        <v>56500</v>
      </c>
      <c r="F2425" s="1">
        <f>IFERROR(__xludf.DUMMYFUNCTION("""COMPUTED_VALUE"""),4456.0)</f>
        <v>4456</v>
      </c>
    </row>
    <row r="2426">
      <c r="A2426" s="2">
        <f>IFERROR(__xludf.DUMMYFUNCTION("""COMPUTED_VALUE"""),44526.64583333333)</f>
        <v>44526.64583</v>
      </c>
      <c r="B2426" s="1">
        <f>IFERROR(__xludf.DUMMYFUNCTION("""COMPUTED_VALUE"""),56100.0)</f>
        <v>56100</v>
      </c>
      <c r="C2426" s="1">
        <f>IFERROR(__xludf.DUMMYFUNCTION("""COMPUTED_VALUE"""),56500.0)</f>
        <v>56500</v>
      </c>
      <c r="D2426" s="1">
        <f>IFERROR(__xludf.DUMMYFUNCTION("""COMPUTED_VALUE"""),55000.0)</f>
        <v>55000</v>
      </c>
      <c r="E2426" s="1">
        <f>IFERROR(__xludf.DUMMYFUNCTION("""COMPUTED_VALUE"""),55300.0)</f>
        <v>55300</v>
      </c>
      <c r="F2426" s="1">
        <f>IFERROR(__xludf.DUMMYFUNCTION("""COMPUTED_VALUE"""),8632.0)</f>
        <v>8632</v>
      </c>
    </row>
    <row r="2427">
      <c r="A2427" s="2">
        <f>IFERROR(__xludf.DUMMYFUNCTION("""COMPUTED_VALUE"""),44529.64583333333)</f>
        <v>44529.64583</v>
      </c>
      <c r="B2427" s="1">
        <f>IFERROR(__xludf.DUMMYFUNCTION("""COMPUTED_VALUE"""),53700.0)</f>
        <v>53700</v>
      </c>
      <c r="C2427" s="1">
        <f>IFERROR(__xludf.DUMMYFUNCTION("""COMPUTED_VALUE"""),55300.0)</f>
        <v>55300</v>
      </c>
      <c r="D2427" s="1">
        <f>IFERROR(__xludf.DUMMYFUNCTION("""COMPUTED_VALUE"""),53400.0)</f>
        <v>53400</v>
      </c>
      <c r="E2427" s="1">
        <f>IFERROR(__xludf.DUMMYFUNCTION("""COMPUTED_VALUE"""),54700.0)</f>
        <v>54700</v>
      </c>
      <c r="F2427" s="1">
        <f>IFERROR(__xludf.DUMMYFUNCTION("""COMPUTED_VALUE"""),13970.0)</f>
        <v>13970</v>
      </c>
    </row>
    <row r="2428">
      <c r="A2428" s="2">
        <f>IFERROR(__xludf.DUMMYFUNCTION("""COMPUTED_VALUE"""),44530.64583333333)</f>
        <v>44530.64583</v>
      </c>
      <c r="B2428" s="1">
        <f>IFERROR(__xludf.DUMMYFUNCTION("""COMPUTED_VALUE"""),54700.0)</f>
        <v>54700</v>
      </c>
      <c r="C2428" s="1">
        <f>IFERROR(__xludf.DUMMYFUNCTION("""COMPUTED_VALUE"""),55200.0)</f>
        <v>55200</v>
      </c>
      <c r="D2428" s="1">
        <f>IFERROR(__xludf.DUMMYFUNCTION("""COMPUTED_VALUE"""),52700.0)</f>
        <v>52700</v>
      </c>
      <c r="E2428" s="1">
        <f>IFERROR(__xludf.DUMMYFUNCTION("""COMPUTED_VALUE"""),52800.0)</f>
        <v>52800</v>
      </c>
      <c r="F2428" s="1">
        <f>IFERROR(__xludf.DUMMYFUNCTION("""COMPUTED_VALUE"""),18001.0)</f>
        <v>18001</v>
      </c>
    </row>
    <row r="2429">
      <c r="A2429" s="2">
        <f>IFERROR(__xludf.DUMMYFUNCTION("""COMPUTED_VALUE"""),44531.64583333333)</f>
        <v>44531.64583</v>
      </c>
      <c r="B2429" s="1">
        <f>IFERROR(__xludf.DUMMYFUNCTION("""COMPUTED_VALUE"""),53300.0)</f>
        <v>53300</v>
      </c>
      <c r="C2429" s="1">
        <f>IFERROR(__xludf.DUMMYFUNCTION("""COMPUTED_VALUE"""),54800.0)</f>
        <v>54800</v>
      </c>
      <c r="D2429" s="1">
        <f>IFERROR(__xludf.DUMMYFUNCTION("""COMPUTED_VALUE"""),52200.0)</f>
        <v>52200</v>
      </c>
      <c r="E2429" s="1">
        <f>IFERROR(__xludf.DUMMYFUNCTION("""COMPUTED_VALUE"""),54500.0)</f>
        <v>54500</v>
      </c>
      <c r="F2429" s="1">
        <f>IFERROR(__xludf.DUMMYFUNCTION("""COMPUTED_VALUE"""),9958.0)</f>
        <v>9958</v>
      </c>
    </row>
    <row r="2430">
      <c r="A2430" s="2">
        <f>IFERROR(__xludf.DUMMYFUNCTION("""COMPUTED_VALUE"""),44532.64583333333)</f>
        <v>44532.64583</v>
      </c>
      <c r="B2430" s="1">
        <f>IFERROR(__xludf.DUMMYFUNCTION("""COMPUTED_VALUE"""),53900.0)</f>
        <v>53900</v>
      </c>
      <c r="C2430" s="1">
        <f>IFERROR(__xludf.DUMMYFUNCTION("""COMPUTED_VALUE"""),55600.0)</f>
        <v>55600</v>
      </c>
      <c r="D2430" s="1">
        <f>IFERROR(__xludf.DUMMYFUNCTION("""COMPUTED_VALUE"""),53400.0)</f>
        <v>53400</v>
      </c>
      <c r="E2430" s="1">
        <f>IFERROR(__xludf.DUMMYFUNCTION("""COMPUTED_VALUE"""),55200.0)</f>
        <v>55200</v>
      </c>
      <c r="F2430" s="1">
        <f>IFERROR(__xludf.DUMMYFUNCTION("""COMPUTED_VALUE"""),12765.0)</f>
        <v>12765</v>
      </c>
    </row>
    <row r="2431">
      <c r="A2431" s="2">
        <f>IFERROR(__xludf.DUMMYFUNCTION("""COMPUTED_VALUE"""),44533.64583333333)</f>
        <v>44533.64583</v>
      </c>
      <c r="B2431" s="1">
        <f>IFERROR(__xludf.DUMMYFUNCTION("""COMPUTED_VALUE"""),55600.0)</f>
        <v>55600</v>
      </c>
      <c r="C2431" s="1">
        <f>IFERROR(__xludf.DUMMYFUNCTION("""COMPUTED_VALUE"""),56100.0)</f>
        <v>56100</v>
      </c>
      <c r="D2431" s="1">
        <f>IFERROR(__xludf.DUMMYFUNCTION("""COMPUTED_VALUE"""),54600.0)</f>
        <v>54600</v>
      </c>
      <c r="E2431" s="1">
        <f>IFERROR(__xludf.DUMMYFUNCTION("""COMPUTED_VALUE"""),55500.0)</f>
        <v>55500</v>
      </c>
      <c r="F2431" s="1">
        <f>IFERROR(__xludf.DUMMYFUNCTION("""COMPUTED_VALUE"""),7973.0)</f>
        <v>7973</v>
      </c>
    </row>
    <row r="2432">
      <c r="A2432" s="2">
        <f>IFERROR(__xludf.DUMMYFUNCTION("""COMPUTED_VALUE"""),44536.64583333333)</f>
        <v>44536.64583</v>
      </c>
      <c r="B2432" s="1">
        <f>IFERROR(__xludf.DUMMYFUNCTION("""COMPUTED_VALUE"""),55200.0)</f>
        <v>55200</v>
      </c>
      <c r="C2432" s="1">
        <f>IFERROR(__xludf.DUMMYFUNCTION("""COMPUTED_VALUE"""),56700.0)</f>
        <v>56700</v>
      </c>
      <c r="D2432" s="1">
        <f>IFERROR(__xludf.DUMMYFUNCTION("""COMPUTED_VALUE"""),54600.0)</f>
        <v>54600</v>
      </c>
      <c r="E2432" s="1">
        <f>IFERROR(__xludf.DUMMYFUNCTION("""COMPUTED_VALUE"""),56400.0)</f>
        <v>56400</v>
      </c>
      <c r="F2432" s="1">
        <f>IFERROR(__xludf.DUMMYFUNCTION("""COMPUTED_VALUE"""),16803.0)</f>
        <v>16803</v>
      </c>
    </row>
    <row r="2433">
      <c r="A2433" s="2">
        <f>IFERROR(__xludf.DUMMYFUNCTION("""COMPUTED_VALUE"""),44537.64583333333)</f>
        <v>44537.64583</v>
      </c>
      <c r="B2433" s="1">
        <f>IFERROR(__xludf.DUMMYFUNCTION("""COMPUTED_VALUE"""),56800.0)</f>
        <v>56800</v>
      </c>
      <c r="C2433" s="1">
        <f>IFERROR(__xludf.DUMMYFUNCTION("""COMPUTED_VALUE"""),57300.0)</f>
        <v>57300</v>
      </c>
      <c r="D2433" s="1">
        <f>IFERROR(__xludf.DUMMYFUNCTION("""COMPUTED_VALUE"""),56300.0)</f>
        <v>56300</v>
      </c>
      <c r="E2433" s="1">
        <f>IFERROR(__xludf.DUMMYFUNCTION("""COMPUTED_VALUE"""),56700.0)</f>
        <v>56700</v>
      </c>
      <c r="F2433" s="1">
        <f>IFERROR(__xludf.DUMMYFUNCTION("""COMPUTED_VALUE"""),9707.0)</f>
        <v>9707</v>
      </c>
    </row>
    <row r="2434">
      <c r="A2434" s="2">
        <f>IFERROR(__xludf.DUMMYFUNCTION("""COMPUTED_VALUE"""),44538.64583333333)</f>
        <v>44538.64583</v>
      </c>
      <c r="B2434" s="1">
        <f>IFERROR(__xludf.DUMMYFUNCTION("""COMPUTED_VALUE"""),57400.0)</f>
        <v>57400</v>
      </c>
      <c r="C2434" s="1">
        <f>IFERROR(__xludf.DUMMYFUNCTION("""COMPUTED_VALUE"""),57400.0)</f>
        <v>57400</v>
      </c>
      <c r="D2434" s="1">
        <f>IFERROR(__xludf.DUMMYFUNCTION("""COMPUTED_VALUE"""),55200.0)</f>
        <v>55200</v>
      </c>
      <c r="E2434" s="1">
        <f>IFERROR(__xludf.DUMMYFUNCTION("""COMPUTED_VALUE"""),55400.0)</f>
        <v>55400</v>
      </c>
      <c r="F2434" s="1">
        <f>IFERROR(__xludf.DUMMYFUNCTION("""COMPUTED_VALUE"""),10595.0)</f>
        <v>10595</v>
      </c>
    </row>
    <row r="2435">
      <c r="A2435" s="2">
        <f>IFERROR(__xludf.DUMMYFUNCTION("""COMPUTED_VALUE"""),44539.64583333333)</f>
        <v>44539.64583</v>
      </c>
      <c r="B2435" s="1">
        <f>IFERROR(__xludf.DUMMYFUNCTION("""COMPUTED_VALUE"""),56000.0)</f>
        <v>56000</v>
      </c>
      <c r="C2435" s="1">
        <f>IFERROR(__xludf.DUMMYFUNCTION("""COMPUTED_VALUE"""),56200.0)</f>
        <v>56200</v>
      </c>
      <c r="D2435" s="1">
        <f>IFERROR(__xludf.DUMMYFUNCTION("""COMPUTED_VALUE"""),55500.0)</f>
        <v>55500</v>
      </c>
      <c r="E2435" s="1">
        <f>IFERROR(__xludf.DUMMYFUNCTION("""COMPUTED_VALUE"""),55600.0)</f>
        <v>55600</v>
      </c>
      <c r="F2435" s="1">
        <f>IFERROR(__xludf.DUMMYFUNCTION("""COMPUTED_VALUE"""),5047.0)</f>
        <v>5047</v>
      </c>
    </row>
    <row r="2436">
      <c r="A2436" s="2">
        <f>IFERROR(__xludf.DUMMYFUNCTION("""COMPUTED_VALUE"""),44540.64583333333)</f>
        <v>44540.64583</v>
      </c>
      <c r="B2436" s="1">
        <f>IFERROR(__xludf.DUMMYFUNCTION("""COMPUTED_VALUE"""),55300.0)</f>
        <v>55300</v>
      </c>
      <c r="C2436" s="1">
        <f>IFERROR(__xludf.DUMMYFUNCTION("""COMPUTED_VALUE"""),55500.0)</f>
        <v>55500</v>
      </c>
      <c r="D2436" s="1">
        <f>IFERROR(__xludf.DUMMYFUNCTION("""COMPUTED_VALUE"""),54600.0)</f>
        <v>54600</v>
      </c>
      <c r="E2436" s="1">
        <f>IFERROR(__xludf.DUMMYFUNCTION("""COMPUTED_VALUE"""),55500.0)</f>
        <v>55500</v>
      </c>
      <c r="F2436" s="1">
        <f>IFERROR(__xludf.DUMMYFUNCTION("""COMPUTED_VALUE"""),10359.0)</f>
        <v>10359</v>
      </c>
    </row>
    <row r="2437">
      <c r="A2437" s="2">
        <f>IFERROR(__xludf.DUMMYFUNCTION("""COMPUTED_VALUE"""),44543.64583333333)</f>
        <v>44543.64583</v>
      </c>
      <c r="B2437" s="1">
        <f>IFERROR(__xludf.DUMMYFUNCTION("""COMPUTED_VALUE"""),55600.0)</f>
        <v>55600</v>
      </c>
      <c r="C2437" s="1">
        <f>IFERROR(__xludf.DUMMYFUNCTION("""COMPUTED_VALUE"""),56000.0)</f>
        <v>56000</v>
      </c>
      <c r="D2437" s="1">
        <f>IFERROR(__xludf.DUMMYFUNCTION("""COMPUTED_VALUE"""),55600.0)</f>
        <v>55600</v>
      </c>
      <c r="E2437" s="1">
        <f>IFERROR(__xludf.DUMMYFUNCTION("""COMPUTED_VALUE"""),55800.0)</f>
        <v>55800</v>
      </c>
      <c r="F2437" s="1">
        <f>IFERROR(__xludf.DUMMYFUNCTION("""COMPUTED_VALUE"""),3033.0)</f>
        <v>3033</v>
      </c>
    </row>
    <row r="2438">
      <c r="A2438" s="2">
        <f>IFERROR(__xludf.DUMMYFUNCTION("""COMPUTED_VALUE"""),44544.64583333333)</f>
        <v>44544.64583</v>
      </c>
      <c r="B2438" s="1">
        <f>IFERROR(__xludf.DUMMYFUNCTION("""COMPUTED_VALUE"""),55700.0)</f>
        <v>55700</v>
      </c>
      <c r="C2438" s="1">
        <f>IFERROR(__xludf.DUMMYFUNCTION("""COMPUTED_VALUE"""),56000.0)</f>
        <v>56000</v>
      </c>
      <c r="D2438" s="1">
        <f>IFERROR(__xludf.DUMMYFUNCTION("""COMPUTED_VALUE"""),55300.0)</f>
        <v>55300</v>
      </c>
      <c r="E2438" s="1">
        <f>IFERROR(__xludf.DUMMYFUNCTION("""COMPUTED_VALUE"""),56000.0)</f>
        <v>56000</v>
      </c>
      <c r="F2438" s="1">
        <f>IFERROR(__xludf.DUMMYFUNCTION("""COMPUTED_VALUE"""),8293.0)</f>
        <v>8293</v>
      </c>
    </row>
    <row r="2439">
      <c r="A2439" s="2">
        <f>IFERROR(__xludf.DUMMYFUNCTION("""COMPUTED_VALUE"""),44545.64583333333)</f>
        <v>44545.64583</v>
      </c>
      <c r="B2439" s="1">
        <f>IFERROR(__xludf.DUMMYFUNCTION("""COMPUTED_VALUE"""),55400.0)</f>
        <v>55400</v>
      </c>
      <c r="C2439" s="1">
        <f>IFERROR(__xludf.DUMMYFUNCTION("""COMPUTED_VALUE"""),55900.0)</f>
        <v>55900</v>
      </c>
      <c r="D2439" s="1">
        <f>IFERROR(__xludf.DUMMYFUNCTION("""COMPUTED_VALUE"""),55200.0)</f>
        <v>55200</v>
      </c>
      <c r="E2439" s="1">
        <f>IFERROR(__xludf.DUMMYFUNCTION("""COMPUTED_VALUE"""),55600.0)</f>
        <v>55600</v>
      </c>
      <c r="F2439" s="1">
        <f>IFERROR(__xludf.DUMMYFUNCTION("""COMPUTED_VALUE"""),5327.0)</f>
        <v>5327</v>
      </c>
    </row>
    <row r="2440">
      <c r="A2440" s="2">
        <f>IFERROR(__xludf.DUMMYFUNCTION("""COMPUTED_VALUE"""),44546.64583333333)</f>
        <v>44546.64583</v>
      </c>
      <c r="B2440" s="1">
        <f>IFERROR(__xludf.DUMMYFUNCTION("""COMPUTED_VALUE"""),55800.0)</f>
        <v>55800</v>
      </c>
      <c r="C2440" s="1">
        <f>IFERROR(__xludf.DUMMYFUNCTION("""COMPUTED_VALUE"""),56400.0)</f>
        <v>56400</v>
      </c>
      <c r="D2440" s="1">
        <f>IFERROR(__xludf.DUMMYFUNCTION("""COMPUTED_VALUE"""),55500.0)</f>
        <v>55500</v>
      </c>
      <c r="E2440" s="1">
        <f>IFERROR(__xludf.DUMMYFUNCTION("""COMPUTED_VALUE"""),55800.0)</f>
        <v>55800</v>
      </c>
      <c r="F2440" s="1">
        <f>IFERROR(__xludf.DUMMYFUNCTION("""COMPUTED_VALUE"""),3837.0)</f>
        <v>3837</v>
      </c>
    </row>
    <row r="2441">
      <c r="A2441" s="2">
        <f>IFERROR(__xludf.DUMMYFUNCTION("""COMPUTED_VALUE"""),44547.64583333333)</f>
        <v>44547.64583</v>
      </c>
      <c r="B2441" s="1">
        <f>IFERROR(__xludf.DUMMYFUNCTION("""COMPUTED_VALUE"""),55300.0)</f>
        <v>55300</v>
      </c>
      <c r="C2441" s="1">
        <f>IFERROR(__xludf.DUMMYFUNCTION("""COMPUTED_VALUE"""),55900.0)</f>
        <v>55900</v>
      </c>
      <c r="D2441" s="1">
        <f>IFERROR(__xludf.DUMMYFUNCTION("""COMPUTED_VALUE"""),55300.0)</f>
        <v>55300</v>
      </c>
      <c r="E2441" s="1">
        <f>IFERROR(__xludf.DUMMYFUNCTION("""COMPUTED_VALUE"""),55800.0)</f>
        <v>55800</v>
      </c>
      <c r="F2441" s="1">
        <f>IFERROR(__xludf.DUMMYFUNCTION("""COMPUTED_VALUE"""),9146.0)</f>
        <v>9146</v>
      </c>
    </row>
    <row r="2442">
      <c r="A2442" s="2">
        <f>IFERROR(__xludf.DUMMYFUNCTION("""COMPUTED_VALUE"""),44550.64583333333)</f>
        <v>44550.64583</v>
      </c>
      <c r="B2442" s="1">
        <f>IFERROR(__xludf.DUMMYFUNCTION("""COMPUTED_VALUE"""),55700.0)</f>
        <v>55700</v>
      </c>
      <c r="C2442" s="1">
        <f>IFERROR(__xludf.DUMMYFUNCTION("""COMPUTED_VALUE"""),55700.0)</f>
        <v>55700</v>
      </c>
      <c r="D2442" s="1">
        <f>IFERROR(__xludf.DUMMYFUNCTION("""COMPUTED_VALUE"""),54600.0)</f>
        <v>54600</v>
      </c>
      <c r="E2442" s="1">
        <f>IFERROR(__xludf.DUMMYFUNCTION("""COMPUTED_VALUE"""),54900.0)</f>
        <v>54900</v>
      </c>
      <c r="F2442" s="1">
        <f>IFERROR(__xludf.DUMMYFUNCTION("""COMPUTED_VALUE"""),7345.0)</f>
        <v>7345</v>
      </c>
    </row>
    <row r="2443">
      <c r="A2443" s="2">
        <f>IFERROR(__xludf.DUMMYFUNCTION("""COMPUTED_VALUE"""),44551.64583333333)</f>
        <v>44551.64583</v>
      </c>
      <c r="B2443" s="1">
        <f>IFERROR(__xludf.DUMMYFUNCTION("""COMPUTED_VALUE"""),55100.0)</f>
        <v>55100</v>
      </c>
      <c r="C2443" s="1">
        <f>IFERROR(__xludf.DUMMYFUNCTION("""COMPUTED_VALUE"""),55600.0)</f>
        <v>55600</v>
      </c>
      <c r="D2443" s="1">
        <f>IFERROR(__xludf.DUMMYFUNCTION("""COMPUTED_VALUE"""),54800.0)</f>
        <v>54800</v>
      </c>
      <c r="E2443" s="1">
        <f>IFERROR(__xludf.DUMMYFUNCTION("""COMPUTED_VALUE"""),55400.0)</f>
        <v>55400</v>
      </c>
      <c r="F2443" s="1">
        <f>IFERROR(__xludf.DUMMYFUNCTION("""COMPUTED_VALUE"""),4157.0)</f>
        <v>4157</v>
      </c>
    </row>
    <row r="2444">
      <c r="A2444" s="2">
        <f>IFERROR(__xludf.DUMMYFUNCTION("""COMPUTED_VALUE"""),44552.64583333333)</f>
        <v>44552.64583</v>
      </c>
      <c r="B2444" s="1">
        <f>IFERROR(__xludf.DUMMYFUNCTION("""COMPUTED_VALUE"""),56100.0)</f>
        <v>56100</v>
      </c>
      <c r="C2444" s="1">
        <f>IFERROR(__xludf.DUMMYFUNCTION("""COMPUTED_VALUE"""),56200.0)</f>
        <v>56200</v>
      </c>
      <c r="D2444" s="1">
        <f>IFERROR(__xludf.DUMMYFUNCTION("""COMPUTED_VALUE"""),55300.0)</f>
        <v>55300</v>
      </c>
      <c r="E2444" s="1">
        <f>IFERROR(__xludf.DUMMYFUNCTION("""COMPUTED_VALUE"""),55300.0)</f>
        <v>55300</v>
      </c>
      <c r="F2444" s="1">
        <f>IFERROR(__xludf.DUMMYFUNCTION("""COMPUTED_VALUE"""),6797.0)</f>
        <v>6797</v>
      </c>
    </row>
    <row r="2445">
      <c r="A2445" s="2">
        <f>IFERROR(__xludf.DUMMYFUNCTION("""COMPUTED_VALUE"""),44553.64583333333)</f>
        <v>44553.64583</v>
      </c>
      <c r="B2445" s="1">
        <f>IFERROR(__xludf.DUMMYFUNCTION("""COMPUTED_VALUE"""),55600.0)</f>
        <v>55600</v>
      </c>
      <c r="C2445" s="1">
        <f>IFERROR(__xludf.DUMMYFUNCTION("""COMPUTED_VALUE"""),55900.0)</f>
        <v>55900</v>
      </c>
      <c r="D2445" s="1">
        <f>IFERROR(__xludf.DUMMYFUNCTION("""COMPUTED_VALUE"""),55500.0)</f>
        <v>55500</v>
      </c>
      <c r="E2445" s="1">
        <f>IFERROR(__xludf.DUMMYFUNCTION("""COMPUTED_VALUE"""),55900.0)</f>
        <v>55900</v>
      </c>
      <c r="F2445" s="1">
        <f>IFERROR(__xludf.DUMMYFUNCTION("""COMPUTED_VALUE"""),7644.0)</f>
        <v>7644</v>
      </c>
    </row>
    <row r="2446">
      <c r="A2446" s="2">
        <f>IFERROR(__xludf.DUMMYFUNCTION("""COMPUTED_VALUE"""),44554.64583333333)</f>
        <v>44554.64583</v>
      </c>
      <c r="B2446" s="1">
        <f>IFERROR(__xludf.DUMMYFUNCTION("""COMPUTED_VALUE"""),55800.0)</f>
        <v>55800</v>
      </c>
      <c r="C2446" s="1">
        <f>IFERROR(__xludf.DUMMYFUNCTION("""COMPUTED_VALUE"""),58600.0)</f>
        <v>58600</v>
      </c>
      <c r="D2446" s="1">
        <f>IFERROR(__xludf.DUMMYFUNCTION("""COMPUTED_VALUE"""),55800.0)</f>
        <v>55800</v>
      </c>
      <c r="E2446" s="1">
        <f>IFERROR(__xludf.DUMMYFUNCTION("""COMPUTED_VALUE"""),57900.0)</f>
        <v>57900</v>
      </c>
      <c r="F2446" s="1">
        <f>IFERROR(__xludf.DUMMYFUNCTION("""COMPUTED_VALUE"""),22630.0)</f>
        <v>22630</v>
      </c>
    </row>
    <row r="2447">
      <c r="A2447" s="2">
        <f>IFERROR(__xludf.DUMMYFUNCTION("""COMPUTED_VALUE"""),44557.64583333333)</f>
        <v>44557.64583</v>
      </c>
      <c r="B2447" s="1">
        <f>IFERROR(__xludf.DUMMYFUNCTION("""COMPUTED_VALUE"""),57900.0)</f>
        <v>57900</v>
      </c>
      <c r="C2447" s="1">
        <f>IFERROR(__xludf.DUMMYFUNCTION("""COMPUTED_VALUE"""),58400.0)</f>
        <v>58400</v>
      </c>
      <c r="D2447" s="1">
        <f>IFERROR(__xludf.DUMMYFUNCTION("""COMPUTED_VALUE"""),57000.0)</f>
        <v>57000</v>
      </c>
      <c r="E2447" s="1">
        <f>IFERROR(__xludf.DUMMYFUNCTION("""COMPUTED_VALUE"""),57500.0)</f>
        <v>57500</v>
      </c>
      <c r="F2447" s="1">
        <f>IFERROR(__xludf.DUMMYFUNCTION("""COMPUTED_VALUE"""),19267.0)</f>
        <v>19267</v>
      </c>
    </row>
    <row r="2448">
      <c r="A2448" s="2">
        <f>IFERROR(__xludf.DUMMYFUNCTION("""COMPUTED_VALUE"""),44558.64583333333)</f>
        <v>44558.64583</v>
      </c>
      <c r="B2448" s="1">
        <f>IFERROR(__xludf.DUMMYFUNCTION("""COMPUTED_VALUE"""),57600.0)</f>
        <v>57600</v>
      </c>
      <c r="C2448" s="1">
        <f>IFERROR(__xludf.DUMMYFUNCTION("""COMPUTED_VALUE"""),58300.0)</f>
        <v>58300</v>
      </c>
      <c r="D2448" s="1">
        <f>IFERROR(__xludf.DUMMYFUNCTION("""COMPUTED_VALUE"""),57400.0)</f>
        <v>57400</v>
      </c>
      <c r="E2448" s="1">
        <f>IFERROR(__xludf.DUMMYFUNCTION("""COMPUTED_VALUE"""),58300.0)</f>
        <v>58300</v>
      </c>
      <c r="F2448" s="1">
        <f>IFERROR(__xludf.DUMMYFUNCTION("""COMPUTED_VALUE"""),32286.0)</f>
        <v>32286</v>
      </c>
    </row>
    <row r="2449">
      <c r="A2449" s="2">
        <f>IFERROR(__xludf.DUMMYFUNCTION("""COMPUTED_VALUE"""),44559.64583333333)</f>
        <v>44559.64583</v>
      </c>
      <c r="B2449" s="1">
        <f>IFERROR(__xludf.DUMMYFUNCTION("""COMPUTED_VALUE"""),56000.0)</f>
        <v>56000</v>
      </c>
      <c r="C2449" s="1">
        <f>IFERROR(__xludf.DUMMYFUNCTION("""COMPUTED_VALUE"""),56400.0)</f>
        <v>56400</v>
      </c>
      <c r="D2449" s="1">
        <f>IFERROR(__xludf.DUMMYFUNCTION("""COMPUTED_VALUE"""),55600.0)</f>
        <v>55600</v>
      </c>
      <c r="E2449" s="1">
        <f>IFERROR(__xludf.DUMMYFUNCTION("""COMPUTED_VALUE"""),56100.0)</f>
        <v>56100</v>
      </c>
      <c r="F2449" s="1">
        <f>IFERROR(__xludf.DUMMYFUNCTION("""COMPUTED_VALUE"""),20267.0)</f>
        <v>20267</v>
      </c>
    </row>
    <row r="2450">
      <c r="A2450" s="2">
        <f>IFERROR(__xludf.DUMMYFUNCTION("""COMPUTED_VALUE"""),44560.64583333333)</f>
        <v>44560.64583</v>
      </c>
      <c r="B2450" s="1">
        <f>IFERROR(__xludf.DUMMYFUNCTION("""COMPUTED_VALUE"""),56100.0)</f>
        <v>56100</v>
      </c>
      <c r="C2450" s="1">
        <f>IFERROR(__xludf.DUMMYFUNCTION("""COMPUTED_VALUE"""),56100.0)</f>
        <v>56100</v>
      </c>
      <c r="D2450" s="1">
        <f>IFERROR(__xludf.DUMMYFUNCTION("""COMPUTED_VALUE"""),54800.0)</f>
        <v>54800</v>
      </c>
      <c r="E2450" s="1">
        <f>IFERROR(__xludf.DUMMYFUNCTION("""COMPUTED_VALUE"""),54800.0)</f>
        <v>54800</v>
      </c>
      <c r="F2450" s="1">
        <f>IFERROR(__xludf.DUMMYFUNCTION("""COMPUTED_VALUE"""),9642.0)</f>
        <v>9642</v>
      </c>
    </row>
    <row r="2451">
      <c r="A2451" s="2">
        <f>IFERROR(__xludf.DUMMYFUNCTION("""COMPUTED_VALUE"""),44564.64583333333)</f>
        <v>44564.64583</v>
      </c>
      <c r="B2451" s="1">
        <f>IFERROR(__xludf.DUMMYFUNCTION("""COMPUTED_VALUE"""),55000.0)</f>
        <v>55000</v>
      </c>
      <c r="C2451" s="1">
        <f>IFERROR(__xludf.DUMMYFUNCTION("""COMPUTED_VALUE"""),55000.0)</f>
        <v>55000</v>
      </c>
      <c r="D2451" s="1">
        <f>IFERROR(__xludf.DUMMYFUNCTION("""COMPUTED_VALUE"""),54200.0)</f>
        <v>54200</v>
      </c>
      <c r="E2451" s="1">
        <f>IFERROR(__xludf.DUMMYFUNCTION("""COMPUTED_VALUE"""),54500.0)</f>
        <v>54500</v>
      </c>
      <c r="F2451" s="1">
        <f>IFERROR(__xludf.DUMMYFUNCTION("""COMPUTED_VALUE"""),4207.0)</f>
        <v>4207</v>
      </c>
    </row>
    <row r="2452">
      <c r="A2452" s="2">
        <f>IFERROR(__xludf.DUMMYFUNCTION("""COMPUTED_VALUE"""),44565.64583333333)</f>
        <v>44565.64583</v>
      </c>
      <c r="B2452" s="1">
        <f>IFERROR(__xludf.DUMMYFUNCTION("""COMPUTED_VALUE"""),55000.0)</f>
        <v>55000</v>
      </c>
      <c r="C2452" s="1">
        <f>IFERROR(__xludf.DUMMYFUNCTION("""COMPUTED_VALUE"""),55600.0)</f>
        <v>55600</v>
      </c>
      <c r="D2452" s="1">
        <f>IFERROR(__xludf.DUMMYFUNCTION("""COMPUTED_VALUE"""),54500.0)</f>
        <v>54500</v>
      </c>
      <c r="E2452" s="1">
        <f>IFERROR(__xludf.DUMMYFUNCTION("""COMPUTED_VALUE"""),55300.0)</f>
        <v>55300</v>
      </c>
      <c r="F2452" s="1">
        <f>IFERROR(__xludf.DUMMYFUNCTION("""COMPUTED_VALUE"""),7960.0)</f>
        <v>7960</v>
      </c>
    </row>
    <row r="2453">
      <c r="A2453" s="2">
        <f>IFERROR(__xludf.DUMMYFUNCTION("""COMPUTED_VALUE"""),44566.64583333333)</f>
        <v>44566.64583</v>
      </c>
      <c r="B2453" s="1">
        <f>IFERROR(__xludf.DUMMYFUNCTION("""COMPUTED_VALUE"""),55600.0)</f>
        <v>55600</v>
      </c>
      <c r="C2453" s="1">
        <f>IFERROR(__xludf.DUMMYFUNCTION("""COMPUTED_VALUE"""),56500.0)</f>
        <v>56500</v>
      </c>
      <c r="D2453" s="1">
        <f>IFERROR(__xludf.DUMMYFUNCTION("""COMPUTED_VALUE"""),55000.0)</f>
        <v>55000</v>
      </c>
      <c r="E2453" s="1">
        <f>IFERROR(__xludf.DUMMYFUNCTION("""COMPUTED_VALUE"""),55000.0)</f>
        <v>55000</v>
      </c>
      <c r="F2453" s="1">
        <f>IFERROR(__xludf.DUMMYFUNCTION("""COMPUTED_VALUE"""),7458.0)</f>
        <v>7458</v>
      </c>
    </row>
    <row r="2454">
      <c r="A2454" s="2">
        <f>IFERROR(__xludf.DUMMYFUNCTION("""COMPUTED_VALUE"""),44567.64583333333)</f>
        <v>44567.64583</v>
      </c>
      <c r="B2454" s="1">
        <f>IFERROR(__xludf.DUMMYFUNCTION("""COMPUTED_VALUE"""),55300.0)</f>
        <v>55300</v>
      </c>
      <c r="C2454" s="1">
        <f>IFERROR(__xludf.DUMMYFUNCTION("""COMPUTED_VALUE"""),55400.0)</f>
        <v>55400</v>
      </c>
      <c r="D2454" s="1">
        <f>IFERROR(__xludf.DUMMYFUNCTION("""COMPUTED_VALUE"""),54700.0)</f>
        <v>54700</v>
      </c>
      <c r="E2454" s="1">
        <f>IFERROR(__xludf.DUMMYFUNCTION("""COMPUTED_VALUE"""),55000.0)</f>
        <v>55000</v>
      </c>
      <c r="F2454" s="1">
        <f>IFERROR(__xludf.DUMMYFUNCTION("""COMPUTED_VALUE"""),10774.0)</f>
        <v>10774</v>
      </c>
    </row>
    <row r="2455">
      <c r="A2455" s="2">
        <f>IFERROR(__xludf.DUMMYFUNCTION("""COMPUTED_VALUE"""),44568.64583333333)</f>
        <v>44568.64583</v>
      </c>
      <c r="B2455" s="1">
        <f>IFERROR(__xludf.DUMMYFUNCTION("""COMPUTED_VALUE"""),56000.0)</f>
        <v>56000</v>
      </c>
      <c r="C2455" s="1">
        <f>IFERROR(__xludf.DUMMYFUNCTION("""COMPUTED_VALUE"""),57200.0)</f>
        <v>57200</v>
      </c>
      <c r="D2455" s="1">
        <f>IFERROR(__xludf.DUMMYFUNCTION("""COMPUTED_VALUE"""),55600.0)</f>
        <v>55600</v>
      </c>
      <c r="E2455" s="1">
        <f>IFERROR(__xludf.DUMMYFUNCTION("""COMPUTED_VALUE"""),56200.0)</f>
        <v>56200</v>
      </c>
      <c r="F2455" s="1">
        <f>IFERROR(__xludf.DUMMYFUNCTION("""COMPUTED_VALUE"""),23556.0)</f>
        <v>23556</v>
      </c>
    </row>
    <row r="2456">
      <c r="A2456" s="2">
        <f>IFERROR(__xludf.DUMMYFUNCTION("""COMPUTED_VALUE"""),44571.64583333333)</f>
        <v>44571.64583</v>
      </c>
      <c r="B2456" s="1">
        <f>IFERROR(__xludf.DUMMYFUNCTION("""COMPUTED_VALUE"""),56300.0)</f>
        <v>56300</v>
      </c>
      <c r="C2456" s="1">
        <f>IFERROR(__xludf.DUMMYFUNCTION("""COMPUTED_VALUE"""),56700.0)</f>
        <v>56700</v>
      </c>
      <c r="D2456" s="1">
        <f>IFERROR(__xludf.DUMMYFUNCTION("""COMPUTED_VALUE"""),55200.0)</f>
        <v>55200</v>
      </c>
      <c r="E2456" s="1">
        <f>IFERROR(__xludf.DUMMYFUNCTION("""COMPUTED_VALUE"""),55900.0)</f>
        <v>55900</v>
      </c>
      <c r="F2456" s="1">
        <f>IFERROR(__xludf.DUMMYFUNCTION("""COMPUTED_VALUE"""),10257.0)</f>
        <v>10257</v>
      </c>
    </row>
    <row r="2457">
      <c r="A2457" s="2">
        <f>IFERROR(__xludf.DUMMYFUNCTION("""COMPUTED_VALUE"""),44572.64583333333)</f>
        <v>44572.64583</v>
      </c>
      <c r="B2457" s="1">
        <f>IFERROR(__xludf.DUMMYFUNCTION("""COMPUTED_VALUE"""),55900.0)</f>
        <v>55900</v>
      </c>
      <c r="C2457" s="1">
        <f>IFERROR(__xludf.DUMMYFUNCTION("""COMPUTED_VALUE"""),56100.0)</f>
        <v>56100</v>
      </c>
      <c r="D2457" s="1">
        <f>IFERROR(__xludf.DUMMYFUNCTION("""COMPUTED_VALUE"""),54400.0)</f>
        <v>54400</v>
      </c>
      <c r="E2457" s="1">
        <f>IFERROR(__xludf.DUMMYFUNCTION("""COMPUTED_VALUE"""),55400.0)</f>
        <v>55400</v>
      </c>
      <c r="F2457" s="1">
        <f>IFERROR(__xludf.DUMMYFUNCTION("""COMPUTED_VALUE"""),19734.0)</f>
        <v>19734</v>
      </c>
    </row>
    <row r="2458">
      <c r="A2458" s="2">
        <f>IFERROR(__xludf.DUMMYFUNCTION("""COMPUTED_VALUE"""),44573.64583333333)</f>
        <v>44573.64583</v>
      </c>
      <c r="B2458" s="1">
        <f>IFERROR(__xludf.DUMMYFUNCTION("""COMPUTED_VALUE"""),56000.0)</f>
        <v>56000</v>
      </c>
      <c r="C2458" s="1">
        <f>IFERROR(__xludf.DUMMYFUNCTION("""COMPUTED_VALUE"""),57000.0)</f>
        <v>57000</v>
      </c>
      <c r="D2458" s="1">
        <f>IFERROR(__xludf.DUMMYFUNCTION("""COMPUTED_VALUE"""),55600.0)</f>
        <v>55600</v>
      </c>
      <c r="E2458" s="1">
        <f>IFERROR(__xludf.DUMMYFUNCTION("""COMPUTED_VALUE"""),56400.0)</f>
        <v>56400</v>
      </c>
      <c r="F2458" s="1">
        <f>IFERROR(__xludf.DUMMYFUNCTION("""COMPUTED_VALUE"""),15223.0)</f>
        <v>15223</v>
      </c>
    </row>
    <row r="2459">
      <c r="A2459" s="2">
        <f>IFERROR(__xludf.DUMMYFUNCTION("""COMPUTED_VALUE"""),44574.64583333333)</f>
        <v>44574.64583</v>
      </c>
      <c r="B2459" s="1">
        <f>IFERROR(__xludf.DUMMYFUNCTION("""COMPUTED_VALUE"""),56700.0)</f>
        <v>56700</v>
      </c>
      <c r="C2459" s="1">
        <f>IFERROR(__xludf.DUMMYFUNCTION("""COMPUTED_VALUE"""),57000.0)</f>
        <v>57000</v>
      </c>
      <c r="D2459" s="1">
        <f>IFERROR(__xludf.DUMMYFUNCTION("""COMPUTED_VALUE"""),55700.0)</f>
        <v>55700</v>
      </c>
      <c r="E2459" s="1">
        <f>IFERROR(__xludf.DUMMYFUNCTION("""COMPUTED_VALUE"""),56200.0)</f>
        <v>56200</v>
      </c>
      <c r="F2459" s="1">
        <f>IFERROR(__xludf.DUMMYFUNCTION("""COMPUTED_VALUE"""),8972.0)</f>
        <v>8972</v>
      </c>
    </row>
    <row r="2460">
      <c r="A2460" s="2">
        <f>IFERROR(__xludf.DUMMYFUNCTION("""COMPUTED_VALUE"""),44575.64583333333)</f>
        <v>44575.64583</v>
      </c>
      <c r="B2460" s="1">
        <f>IFERROR(__xludf.DUMMYFUNCTION("""COMPUTED_VALUE"""),56100.0)</f>
        <v>56100</v>
      </c>
      <c r="C2460" s="1">
        <f>IFERROR(__xludf.DUMMYFUNCTION("""COMPUTED_VALUE"""),56300.0)</f>
        <v>56300</v>
      </c>
      <c r="D2460" s="1">
        <f>IFERROR(__xludf.DUMMYFUNCTION("""COMPUTED_VALUE"""),55100.0)</f>
        <v>55100</v>
      </c>
      <c r="E2460" s="1">
        <f>IFERROR(__xludf.DUMMYFUNCTION("""COMPUTED_VALUE"""),55600.0)</f>
        <v>55600</v>
      </c>
      <c r="F2460" s="1">
        <f>IFERROR(__xludf.DUMMYFUNCTION("""COMPUTED_VALUE"""),5803.0)</f>
        <v>5803</v>
      </c>
    </row>
    <row r="2461">
      <c r="A2461" s="2">
        <f>IFERROR(__xludf.DUMMYFUNCTION("""COMPUTED_VALUE"""),44578.64583333333)</f>
        <v>44578.64583</v>
      </c>
      <c r="B2461" s="1">
        <f>IFERROR(__xludf.DUMMYFUNCTION("""COMPUTED_VALUE"""),55800.0)</f>
        <v>55800</v>
      </c>
      <c r="C2461" s="1">
        <f>IFERROR(__xludf.DUMMYFUNCTION("""COMPUTED_VALUE"""),55900.0)</f>
        <v>55900</v>
      </c>
      <c r="D2461" s="1">
        <f>IFERROR(__xludf.DUMMYFUNCTION("""COMPUTED_VALUE"""),55100.0)</f>
        <v>55100</v>
      </c>
      <c r="E2461" s="1">
        <f>IFERROR(__xludf.DUMMYFUNCTION("""COMPUTED_VALUE"""),55500.0)</f>
        <v>55500</v>
      </c>
      <c r="F2461" s="1">
        <f>IFERROR(__xludf.DUMMYFUNCTION("""COMPUTED_VALUE"""),8591.0)</f>
        <v>8591</v>
      </c>
    </row>
    <row r="2462">
      <c r="A2462" s="2">
        <f>IFERROR(__xludf.DUMMYFUNCTION("""COMPUTED_VALUE"""),44579.64583333333)</f>
        <v>44579.64583</v>
      </c>
      <c r="B2462" s="1">
        <f>IFERROR(__xludf.DUMMYFUNCTION("""COMPUTED_VALUE"""),55700.0)</f>
        <v>55700</v>
      </c>
      <c r="C2462" s="1">
        <f>IFERROR(__xludf.DUMMYFUNCTION("""COMPUTED_VALUE"""),55700.0)</f>
        <v>55700</v>
      </c>
      <c r="D2462" s="1">
        <f>IFERROR(__xludf.DUMMYFUNCTION("""COMPUTED_VALUE"""),54400.0)</f>
        <v>54400</v>
      </c>
      <c r="E2462" s="1">
        <f>IFERROR(__xludf.DUMMYFUNCTION("""COMPUTED_VALUE"""),55200.0)</f>
        <v>55200</v>
      </c>
      <c r="F2462" s="1">
        <f>IFERROR(__xludf.DUMMYFUNCTION("""COMPUTED_VALUE"""),5295.0)</f>
        <v>5295</v>
      </c>
    </row>
    <row r="2463">
      <c r="A2463" s="2">
        <f>IFERROR(__xludf.DUMMYFUNCTION("""COMPUTED_VALUE"""),44580.64583333333)</f>
        <v>44580.64583</v>
      </c>
      <c r="B2463" s="1">
        <f>IFERROR(__xludf.DUMMYFUNCTION("""COMPUTED_VALUE"""),54400.0)</f>
        <v>54400</v>
      </c>
      <c r="C2463" s="1">
        <f>IFERROR(__xludf.DUMMYFUNCTION("""COMPUTED_VALUE"""),56900.0)</f>
        <v>56900</v>
      </c>
      <c r="D2463" s="1">
        <f>IFERROR(__xludf.DUMMYFUNCTION("""COMPUTED_VALUE"""),54400.0)</f>
        <v>54400</v>
      </c>
      <c r="E2463" s="1">
        <f>IFERROR(__xludf.DUMMYFUNCTION("""COMPUTED_VALUE"""),56000.0)</f>
        <v>56000</v>
      </c>
      <c r="F2463" s="1">
        <f>IFERROR(__xludf.DUMMYFUNCTION("""COMPUTED_VALUE"""),20063.0)</f>
        <v>20063</v>
      </c>
    </row>
    <row r="2464">
      <c r="A2464" s="2">
        <f>IFERROR(__xludf.DUMMYFUNCTION("""COMPUTED_VALUE"""),44581.64583333333)</f>
        <v>44581.64583</v>
      </c>
      <c r="B2464" s="1">
        <f>IFERROR(__xludf.DUMMYFUNCTION("""COMPUTED_VALUE"""),56300.0)</f>
        <v>56300</v>
      </c>
      <c r="C2464" s="1">
        <f>IFERROR(__xludf.DUMMYFUNCTION("""COMPUTED_VALUE"""),57200.0)</f>
        <v>57200</v>
      </c>
      <c r="D2464" s="1">
        <f>IFERROR(__xludf.DUMMYFUNCTION("""COMPUTED_VALUE"""),55000.0)</f>
        <v>55000</v>
      </c>
      <c r="E2464" s="1">
        <f>IFERROR(__xludf.DUMMYFUNCTION("""COMPUTED_VALUE"""),55000.0)</f>
        <v>55000</v>
      </c>
      <c r="F2464" s="1">
        <f>IFERROR(__xludf.DUMMYFUNCTION("""COMPUTED_VALUE"""),9260.0)</f>
        <v>9260</v>
      </c>
    </row>
    <row r="2465">
      <c r="A2465" s="2">
        <f>IFERROR(__xludf.DUMMYFUNCTION("""COMPUTED_VALUE"""),44582.64583333333)</f>
        <v>44582.64583</v>
      </c>
      <c r="B2465" s="1">
        <f>IFERROR(__xludf.DUMMYFUNCTION("""COMPUTED_VALUE"""),54600.0)</f>
        <v>54600</v>
      </c>
      <c r="C2465" s="1">
        <f>IFERROR(__xludf.DUMMYFUNCTION("""COMPUTED_VALUE"""),55000.0)</f>
        <v>55000</v>
      </c>
      <c r="D2465" s="1">
        <f>IFERROR(__xludf.DUMMYFUNCTION("""COMPUTED_VALUE"""),52600.0)</f>
        <v>52600</v>
      </c>
      <c r="E2465" s="1">
        <f>IFERROR(__xludf.DUMMYFUNCTION("""COMPUTED_VALUE"""),53200.0)</f>
        <v>53200</v>
      </c>
      <c r="F2465" s="1">
        <f>IFERROR(__xludf.DUMMYFUNCTION("""COMPUTED_VALUE"""),10137.0)</f>
        <v>10137</v>
      </c>
    </row>
    <row r="2466">
      <c r="A2466" s="2">
        <f>IFERROR(__xludf.DUMMYFUNCTION("""COMPUTED_VALUE"""),44585.64583333333)</f>
        <v>44585.64583</v>
      </c>
      <c r="B2466" s="1">
        <f>IFERROR(__xludf.DUMMYFUNCTION("""COMPUTED_VALUE"""),53100.0)</f>
        <v>53100</v>
      </c>
      <c r="C2466" s="1">
        <f>IFERROR(__xludf.DUMMYFUNCTION("""COMPUTED_VALUE"""),53700.0)</f>
        <v>53700</v>
      </c>
      <c r="D2466" s="1">
        <f>IFERROR(__xludf.DUMMYFUNCTION("""COMPUTED_VALUE"""),51700.0)</f>
        <v>51700</v>
      </c>
      <c r="E2466" s="1">
        <f>IFERROR(__xludf.DUMMYFUNCTION("""COMPUTED_VALUE"""),52400.0)</f>
        <v>52400</v>
      </c>
      <c r="F2466" s="1">
        <f>IFERROR(__xludf.DUMMYFUNCTION("""COMPUTED_VALUE"""),6363.0)</f>
        <v>6363</v>
      </c>
    </row>
    <row r="2467">
      <c r="A2467" s="2">
        <f>IFERROR(__xludf.DUMMYFUNCTION("""COMPUTED_VALUE"""),44586.64583333333)</f>
        <v>44586.64583</v>
      </c>
      <c r="B2467" s="1">
        <f>IFERROR(__xludf.DUMMYFUNCTION("""COMPUTED_VALUE"""),52900.0)</f>
        <v>52900</v>
      </c>
      <c r="C2467" s="1">
        <f>IFERROR(__xludf.DUMMYFUNCTION("""COMPUTED_VALUE"""),52900.0)</f>
        <v>52900</v>
      </c>
      <c r="D2467" s="1">
        <f>IFERROR(__xludf.DUMMYFUNCTION("""COMPUTED_VALUE"""),49700.0)</f>
        <v>49700</v>
      </c>
      <c r="E2467" s="1">
        <f>IFERROR(__xludf.DUMMYFUNCTION("""COMPUTED_VALUE"""),50200.0)</f>
        <v>50200</v>
      </c>
      <c r="F2467" s="1">
        <f>IFERROR(__xludf.DUMMYFUNCTION("""COMPUTED_VALUE"""),18561.0)</f>
        <v>18561</v>
      </c>
    </row>
    <row r="2468">
      <c r="A2468" s="2">
        <f>IFERROR(__xludf.DUMMYFUNCTION("""COMPUTED_VALUE"""),44587.64583333333)</f>
        <v>44587.64583</v>
      </c>
      <c r="B2468" s="1">
        <f>IFERROR(__xludf.DUMMYFUNCTION("""COMPUTED_VALUE"""),50700.0)</f>
        <v>50700</v>
      </c>
      <c r="C2468" s="1">
        <f>IFERROR(__xludf.DUMMYFUNCTION("""COMPUTED_VALUE"""),51700.0)</f>
        <v>51700</v>
      </c>
      <c r="D2468" s="1">
        <f>IFERROR(__xludf.DUMMYFUNCTION("""COMPUTED_VALUE"""),50700.0)</f>
        <v>50700</v>
      </c>
      <c r="E2468" s="1">
        <f>IFERROR(__xludf.DUMMYFUNCTION("""COMPUTED_VALUE"""),51300.0)</f>
        <v>51300</v>
      </c>
      <c r="F2468" s="1">
        <f>IFERROR(__xludf.DUMMYFUNCTION("""COMPUTED_VALUE"""),7027.0)</f>
        <v>7027</v>
      </c>
    </row>
    <row r="2469">
      <c r="A2469" s="2">
        <f>IFERROR(__xludf.DUMMYFUNCTION("""COMPUTED_VALUE"""),44588.64583333333)</f>
        <v>44588.64583</v>
      </c>
      <c r="B2469" s="1">
        <f>IFERROR(__xludf.DUMMYFUNCTION("""COMPUTED_VALUE"""),51300.0)</f>
        <v>51300</v>
      </c>
      <c r="C2469" s="1">
        <f>IFERROR(__xludf.DUMMYFUNCTION("""COMPUTED_VALUE"""),51500.0)</f>
        <v>51500</v>
      </c>
      <c r="D2469" s="1">
        <f>IFERROR(__xludf.DUMMYFUNCTION("""COMPUTED_VALUE"""),49750.0)</f>
        <v>49750</v>
      </c>
      <c r="E2469" s="1">
        <f>IFERROR(__xludf.DUMMYFUNCTION("""COMPUTED_VALUE"""),50400.0)</f>
        <v>50400</v>
      </c>
      <c r="F2469" s="1">
        <f>IFERROR(__xludf.DUMMYFUNCTION("""COMPUTED_VALUE"""),12354.0)</f>
        <v>12354</v>
      </c>
    </row>
    <row r="2470">
      <c r="A2470" s="2">
        <f>IFERROR(__xludf.DUMMYFUNCTION("""COMPUTED_VALUE"""),44589.64583333333)</f>
        <v>44589.64583</v>
      </c>
      <c r="B2470" s="1">
        <f>IFERROR(__xludf.DUMMYFUNCTION("""COMPUTED_VALUE"""),50200.0)</f>
        <v>50200</v>
      </c>
      <c r="C2470" s="1">
        <f>IFERROR(__xludf.DUMMYFUNCTION("""COMPUTED_VALUE"""),52700.0)</f>
        <v>52700</v>
      </c>
      <c r="D2470" s="1">
        <f>IFERROR(__xludf.DUMMYFUNCTION("""COMPUTED_VALUE"""),50200.0)</f>
        <v>50200</v>
      </c>
      <c r="E2470" s="1">
        <f>IFERROR(__xludf.DUMMYFUNCTION("""COMPUTED_VALUE"""),52600.0)</f>
        <v>52600</v>
      </c>
      <c r="F2470" s="1">
        <f>IFERROR(__xludf.DUMMYFUNCTION("""COMPUTED_VALUE"""),12957.0)</f>
        <v>12957</v>
      </c>
    </row>
    <row r="2471">
      <c r="A2471" s="2">
        <f>IFERROR(__xludf.DUMMYFUNCTION("""COMPUTED_VALUE"""),44595.64583333333)</f>
        <v>44595.64583</v>
      </c>
      <c r="B2471" s="1">
        <f>IFERROR(__xludf.DUMMYFUNCTION("""COMPUTED_VALUE"""),53600.0)</f>
        <v>53600</v>
      </c>
      <c r="C2471" s="1">
        <f>IFERROR(__xludf.DUMMYFUNCTION("""COMPUTED_VALUE"""),53800.0)</f>
        <v>53800</v>
      </c>
      <c r="D2471" s="1">
        <f>IFERROR(__xludf.DUMMYFUNCTION("""COMPUTED_VALUE"""),52600.0)</f>
        <v>52600</v>
      </c>
      <c r="E2471" s="1">
        <f>IFERROR(__xludf.DUMMYFUNCTION("""COMPUTED_VALUE"""),53000.0)</f>
        <v>53000</v>
      </c>
      <c r="F2471" s="1">
        <f>IFERROR(__xludf.DUMMYFUNCTION("""COMPUTED_VALUE"""),7558.0)</f>
        <v>7558</v>
      </c>
    </row>
    <row r="2472">
      <c r="A2472" s="2">
        <f>IFERROR(__xludf.DUMMYFUNCTION("""COMPUTED_VALUE"""),44596.64583333333)</f>
        <v>44596.64583</v>
      </c>
      <c r="B2472" s="1">
        <f>IFERROR(__xludf.DUMMYFUNCTION("""COMPUTED_VALUE"""),53100.0)</f>
        <v>53100</v>
      </c>
      <c r="C2472" s="1">
        <f>IFERROR(__xludf.DUMMYFUNCTION("""COMPUTED_VALUE"""),54200.0)</f>
        <v>54200</v>
      </c>
      <c r="D2472" s="1">
        <f>IFERROR(__xludf.DUMMYFUNCTION("""COMPUTED_VALUE"""),53100.0)</f>
        <v>53100</v>
      </c>
      <c r="E2472" s="1">
        <f>IFERROR(__xludf.DUMMYFUNCTION("""COMPUTED_VALUE"""),53600.0)</f>
        <v>53600</v>
      </c>
      <c r="F2472" s="1">
        <f>IFERROR(__xludf.DUMMYFUNCTION("""COMPUTED_VALUE"""),6185.0)</f>
        <v>6185</v>
      </c>
    </row>
    <row r="2473">
      <c r="A2473" s="2">
        <f>IFERROR(__xludf.DUMMYFUNCTION("""COMPUTED_VALUE"""),44599.64583333333)</f>
        <v>44599.64583</v>
      </c>
      <c r="B2473" s="1">
        <f>IFERROR(__xludf.DUMMYFUNCTION("""COMPUTED_VALUE"""),53800.0)</f>
        <v>53800</v>
      </c>
      <c r="C2473" s="1">
        <f>IFERROR(__xludf.DUMMYFUNCTION("""COMPUTED_VALUE"""),54300.0)</f>
        <v>54300</v>
      </c>
      <c r="D2473" s="1">
        <f>IFERROR(__xludf.DUMMYFUNCTION("""COMPUTED_VALUE"""),53000.0)</f>
        <v>53000</v>
      </c>
      <c r="E2473" s="1">
        <f>IFERROR(__xludf.DUMMYFUNCTION("""COMPUTED_VALUE"""),53300.0)</f>
        <v>53300</v>
      </c>
      <c r="F2473" s="1">
        <f>IFERROR(__xludf.DUMMYFUNCTION("""COMPUTED_VALUE"""),9624.0)</f>
        <v>9624</v>
      </c>
    </row>
    <row r="2474">
      <c r="A2474" s="2">
        <f>IFERROR(__xludf.DUMMYFUNCTION("""COMPUTED_VALUE"""),44600.64583333333)</f>
        <v>44600.64583</v>
      </c>
      <c r="B2474" s="1">
        <f>IFERROR(__xludf.DUMMYFUNCTION("""COMPUTED_VALUE"""),53300.0)</f>
        <v>53300</v>
      </c>
      <c r="C2474" s="1">
        <f>IFERROR(__xludf.DUMMYFUNCTION("""COMPUTED_VALUE"""),53900.0)</f>
        <v>53900</v>
      </c>
      <c r="D2474" s="1">
        <f>IFERROR(__xludf.DUMMYFUNCTION("""COMPUTED_VALUE"""),52300.0)</f>
        <v>52300</v>
      </c>
      <c r="E2474" s="1">
        <f>IFERROR(__xludf.DUMMYFUNCTION("""COMPUTED_VALUE"""),52700.0)</f>
        <v>52700</v>
      </c>
      <c r="F2474" s="1">
        <f>IFERROR(__xludf.DUMMYFUNCTION("""COMPUTED_VALUE"""),9265.0)</f>
        <v>9265</v>
      </c>
    </row>
    <row r="2475">
      <c r="A2475" s="2">
        <f>IFERROR(__xludf.DUMMYFUNCTION("""COMPUTED_VALUE"""),44601.64583333333)</f>
        <v>44601.64583</v>
      </c>
      <c r="B2475" s="1">
        <f>IFERROR(__xludf.DUMMYFUNCTION("""COMPUTED_VALUE"""),53000.0)</f>
        <v>53000</v>
      </c>
      <c r="C2475" s="1">
        <f>IFERROR(__xludf.DUMMYFUNCTION("""COMPUTED_VALUE"""),53000.0)</f>
        <v>53000</v>
      </c>
      <c r="D2475" s="1">
        <f>IFERROR(__xludf.DUMMYFUNCTION("""COMPUTED_VALUE"""),51500.0)</f>
        <v>51500</v>
      </c>
      <c r="E2475" s="1">
        <f>IFERROR(__xludf.DUMMYFUNCTION("""COMPUTED_VALUE"""),52600.0)</f>
        <v>52600</v>
      </c>
      <c r="F2475" s="1">
        <f>IFERROR(__xludf.DUMMYFUNCTION("""COMPUTED_VALUE"""),4127.0)</f>
        <v>4127</v>
      </c>
    </row>
    <row r="2476">
      <c r="A2476" s="2">
        <f>IFERROR(__xludf.DUMMYFUNCTION("""COMPUTED_VALUE"""),44602.64583333333)</f>
        <v>44602.64583</v>
      </c>
      <c r="B2476" s="1">
        <f>IFERROR(__xludf.DUMMYFUNCTION("""COMPUTED_VALUE"""),52600.0)</f>
        <v>52600</v>
      </c>
      <c r="C2476" s="1">
        <f>IFERROR(__xludf.DUMMYFUNCTION("""COMPUTED_VALUE"""),52900.0)</f>
        <v>52900</v>
      </c>
      <c r="D2476" s="1">
        <f>IFERROR(__xludf.DUMMYFUNCTION("""COMPUTED_VALUE"""),52000.0)</f>
        <v>52000</v>
      </c>
      <c r="E2476" s="1">
        <f>IFERROR(__xludf.DUMMYFUNCTION("""COMPUTED_VALUE"""),52400.0)</f>
        <v>52400</v>
      </c>
      <c r="F2476" s="1">
        <f>IFERROR(__xludf.DUMMYFUNCTION("""COMPUTED_VALUE"""),3497.0)</f>
        <v>3497</v>
      </c>
    </row>
    <row r="2477">
      <c r="A2477" s="2">
        <f>IFERROR(__xludf.DUMMYFUNCTION("""COMPUTED_VALUE"""),44603.64583333333)</f>
        <v>44603.64583</v>
      </c>
      <c r="B2477" s="1">
        <f>IFERROR(__xludf.DUMMYFUNCTION("""COMPUTED_VALUE"""),52000.0)</f>
        <v>52000</v>
      </c>
      <c r="C2477" s="1">
        <f>IFERROR(__xludf.DUMMYFUNCTION("""COMPUTED_VALUE"""),52200.0)</f>
        <v>52200</v>
      </c>
      <c r="D2477" s="1">
        <f>IFERROR(__xludf.DUMMYFUNCTION("""COMPUTED_VALUE"""),51200.0)</f>
        <v>51200</v>
      </c>
      <c r="E2477" s="1">
        <f>IFERROR(__xludf.DUMMYFUNCTION("""COMPUTED_VALUE"""),51800.0)</f>
        <v>51800</v>
      </c>
      <c r="F2477" s="1">
        <f>IFERROR(__xludf.DUMMYFUNCTION("""COMPUTED_VALUE"""),4568.0)</f>
        <v>4568</v>
      </c>
    </row>
    <row r="2478">
      <c r="A2478" s="2">
        <f>IFERROR(__xludf.DUMMYFUNCTION("""COMPUTED_VALUE"""),44606.64583333333)</f>
        <v>44606.64583</v>
      </c>
      <c r="B2478" s="1">
        <f>IFERROR(__xludf.DUMMYFUNCTION("""COMPUTED_VALUE"""),52200.0)</f>
        <v>52200</v>
      </c>
      <c r="C2478" s="1">
        <f>IFERROR(__xludf.DUMMYFUNCTION("""COMPUTED_VALUE"""),53500.0)</f>
        <v>53500</v>
      </c>
      <c r="D2478" s="1">
        <f>IFERROR(__xludf.DUMMYFUNCTION("""COMPUTED_VALUE"""),52000.0)</f>
        <v>52000</v>
      </c>
      <c r="E2478" s="1">
        <f>IFERROR(__xludf.DUMMYFUNCTION("""COMPUTED_VALUE"""),52900.0)</f>
        <v>52900</v>
      </c>
      <c r="F2478" s="1">
        <f>IFERROR(__xludf.DUMMYFUNCTION("""COMPUTED_VALUE"""),9533.0)</f>
        <v>9533</v>
      </c>
    </row>
    <row r="2479">
      <c r="A2479" s="2">
        <f>IFERROR(__xludf.DUMMYFUNCTION("""COMPUTED_VALUE"""),44607.64583333333)</f>
        <v>44607.64583</v>
      </c>
      <c r="B2479" s="1">
        <f>IFERROR(__xludf.DUMMYFUNCTION("""COMPUTED_VALUE"""),52400.0)</f>
        <v>52400</v>
      </c>
      <c r="C2479" s="1">
        <f>IFERROR(__xludf.DUMMYFUNCTION("""COMPUTED_VALUE"""),53000.0)</f>
        <v>53000</v>
      </c>
      <c r="D2479" s="1">
        <f>IFERROR(__xludf.DUMMYFUNCTION("""COMPUTED_VALUE"""),51000.0)</f>
        <v>51000</v>
      </c>
      <c r="E2479" s="1">
        <f>IFERROR(__xludf.DUMMYFUNCTION("""COMPUTED_VALUE"""),51400.0)</f>
        <v>51400</v>
      </c>
      <c r="F2479" s="1">
        <f>IFERROR(__xludf.DUMMYFUNCTION("""COMPUTED_VALUE"""),4567.0)</f>
        <v>4567</v>
      </c>
    </row>
    <row r="2480">
      <c r="A2480" s="2">
        <f>IFERROR(__xludf.DUMMYFUNCTION("""COMPUTED_VALUE"""),44608.64583333333)</f>
        <v>44608.64583</v>
      </c>
      <c r="B2480" s="1">
        <f>IFERROR(__xludf.DUMMYFUNCTION("""COMPUTED_VALUE"""),51900.0)</f>
        <v>51900</v>
      </c>
      <c r="C2480" s="1">
        <f>IFERROR(__xludf.DUMMYFUNCTION("""COMPUTED_VALUE"""),51900.0)</f>
        <v>51900</v>
      </c>
      <c r="D2480" s="1">
        <f>IFERROR(__xludf.DUMMYFUNCTION("""COMPUTED_VALUE"""),50700.0)</f>
        <v>50700</v>
      </c>
      <c r="E2480" s="1">
        <f>IFERROR(__xludf.DUMMYFUNCTION("""COMPUTED_VALUE"""),51100.0)</f>
        <v>51100</v>
      </c>
      <c r="F2480" s="1">
        <f>IFERROR(__xludf.DUMMYFUNCTION("""COMPUTED_VALUE"""),5768.0)</f>
        <v>5768</v>
      </c>
    </row>
    <row r="2481">
      <c r="A2481" s="2">
        <f>IFERROR(__xludf.DUMMYFUNCTION("""COMPUTED_VALUE"""),44609.64583333333)</f>
        <v>44609.64583</v>
      </c>
      <c r="B2481" s="1">
        <f>IFERROR(__xludf.DUMMYFUNCTION("""COMPUTED_VALUE"""),51200.0)</f>
        <v>51200</v>
      </c>
      <c r="C2481" s="1">
        <f>IFERROR(__xludf.DUMMYFUNCTION("""COMPUTED_VALUE"""),51900.0)</f>
        <v>51900</v>
      </c>
      <c r="D2481" s="1">
        <f>IFERROR(__xludf.DUMMYFUNCTION("""COMPUTED_VALUE"""),51000.0)</f>
        <v>51000</v>
      </c>
      <c r="E2481" s="1">
        <f>IFERROR(__xludf.DUMMYFUNCTION("""COMPUTED_VALUE"""),51000.0)</f>
        <v>51000</v>
      </c>
      <c r="F2481" s="1">
        <f>IFERROR(__xludf.DUMMYFUNCTION("""COMPUTED_VALUE"""),4381.0)</f>
        <v>4381</v>
      </c>
    </row>
    <row r="2482">
      <c r="A2482" s="2">
        <f>IFERROR(__xludf.DUMMYFUNCTION("""COMPUTED_VALUE"""),44610.64583333333)</f>
        <v>44610.64583</v>
      </c>
      <c r="B2482" s="1">
        <f>IFERROR(__xludf.DUMMYFUNCTION("""COMPUTED_VALUE"""),50900.0)</f>
        <v>50900</v>
      </c>
      <c r="C2482" s="1">
        <f>IFERROR(__xludf.DUMMYFUNCTION("""COMPUTED_VALUE"""),51000.0)</f>
        <v>51000</v>
      </c>
      <c r="D2482" s="1">
        <f>IFERROR(__xludf.DUMMYFUNCTION("""COMPUTED_VALUE"""),50200.0)</f>
        <v>50200</v>
      </c>
      <c r="E2482" s="1">
        <f>IFERROR(__xludf.DUMMYFUNCTION("""COMPUTED_VALUE"""),50500.0)</f>
        <v>50500</v>
      </c>
      <c r="F2482" s="1">
        <f>IFERROR(__xludf.DUMMYFUNCTION("""COMPUTED_VALUE"""),5506.0)</f>
        <v>5506</v>
      </c>
    </row>
    <row r="2483">
      <c r="A2483" s="2">
        <f>IFERROR(__xludf.DUMMYFUNCTION("""COMPUTED_VALUE"""),44613.64583333333)</f>
        <v>44613.64583</v>
      </c>
      <c r="B2483" s="1">
        <f>IFERROR(__xludf.DUMMYFUNCTION("""COMPUTED_VALUE"""),50900.0)</f>
        <v>50900</v>
      </c>
      <c r="C2483" s="1">
        <f>IFERROR(__xludf.DUMMYFUNCTION("""COMPUTED_VALUE"""),50900.0)</f>
        <v>50900</v>
      </c>
      <c r="D2483" s="1">
        <f>IFERROR(__xludf.DUMMYFUNCTION("""COMPUTED_VALUE"""),50100.0)</f>
        <v>50100</v>
      </c>
      <c r="E2483" s="1">
        <f>IFERROR(__xludf.DUMMYFUNCTION("""COMPUTED_VALUE"""),50400.0)</f>
        <v>50400</v>
      </c>
      <c r="F2483" s="1">
        <f>IFERROR(__xludf.DUMMYFUNCTION("""COMPUTED_VALUE"""),2266.0)</f>
        <v>2266</v>
      </c>
    </row>
    <row r="2484">
      <c r="A2484" s="2">
        <f>IFERROR(__xludf.DUMMYFUNCTION("""COMPUTED_VALUE"""),44614.64583333333)</f>
        <v>44614.64583</v>
      </c>
      <c r="B2484" s="1">
        <f>IFERROR(__xludf.DUMMYFUNCTION("""COMPUTED_VALUE"""),50400.0)</f>
        <v>50400</v>
      </c>
      <c r="C2484" s="1">
        <f>IFERROR(__xludf.DUMMYFUNCTION("""COMPUTED_VALUE"""),51100.0)</f>
        <v>51100</v>
      </c>
      <c r="D2484" s="1">
        <f>IFERROR(__xludf.DUMMYFUNCTION("""COMPUTED_VALUE"""),49500.0)</f>
        <v>49500</v>
      </c>
      <c r="E2484" s="1">
        <f>IFERROR(__xludf.DUMMYFUNCTION("""COMPUTED_VALUE"""),49900.0)</f>
        <v>49900</v>
      </c>
      <c r="F2484" s="1">
        <f>IFERROR(__xludf.DUMMYFUNCTION("""COMPUTED_VALUE"""),7038.0)</f>
        <v>7038</v>
      </c>
    </row>
    <row r="2485">
      <c r="A2485" s="2">
        <f>IFERROR(__xludf.DUMMYFUNCTION("""COMPUTED_VALUE"""),44615.64583333333)</f>
        <v>44615.64583</v>
      </c>
      <c r="B2485" s="1">
        <f>IFERROR(__xludf.DUMMYFUNCTION("""COMPUTED_VALUE"""),50000.0)</f>
        <v>50000</v>
      </c>
      <c r="C2485" s="1">
        <f>IFERROR(__xludf.DUMMYFUNCTION("""COMPUTED_VALUE"""),50200.0)</f>
        <v>50200</v>
      </c>
      <c r="D2485" s="1">
        <f>IFERROR(__xludf.DUMMYFUNCTION("""COMPUTED_VALUE"""),49550.0)</f>
        <v>49550</v>
      </c>
      <c r="E2485" s="1">
        <f>IFERROR(__xludf.DUMMYFUNCTION("""COMPUTED_VALUE"""),49700.0)</f>
        <v>49700</v>
      </c>
      <c r="F2485" s="1">
        <f>IFERROR(__xludf.DUMMYFUNCTION("""COMPUTED_VALUE"""),6189.0)</f>
        <v>6189</v>
      </c>
    </row>
    <row r="2486">
      <c r="A2486" s="2">
        <f>IFERROR(__xludf.DUMMYFUNCTION("""COMPUTED_VALUE"""),44616.64583333333)</f>
        <v>44616.64583</v>
      </c>
      <c r="B2486" s="1">
        <f>IFERROR(__xludf.DUMMYFUNCTION("""COMPUTED_VALUE"""),49500.0)</f>
        <v>49500</v>
      </c>
      <c r="C2486" s="1">
        <f>IFERROR(__xludf.DUMMYFUNCTION("""COMPUTED_VALUE"""),51700.0)</f>
        <v>51700</v>
      </c>
      <c r="D2486" s="1">
        <f>IFERROR(__xludf.DUMMYFUNCTION("""COMPUTED_VALUE"""),49200.0)</f>
        <v>49200</v>
      </c>
      <c r="E2486" s="1">
        <f>IFERROR(__xludf.DUMMYFUNCTION("""COMPUTED_VALUE"""),50700.0)</f>
        <v>50700</v>
      </c>
      <c r="F2486" s="1">
        <f>IFERROR(__xludf.DUMMYFUNCTION("""COMPUTED_VALUE"""),15813.0)</f>
        <v>15813</v>
      </c>
    </row>
    <row r="2487">
      <c r="A2487" s="2">
        <f>IFERROR(__xludf.DUMMYFUNCTION("""COMPUTED_VALUE"""),44617.64583333333)</f>
        <v>44617.64583</v>
      </c>
      <c r="B2487" s="1">
        <f>IFERROR(__xludf.DUMMYFUNCTION("""COMPUTED_VALUE"""),50600.0)</f>
        <v>50600</v>
      </c>
      <c r="C2487" s="1">
        <f>IFERROR(__xludf.DUMMYFUNCTION("""COMPUTED_VALUE"""),51400.0)</f>
        <v>51400</v>
      </c>
      <c r="D2487" s="1">
        <f>IFERROR(__xludf.DUMMYFUNCTION("""COMPUTED_VALUE"""),49950.0)</f>
        <v>49950</v>
      </c>
      <c r="E2487" s="1">
        <f>IFERROR(__xludf.DUMMYFUNCTION("""COMPUTED_VALUE"""),50900.0)</f>
        <v>50900</v>
      </c>
      <c r="F2487" s="1">
        <f>IFERROR(__xludf.DUMMYFUNCTION("""COMPUTED_VALUE"""),8920.0)</f>
        <v>8920</v>
      </c>
    </row>
    <row r="2488">
      <c r="A2488" s="2">
        <f>IFERROR(__xludf.DUMMYFUNCTION("""COMPUTED_VALUE"""),44620.64583333333)</f>
        <v>44620.64583</v>
      </c>
      <c r="B2488" s="1">
        <f>IFERROR(__xludf.DUMMYFUNCTION("""COMPUTED_VALUE"""),51400.0)</f>
        <v>51400</v>
      </c>
      <c r="C2488" s="1">
        <f>IFERROR(__xludf.DUMMYFUNCTION("""COMPUTED_VALUE"""),51400.0)</f>
        <v>51400</v>
      </c>
      <c r="D2488" s="1">
        <f>IFERROR(__xludf.DUMMYFUNCTION("""COMPUTED_VALUE"""),50500.0)</f>
        <v>50500</v>
      </c>
      <c r="E2488" s="1">
        <f>IFERROR(__xludf.DUMMYFUNCTION("""COMPUTED_VALUE"""),51000.0)</f>
        <v>51000</v>
      </c>
      <c r="F2488" s="1">
        <f>IFERROR(__xludf.DUMMYFUNCTION("""COMPUTED_VALUE"""),5617.0)</f>
        <v>5617</v>
      </c>
    </row>
    <row r="2489">
      <c r="A2489" s="2">
        <f>IFERROR(__xludf.DUMMYFUNCTION("""COMPUTED_VALUE"""),44622.64583333333)</f>
        <v>44622.64583</v>
      </c>
      <c r="B2489" s="1">
        <f>IFERROR(__xludf.DUMMYFUNCTION("""COMPUTED_VALUE"""),51500.0)</f>
        <v>51500</v>
      </c>
      <c r="C2489" s="1">
        <f>IFERROR(__xludf.DUMMYFUNCTION("""COMPUTED_VALUE"""),52700.0)</f>
        <v>52700</v>
      </c>
      <c r="D2489" s="1">
        <f>IFERROR(__xludf.DUMMYFUNCTION("""COMPUTED_VALUE"""),51300.0)</f>
        <v>51300</v>
      </c>
      <c r="E2489" s="1">
        <f>IFERROR(__xludf.DUMMYFUNCTION("""COMPUTED_VALUE"""),52000.0)</f>
        <v>52000</v>
      </c>
      <c r="F2489" s="1">
        <f>IFERROR(__xludf.DUMMYFUNCTION("""COMPUTED_VALUE"""),21459.0)</f>
        <v>21459</v>
      </c>
    </row>
    <row r="2490">
      <c r="A2490" s="2">
        <f>IFERROR(__xludf.DUMMYFUNCTION("""COMPUTED_VALUE"""),44623.64583333333)</f>
        <v>44623.64583</v>
      </c>
      <c r="B2490" s="1">
        <f>IFERROR(__xludf.DUMMYFUNCTION("""COMPUTED_VALUE"""),52900.0)</f>
        <v>52900</v>
      </c>
      <c r="C2490" s="1">
        <f>IFERROR(__xludf.DUMMYFUNCTION("""COMPUTED_VALUE"""),53400.0)</f>
        <v>53400</v>
      </c>
      <c r="D2490" s="1">
        <f>IFERROR(__xludf.DUMMYFUNCTION("""COMPUTED_VALUE"""),52100.0)</f>
        <v>52100</v>
      </c>
      <c r="E2490" s="1">
        <f>IFERROR(__xludf.DUMMYFUNCTION("""COMPUTED_VALUE"""),52400.0)</f>
        <v>52400</v>
      </c>
      <c r="F2490" s="1">
        <f>IFERROR(__xludf.DUMMYFUNCTION("""COMPUTED_VALUE"""),26263.0)</f>
        <v>26263</v>
      </c>
    </row>
    <row r="2491">
      <c r="A2491" s="2">
        <f>IFERROR(__xludf.DUMMYFUNCTION("""COMPUTED_VALUE"""),44624.64583333333)</f>
        <v>44624.64583</v>
      </c>
      <c r="B2491" s="1">
        <f>IFERROR(__xludf.DUMMYFUNCTION("""COMPUTED_VALUE"""),52500.0)</f>
        <v>52500</v>
      </c>
      <c r="C2491" s="1">
        <f>IFERROR(__xludf.DUMMYFUNCTION("""COMPUTED_VALUE"""),53700.0)</f>
        <v>53700</v>
      </c>
      <c r="D2491" s="1">
        <f>IFERROR(__xludf.DUMMYFUNCTION("""COMPUTED_VALUE"""),51400.0)</f>
        <v>51400</v>
      </c>
      <c r="E2491" s="1">
        <f>IFERROR(__xludf.DUMMYFUNCTION("""COMPUTED_VALUE"""),53400.0)</f>
        <v>53400</v>
      </c>
      <c r="F2491" s="1">
        <f>IFERROR(__xludf.DUMMYFUNCTION("""COMPUTED_VALUE"""),14688.0)</f>
        <v>14688</v>
      </c>
    </row>
    <row r="2492">
      <c r="A2492" s="2">
        <f>IFERROR(__xludf.DUMMYFUNCTION("""COMPUTED_VALUE"""),44627.64583333333)</f>
        <v>44627.64583</v>
      </c>
      <c r="B2492" s="1">
        <f>IFERROR(__xludf.DUMMYFUNCTION("""COMPUTED_VALUE"""),54700.0)</f>
        <v>54700</v>
      </c>
      <c r="C2492" s="1">
        <f>IFERROR(__xludf.DUMMYFUNCTION("""COMPUTED_VALUE"""),55100.0)</f>
        <v>55100</v>
      </c>
      <c r="D2492" s="1">
        <f>IFERROR(__xludf.DUMMYFUNCTION("""COMPUTED_VALUE"""),53400.0)</f>
        <v>53400</v>
      </c>
      <c r="E2492" s="1">
        <f>IFERROR(__xludf.DUMMYFUNCTION("""COMPUTED_VALUE"""),54200.0)</f>
        <v>54200</v>
      </c>
      <c r="F2492" s="1">
        <f>IFERROR(__xludf.DUMMYFUNCTION("""COMPUTED_VALUE"""),30692.0)</f>
        <v>30692</v>
      </c>
    </row>
    <row r="2493">
      <c r="A2493" s="2">
        <f>IFERROR(__xludf.DUMMYFUNCTION("""COMPUTED_VALUE"""),44628.64583333333)</f>
        <v>44628.64583</v>
      </c>
      <c r="B2493" s="1">
        <f>IFERROR(__xludf.DUMMYFUNCTION("""COMPUTED_VALUE"""),54000.0)</f>
        <v>54000</v>
      </c>
      <c r="C2493" s="1">
        <f>IFERROR(__xludf.DUMMYFUNCTION("""COMPUTED_VALUE"""),54700.0)</f>
        <v>54700</v>
      </c>
      <c r="D2493" s="1">
        <f>IFERROR(__xludf.DUMMYFUNCTION("""COMPUTED_VALUE"""),52700.0)</f>
        <v>52700</v>
      </c>
      <c r="E2493" s="1">
        <f>IFERROR(__xludf.DUMMYFUNCTION("""COMPUTED_VALUE"""),53200.0)</f>
        <v>53200</v>
      </c>
      <c r="F2493" s="1">
        <f>IFERROR(__xludf.DUMMYFUNCTION("""COMPUTED_VALUE"""),14189.0)</f>
        <v>14189</v>
      </c>
    </row>
    <row r="2494">
      <c r="A2494" s="2">
        <f>IFERROR(__xludf.DUMMYFUNCTION("""COMPUTED_VALUE"""),44630.64583333333)</f>
        <v>44630.64583</v>
      </c>
      <c r="B2494" s="1">
        <f>IFERROR(__xludf.DUMMYFUNCTION("""COMPUTED_VALUE"""),52100.0)</f>
        <v>52100</v>
      </c>
      <c r="C2494" s="1">
        <f>IFERROR(__xludf.DUMMYFUNCTION("""COMPUTED_VALUE"""),52600.0)</f>
        <v>52600</v>
      </c>
      <c r="D2494" s="1">
        <f>IFERROR(__xludf.DUMMYFUNCTION("""COMPUTED_VALUE"""),50800.0)</f>
        <v>50800</v>
      </c>
      <c r="E2494" s="1">
        <f>IFERROR(__xludf.DUMMYFUNCTION("""COMPUTED_VALUE"""),51900.0)</f>
        <v>51900</v>
      </c>
      <c r="F2494" s="1">
        <f>IFERROR(__xludf.DUMMYFUNCTION("""COMPUTED_VALUE"""),12379.0)</f>
        <v>12379</v>
      </c>
    </row>
    <row r="2495">
      <c r="A2495" s="2">
        <f>IFERROR(__xludf.DUMMYFUNCTION("""COMPUTED_VALUE"""),44631.64583333333)</f>
        <v>44631.64583</v>
      </c>
      <c r="B2495" s="1">
        <f>IFERROR(__xludf.DUMMYFUNCTION("""COMPUTED_VALUE"""),51900.0)</f>
        <v>51900</v>
      </c>
      <c r="C2495" s="1">
        <f>IFERROR(__xludf.DUMMYFUNCTION("""COMPUTED_VALUE"""),51900.0)</f>
        <v>51900</v>
      </c>
      <c r="D2495" s="1">
        <f>IFERROR(__xludf.DUMMYFUNCTION("""COMPUTED_VALUE"""),50100.0)</f>
        <v>50100</v>
      </c>
      <c r="E2495" s="1">
        <f>IFERROR(__xludf.DUMMYFUNCTION("""COMPUTED_VALUE"""),50700.0)</f>
        <v>50700</v>
      </c>
      <c r="F2495" s="1">
        <f>IFERROR(__xludf.DUMMYFUNCTION("""COMPUTED_VALUE"""),12490.0)</f>
        <v>12490</v>
      </c>
    </row>
    <row r="2496">
      <c r="A2496" s="2">
        <f>IFERROR(__xludf.DUMMYFUNCTION("""COMPUTED_VALUE"""),44634.64583333333)</f>
        <v>44634.64583</v>
      </c>
      <c r="B2496" s="1">
        <f>IFERROR(__xludf.DUMMYFUNCTION("""COMPUTED_VALUE"""),51100.0)</f>
        <v>51100</v>
      </c>
      <c r="C2496" s="1">
        <f>IFERROR(__xludf.DUMMYFUNCTION("""COMPUTED_VALUE"""),51300.0)</f>
        <v>51300</v>
      </c>
      <c r="D2496" s="1">
        <f>IFERROR(__xludf.DUMMYFUNCTION("""COMPUTED_VALUE"""),50500.0)</f>
        <v>50500</v>
      </c>
      <c r="E2496" s="1">
        <f>IFERROR(__xludf.DUMMYFUNCTION("""COMPUTED_VALUE"""),51000.0)</f>
        <v>51000</v>
      </c>
      <c r="F2496" s="1">
        <f>IFERROR(__xludf.DUMMYFUNCTION("""COMPUTED_VALUE"""),4637.0)</f>
        <v>4637</v>
      </c>
    </row>
    <row r="2497">
      <c r="A2497" s="2">
        <f>IFERROR(__xludf.DUMMYFUNCTION("""COMPUTED_VALUE"""),44635.64583333333)</f>
        <v>44635.64583</v>
      </c>
      <c r="B2497" s="1">
        <f>IFERROR(__xludf.DUMMYFUNCTION("""COMPUTED_VALUE"""),51400.0)</f>
        <v>51400</v>
      </c>
      <c r="C2497" s="1">
        <f>IFERROR(__xludf.DUMMYFUNCTION("""COMPUTED_VALUE"""),51400.0)</f>
        <v>51400</v>
      </c>
      <c r="D2497" s="1">
        <f>IFERROR(__xludf.DUMMYFUNCTION("""COMPUTED_VALUE"""),49850.0)</f>
        <v>49850</v>
      </c>
      <c r="E2497" s="1">
        <f>IFERROR(__xludf.DUMMYFUNCTION("""COMPUTED_VALUE"""),49850.0)</f>
        <v>49850</v>
      </c>
      <c r="F2497" s="1">
        <f>IFERROR(__xludf.DUMMYFUNCTION("""COMPUTED_VALUE"""),11931.0)</f>
        <v>11931</v>
      </c>
    </row>
    <row r="2498">
      <c r="A2498" s="2">
        <f>IFERROR(__xludf.DUMMYFUNCTION("""COMPUTED_VALUE"""),44636.64583333333)</f>
        <v>44636.64583</v>
      </c>
      <c r="B2498" s="1">
        <f>IFERROR(__xludf.DUMMYFUNCTION("""COMPUTED_VALUE"""),49450.0)</f>
        <v>49450</v>
      </c>
      <c r="C2498" s="1">
        <f>IFERROR(__xludf.DUMMYFUNCTION("""COMPUTED_VALUE"""),51300.0)</f>
        <v>51300</v>
      </c>
      <c r="D2498" s="1">
        <f>IFERROR(__xludf.DUMMYFUNCTION("""COMPUTED_VALUE"""),49450.0)</f>
        <v>49450</v>
      </c>
      <c r="E2498" s="1">
        <f>IFERROR(__xludf.DUMMYFUNCTION("""COMPUTED_VALUE"""),51200.0)</f>
        <v>51200</v>
      </c>
      <c r="F2498" s="1">
        <f>IFERROR(__xludf.DUMMYFUNCTION("""COMPUTED_VALUE"""),10360.0)</f>
        <v>10360</v>
      </c>
    </row>
    <row r="2499">
      <c r="A2499" s="2">
        <f>IFERROR(__xludf.DUMMYFUNCTION("""COMPUTED_VALUE"""),44637.64583333333)</f>
        <v>44637.64583</v>
      </c>
      <c r="B2499" s="1">
        <f>IFERROR(__xludf.DUMMYFUNCTION("""COMPUTED_VALUE"""),51300.0)</f>
        <v>51300</v>
      </c>
      <c r="C2499" s="1">
        <f>IFERROR(__xludf.DUMMYFUNCTION("""COMPUTED_VALUE"""),51900.0)</f>
        <v>51900</v>
      </c>
      <c r="D2499" s="1">
        <f>IFERROR(__xludf.DUMMYFUNCTION("""COMPUTED_VALUE"""),51100.0)</f>
        <v>51100</v>
      </c>
      <c r="E2499" s="1">
        <f>IFERROR(__xludf.DUMMYFUNCTION("""COMPUTED_VALUE"""),51500.0)</f>
        <v>51500</v>
      </c>
      <c r="F2499" s="1">
        <f>IFERROR(__xludf.DUMMYFUNCTION("""COMPUTED_VALUE"""),6707.0)</f>
        <v>6707</v>
      </c>
    </row>
    <row r="2500">
      <c r="A2500" s="2">
        <f>IFERROR(__xludf.DUMMYFUNCTION("""COMPUTED_VALUE"""),44638.64583333333)</f>
        <v>44638.64583</v>
      </c>
      <c r="B2500" s="1">
        <f>IFERROR(__xludf.DUMMYFUNCTION("""COMPUTED_VALUE"""),52000.0)</f>
        <v>52000</v>
      </c>
      <c r="C2500" s="1">
        <f>IFERROR(__xludf.DUMMYFUNCTION("""COMPUTED_VALUE"""),52700.0)</f>
        <v>52700</v>
      </c>
      <c r="D2500" s="1">
        <f>IFERROR(__xludf.DUMMYFUNCTION("""COMPUTED_VALUE"""),51800.0)</f>
        <v>51800</v>
      </c>
      <c r="E2500" s="1">
        <f>IFERROR(__xludf.DUMMYFUNCTION("""COMPUTED_VALUE"""),52100.0)</f>
        <v>52100</v>
      </c>
      <c r="F2500" s="1">
        <f>IFERROR(__xludf.DUMMYFUNCTION("""COMPUTED_VALUE"""),19703.0)</f>
        <v>19703</v>
      </c>
    </row>
    <row r="2501">
      <c r="A2501" s="2">
        <f>IFERROR(__xludf.DUMMYFUNCTION("""COMPUTED_VALUE"""),44641.64583333333)</f>
        <v>44641.64583</v>
      </c>
      <c r="B2501" s="1">
        <f>IFERROR(__xludf.DUMMYFUNCTION("""COMPUTED_VALUE"""),53200.0)</f>
        <v>53200</v>
      </c>
      <c r="C2501" s="1">
        <f>IFERROR(__xludf.DUMMYFUNCTION("""COMPUTED_VALUE"""),53800.0)</f>
        <v>53800</v>
      </c>
      <c r="D2501" s="1">
        <f>IFERROR(__xludf.DUMMYFUNCTION("""COMPUTED_VALUE"""),52600.0)</f>
        <v>52600</v>
      </c>
      <c r="E2501" s="1">
        <f>IFERROR(__xludf.DUMMYFUNCTION("""COMPUTED_VALUE"""),53400.0)</f>
        <v>53400</v>
      </c>
      <c r="F2501" s="1">
        <f>IFERROR(__xludf.DUMMYFUNCTION("""COMPUTED_VALUE"""),11585.0)</f>
        <v>11585</v>
      </c>
    </row>
    <row r="2502">
      <c r="A2502" s="2">
        <f>IFERROR(__xludf.DUMMYFUNCTION("""COMPUTED_VALUE"""),44642.64583333333)</f>
        <v>44642.64583</v>
      </c>
      <c r="B2502" s="1">
        <f>IFERROR(__xludf.DUMMYFUNCTION("""COMPUTED_VALUE"""),54200.0)</f>
        <v>54200</v>
      </c>
      <c r="C2502" s="1">
        <f>IFERROR(__xludf.DUMMYFUNCTION("""COMPUTED_VALUE"""),54300.0)</f>
        <v>54300</v>
      </c>
      <c r="D2502" s="1">
        <f>IFERROR(__xludf.DUMMYFUNCTION("""COMPUTED_VALUE"""),53700.0)</f>
        <v>53700</v>
      </c>
      <c r="E2502" s="1">
        <f>IFERROR(__xludf.DUMMYFUNCTION("""COMPUTED_VALUE"""),54000.0)</f>
        <v>54000</v>
      </c>
      <c r="F2502" s="1">
        <f>IFERROR(__xludf.DUMMYFUNCTION("""COMPUTED_VALUE"""),5133.0)</f>
        <v>5133</v>
      </c>
    </row>
    <row r="2503">
      <c r="A2503" s="2">
        <f>IFERROR(__xludf.DUMMYFUNCTION("""COMPUTED_VALUE"""),44643.64583333333)</f>
        <v>44643.64583</v>
      </c>
      <c r="B2503" s="1">
        <f>IFERROR(__xludf.DUMMYFUNCTION("""COMPUTED_VALUE"""),53600.0)</f>
        <v>53600</v>
      </c>
      <c r="C2503" s="1">
        <f>IFERROR(__xludf.DUMMYFUNCTION("""COMPUTED_VALUE"""),53800.0)</f>
        <v>53800</v>
      </c>
      <c r="D2503" s="1">
        <f>IFERROR(__xludf.DUMMYFUNCTION("""COMPUTED_VALUE"""),52900.0)</f>
        <v>52900</v>
      </c>
      <c r="E2503" s="1">
        <f>IFERROR(__xludf.DUMMYFUNCTION("""COMPUTED_VALUE"""),53400.0)</f>
        <v>53400</v>
      </c>
      <c r="F2503" s="1">
        <f>IFERROR(__xludf.DUMMYFUNCTION("""COMPUTED_VALUE"""),15105.0)</f>
        <v>15105</v>
      </c>
    </row>
    <row r="2504">
      <c r="A2504" s="2">
        <f>IFERROR(__xludf.DUMMYFUNCTION("""COMPUTED_VALUE"""),44644.64583333333)</f>
        <v>44644.64583</v>
      </c>
      <c r="B2504" s="1">
        <f>IFERROR(__xludf.DUMMYFUNCTION("""COMPUTED_VALUE"""),54200.0)</f>
        <v>54200</v>
      </c>
      <c r="C2504" s="1">
        <f>IFERROR(__xludf.DUMMYFUNCTION("""COMPUTED_VALUE"""),54300.0)</f>
        <v>54300</v>
      </c>
      <c r="D2504" s="1">
        <f>IFERROR(__xludf.DUMMYFUNCTION("""COMPUTED_VALUE"""),53500.0)</f>
        <v>53500</v>
      </c>
      <c r="E2504" s="1">
        <f>IFERROR(__xludf.DUMMYFUNCTION("""COMPUTED_VALUE"""),53900.0)</f>
        <v>53900</v>
      </c>
      <c r="F2504" s="1">
        <f>IFERROR(__xludf.DUMMYFUNCTION("""COMPUTED_VALUE"""),6185.0)</f>
        <v>6185</v>
      </c>
    </row>
    <row r="2505">
      <c r="A2505" s="2">
        <f>IFERROR(__xludf.DUMMYFUNCTION("""COMPUTED_VALUE"""),44645.64583333333)</f>
        <v>44645.64583</v>
      </c>
      <c r="B2505" s="1">
        <f>IFERROR(__xludf.DUMMYFUNCTION("""COMPUTED_VALUE"""),53700.0)</f>
        <v>53700</v>
      </c>
      <c r="C2505" s="1">
        <f>IFERROR(__xludf.DUMMYFUNCTION("""COMPUTED_VALUE"""),54400.0)</f>
        <v>54400</v>
      </c>
      <c r="D2505" s="1">
        <f>IFERROR(__xludf.DUMMYFUNCTION("""COMPUTED_VALUE"""),53500.0)</f>
        <v>53500</v>
      </c>
      <c r="E2505" s="1">
        <f>IFERROR(__xludf.DUMMYFUNCTION("""COMPUTED_VALUE"""),54300.0)</f>
        <v>54300</v>
      </c>
      <c r="F2505" s="1">
        <f>IFERROR(__xludf.DUMMYFUNCTION("""COMPUTED_VALUE"""),6782.0)</f>
        <v>6782</v>
      </c>
    </row>
    <row r="2506">
      <c r="A2506" s="2">
        <f>IFERROR(__xludf.DUMMYFUNCTION("""COMPUTED_VALUE"""),44648.64583333333)</f>
        <v>44648.64583</v>
      </c>
      <c r="B2506" s="1">
        <f>IFERROR(__xludf.DUMMYFUNCTION("""COMPUTED_VALUE"""),54400.0)</f>
        <v>54400</v>
      </c>
      <c r="C2506" s="1">
        <f>IFERROR(__xludf.DUMMYFUNCTION("""COMPUTED_VALUE"""),56400.0)</f>
        <v>56400</v>
      </c>
      <c r="D2506" s="1">
        <f>IFERROR(__xludf.DUMMYFUNCTION("""COMPUTED_VALUE"""),54400.0)</f>
        <v>54400</v>
      </c>
      <c r="E2506" s="1">
        <f>IFERROR(__xludf.DUMMYFUNCTION("""COMPUTED_VALUE"""),56000.0)</f>
        <v>56000</v>
      </c>
      <c r="F2506" s="1">
        <f>IFERROR(__xludf.DUMMYFUNCTION("""COMPUTED_VALUE"""),31194.0)</f>
        <v>31194</v>
      </c>
    </row>
    <row r="2507">
      <c r="A2507" s="2">
        <f>IFERROR(__xludf.DUMMYFUNCTION("""COMPUTED_VALUE"""),44649.64583333333)</f>
        <v>44649.64583</v>
      </c>
      <c r="B2507" s="1">
        <f>IFERROR(__xludf.DUMMYFUNCTION("""COMPUTED_VALUE"""),55900.0)</f>
        <v>55900</v>
      </c>
      <c r="C2507" s="1">
        <f>IFERROR(__xludf.DUMMYFUNCTION("""COMPUTED_VALUE"""),56700.0)</f>
        <v>56700</v>
      </c>
      <c r="D2507" s="1">
        <f>IFERROR(__xludf.DUMMYFUNCTION("""COMPUTED_VALUE"""),55500.0)</f>
        <v>55500</v>
      </c>
      <c r="E2507" s="1">
        <f>IFERROR(__xludf.DUMMYFUNCTION("""COMPUTED_VALUE"""),56300.0)</f>
        <v>56300</v>
      </c>
      <c r="F2507" s="1">
        <f>IFERROR(__xludf.DUMMYFUNCTION("""COMPUTED_VALUE"""),14237.0)</f>
        <v>14237</v>
      </c>
    </row>
    <row r="2508">
      <c r="A2508" s="2">
        <f>IFERROR(__xludf.DUMMYFUNCTION("""COMPUTED_VALUE"""),44650.64583333333)</f>
        <v>44650.64583</v>
      </c>
      <c r="B2508" s="1">
        <f>IFERROR(__xludf.DUMMYFUNCTION("""COMPUTED_VALUE"""),56200.0)</f>
        <v>56200</v>
      </c>
      <c r="C2508" s="1">
        <f>IFERROR(__xludf.DUMMYFUNCTION("""COMPUTED_VALUE"""),57600.0)</f>
        <v>57600</v>
      </c>
      <c r="D2508" s="1">
        <f>IFERROR(__xludf.DUMMYFUNCTION("""COMPUTED_VALUE"""),55400.0)</f>
        <v>55400</v>
      </c>
      <c r="E2508" s="1">
        <f>IFERROR(__xludf.DUMMYFUNCTION("""COMPUTED_VALUE"""),56000.0)</f>
        <v>56000</v>
      </c>
      <c r="F2508" s="1">
        <f>IFERROR(__xludf.DUMMYFUNCTION("""COMPUTED_VALUE"""),29857.0)</f>
        <v>29857</v>
      </c>
    </row>
    <row r="2509">
      <c r="A2509" s="2">
        <f>IFERROR(__xludf.DUMMYFUNCTION("""COMPUTED_VALUE"""),44651.64583333333)</f>
        <v>44651.64583</v>
      </c>
      <c r="B2509" s="1">
        <f>IFERROR(__xludf.DUMMYFUNCTION("""COMPUTED_VALUE"""),56000.0)</f>
        <v>56000</v>
      </c>
      <c r="C2509" s="1">
        <f>IFERROR(__xludf.DUMMYFUNCTION("""COMPUTED_VALUE"""),56700.0)</f>
        <v>56700</v>
      </c>
      <c r="D2509" s="1">
        <f>IFERROR(__xludf.DUMMYFUNCTION("""COMPUTED_VALUE"""),52700.0)</f>
        <v>52700</v>
      </c>
      <c r="E2509" s="1">
        <f>IFERROR(__xludf.DUMMYFUNCTION("""COMPUTED_VALUE"""),55800.0)</f>
        <v>55800</v>
      </c>
      <c r="F2509" s="1">
        <f>IFERROR(__xludf.DUMMYFUNCTION("""COMPUTED_VALUE"""),13778.0)</f>
        <v>13778</v>
      </c>
    </row>
    <row r="2510">
      <c r="A2510" s="2">
        <f>IFERROR(__xludf.DUMMYFUNCTION("""COMPUTED_VALUE"""),44652.64583333333)</f>
        <v>44652.64583</v>
      </c>
      <c r="B2510" s="1">
        <f>IFERROR(__xludf.DUMMYFUNCTION("""COMPUTED_VALUE"""),56300.0)</f>
        <v>56300</v>
      </c>
      <c r="C2510" s="1">
        <f>IFERROR(__xludf.DUMMYFUNCTION("""COMPUTED_VALUE"""),57300.0)</f>
        <v>57300</v>
      </c>
      <c r="D2510" s="1">
        <f>IFERROR(__xludf.DUMMYFUNCTION("""COMPUTED_VALUE"""),55700.0)</f>
        <v>55700</v>
      </c>
      <c r="E2510" s="1">
        <f>IFERROR(__xludf.DUMMYFUNCTION("""COMPUTED_VALUE"""),56700.0)</f>
        <v>56700</v>
      </c>
      <c r="F2510" s="1">
        <f>IFERROR(__xludf.DUMMYFUNCTION("""COMPUTED_VALUE"""),16898.0)</f>
        <v>16898</v>
      </c>
    </row>
    <row r="2511">
      <c r="A2511" s="2">
        <f>IFERROR(__xludf.DUMMYFUNCTION("""COMPUTED_VALUE"""),44655.64583333333)</f>
        <v>44655.64583</v>
      </c>
      <c r="B2511" s="1">
        <f>IFERROR(__xludf.DUMMYFUNCTION("""COMPUTED_VALUE"""),56700.0)</f>
        <v>56700</v>
      </c>
      <c r="C2511" s="1">
        <f>IFERROR(__xludf.DUMMYFUNCTION("""COMPUTED_VALUE"""),58200.0)</f>
        <v>58200</v>
      </c>
      <c r="D2511" s="1">
        <f>IFERROR(__xludf.DUMMYFUNCTION("""COMPUTED_VALUE"""),56200.0)</f>
        <v>56200</v>
      </c>
      <c r="E2511" s="1">
        <f>IFERROR(__xludf.DUMMYFUNCTION("""COMPUTED_VALUE"""),57900.0)</f>
        <v>57900</v>
      </c>
      <c r="F2511" s="1">
        <f>IFERROR(__xludf.DUMMYFUNCTION("""COMPUTED_VALUE"""),28076.0)</f>
        <v>28076</v>
      </c>
    </row>
    <row r="2512">
      <c r="A2512" s="2">
        <f>IFERROR(__xludf.DUMMYFUNCTION("""COMPUTED_VALUE"""),44656.64583333333)</f>
        <v>44656.64583</v>
      </c>
      <c r="B2512" s="1">
        <f>IFERROR(__xludf.DUMMYFUNCTION("""COMPUTED_VALUE"""),58200.0)</f>
        <v>58200</v>
      </c>
      <c r="C2512" s="1">
        <f>IFERROR(__xludf.DUMMYFUNCTION("""COMPUTED_VALUE"""),58200.0)</f>
        <v>58200</v>
      </c>
      <c r="D2512" s="1">
        <f>IFERROR(__xludf.DUMMYFUNCTION("""COMPUTED_VALUE"""),57500.0)</f>
        <v>57500</v>
      </c>
      <c r="E2512" s="1">
        <f>IFERROR(__xludf.DUMMYFUNCTION("""COMPUTED_VALUE"""),58000.0)</f>
        <v>58000</v>
      </c>
      <c r="F2512" s="1">
        <f>IFERROR(__xludf.DUMMYFUNCTION("""COMPUTED_VALUE"""),11836.0)</f>
        <v>11836</v>
      </c>
    </row>
    <row r="2513">
      <c r="A2513" s="2">
        <f>IFERROR(__xludf.DUMMYFUNCTION("""COMPUTED_VALUE"""),44657.64583333333)</f>
        <v>44657.64583</v>
      </c>
      <c r="B2513" s="1">
        <f>IFERROR(__xludf.DUMMYFUNCTION("""COMPUTED_VALUE"""),57400.0)</f>
        <v>57400</v>
      </c>
      <c r="C2513" s="1">
        <f>IFERROR(__xludf.DUMMYFUNCTION("""COMPUTED_VALUE"""),58500.0)</f>
        <v>58500</v>
      </c>
      <c r="D2513" s="1">
        <f>IFERROR(__xludf.DUMMYFUNCTION("""COMPUTED_VALUE"""),57200.0)</f>
        <v>57200</v>
      </c>
      <c r="E2513" s="1">
        <f>IFERROR(__xludf.DUMMYFUNCTION("""COMPUTED_VALUE"""),58400.0)</f>
        <v>58400</v>
      </c>
      <c r="F2513" s="1">
        <f>IFERROR(__xludf.DUMMYFUNCTION("""COMPUTED_VALUE"""),10335.0)</f>
        <v>10335</v>
      </c>
    </row>
    <row r="2514">
      <c r="A2514" s="2">
        <f>IFERROR(__xludf.DUMMYFUNCTION("""COMPUTED_VALUE"""),44658.64583333333)</f>
        <v>44658.64583</v>
      </c>
      <c r="B2514" s="1">
        <f>IFERROR(__xludf.DUMMYFUNCTION("""COMPUTED_VALUE"""),58100.0)</f>
        <v>58100</v>
      </c>
      <c r="C2514" s="1">
        <f>IFERROR(__xludf.DUMMYFUNCTION("""COMPUTED_VALUE"""),58300.0)</f>
        <v>58300</v>
      </c>
      <c r="D2514" s="1">
        <f>IFERROR(__xludf.DUMMYFUNCTION("""COMPUTED_VALUE"""),57000.0)</f>
        <v>57000</v>
      </c>
      <c r="E2514" s="1">
        <f>IFERROR(__xludf.DUMMYFUNCTION("""COMPUTED_VALUE"""),57300.0)</f>
        <v>57300</v>
      </c>
      <c r="F2514" s="1">
        <f>IFERROR(__xludf.DUMMYFUNCTION("""COMPUTED_VALUE"""),10996.0)</f>
        <v>10996</v>
      </c>
    </row>
    <row r="2515">
      <c r="A2515" s="2">
        <f>IFERROR(__xludf.DUMMYFUNCTION("""COMPUTED_VALUE"""),44659.64583333333)</f>
        <v>44659.64583</v>
      </c>
      <c r="B2515" s="1">
        <f>IFERROR(__xludf.DUMMYFUNCTION("""COMPUTED_VALUE"""),57200.0)</f>
        <v>57200</v>
      </c>
      <c r="C2515" s="1">
        <f>IFERROR(__xludf.DUMMYFUNCTION("""COMPUTED_VALUE"""),58400.0)</f>
        <v>58400</v>
      </c>
      <c r="D2515" s="1">
        <f>IFERROR(__xludf.DUMMYFUNCTION("""COMPUTED_VALUE"""),56900.0)</f>
        <v>56900</v>
      </c>
      <c r="E2515" s="1">
        <f>IFERROR(__xludf.DUMMYFUNCTION("""COMPUTED_VALUE"""),58300.0)</f>
        <v>58300</v>
      </c>
      <c r="F2515" s="1">
        <f>IFERROR(__xludf.DUMMYFUNCTION("""COMPUTED_VALUE"""),10268.0)</f>
        <v>10268</v>
      </c>
    </row>
    <row r="2516">
      <c r="A2516" s="2">
        <f>IFERROR(__xludf.DUMMYFUNCTION("""COMPUTED_VALUE"""),44662.64583333333)</f>
        <v>44662.64583</v>
      </c>
      <c r="B2516" s="1">
        <f>IFERROR(__xludf.DUMMYFUNCTION("""COMPUTED_VALUE"""),58300.0)</f>
        <v>58300</v>
      </c>
      <c r="C2516" s="1">
        <f>IFERROR(__xludf.DUMMYFUNCTION("""COMPUTED_VALUE"""),59900.0)</f>
        <v>59900</v>
      </c>
      <c r="D2516" s="1">
        <f>IFERROR(__xludf.DUMMYFUNCTION("""COMPUTED_VALUE"""),58100.0)</f>
        <v>58100</v>
      </c>
      <c r="E2516" s="1">
        <f>IFERROR(__xludf.DUMMYFUNCTION("""COMPUTED_VALUE"""),59500.0)</f>
        <v>59500</v>
      </c>
      <c r="F2516" s="1">
        <f>IFERROR(__xludf.DUMMYFUNCTION("""COMPUTED_VALUE"""),17359.0)</f>
        <v>17359</v>
      </c>
    </row>
    <row r="2517">
      <c r="A2517" s="2">
        <f>IFERROR(__xludf.DUMMYFUNCTION("""COMPUTED_VALUE"""),44663.64583333333)</f>
        <v>44663.64583</v>
      </c>
      <c r="B2517" s="1">
        <f>IFERROR(__xludf.DUMMYFUNCTION("""COMPUTED_VALUE"""),59600.0)</f>
        <v>59600</v>
      </c>
      <c r="C2517" s="1">
        <f>IFERROR(__xludf.DUMMYFUNCTION("""COMPUTED_VALUE"""),59600.0)</f>
        <v>59600</v>
      </c>
      <c r="D2517" s="1">
        <f>IFERROR(__xludf.DUMMYFUNCTION("""COMPUTED_VALUE"""),58200.0)</f>
        <v>58200</v>
      </c>
      <c r="E2517" s="1">
        <f>IFERROR(__xludf.DUMMYFUNCTION("""COMPUTED_VALUE"""),58700.0)</f>
        <v>58700</v>
      </c>
      <c r="F2517" s="1">
        <f>IFERROR(__xludf.DUMMYFUNCTION("""COMPUTED_VALUE"""),6692.0)</f>
        <v>6692</v>
      </c>
    </row>
    <row r="2518">
      <c r="A2518" s="2">
        <f>IFERROR(__xludf.DUMMYFUNCTION("""COMPUTED_VALUE"""),44664.64583333333)</f>
        <v>44664.64583</v>
      </c>
      <c r="B2518" s="1">
        <f>IFERROR(__xludf.DUMMYFUNCTION("""COMPUTED_VALUE"""),59700.0)</f>
        <v>59700</v>
      </c>
      <c r="C2518" s="1">
        <f>IFERROR(__xludf.DUMMYFUNCTION("""COMPUTED_VALUE"""),60500.0)</f>
        <v>60500</v>
      </c>
      <c r="D2518" s="1">
        <f>IFERROR(__xludf.DUMMYFUNCTION("""COMPUTED_VALUE"""),59400.0)</f>
        <v>59400</v>
      </c>
      <c r="E2518" s="1">
        <f>IFERROR(__xludf.DUMMYFUNCTION("""COMPUTED_VALUE"""),59700.0)</f>
        <v>59700</v>
      </c>
      <c r="F2518" s="1">
        <f>IFERROR(__xludf.DUMMYFUNCTION("""COMPUTED_VALUE"""),21018.0)</f>
        <v>21018</v>
      </c>
    </row>
    <row r="2519">
      <c r="A2519" s="2">
        <f>IFERROR(__xludf.DUMMYFUNCTION("""COMPUTED_VALUE"""),44665.64583333333)</f>
        <v>44665.64583</v>
      </c>
      <c r="B2519" s="1">
        <f>IFERROR(__xludf.DUMMYFUNCTION("""COMPUTED_VALUE"""),60400.0)</f>
        <v>60400</v>
      </c>
      <c r="C2519" s="1">
        <f>IFERROR(__xludf.DUMMYFUNCTION("""COMPUTED_VALUE"""),60700.0)</f>
        <v>60700</v>
      </c>
      <c r="D2519" s="1">
        <f>IFERROR(__xludf.DUMMYFUNCTION("""COMPUTED_VALUE"""),59700.0)</f>
        <v>59700</v>
      </c>
      <c r="E2519" s="1">
        <f>IFERROR(__xludf.DUMMYFUNCTION("""COMPUTED_VALUE"""),60300.0)</f>
        <v>60300</v>
      </c>
      <c r="F2519" s="1">
        <f>IFERROR(__xludf.DUMMYFUNCTION("""COMPUTED_VALUE"""),11896.0)</f>
        <v>11896</v>
      </c>
    </row>
    <row r="2520">
      <c r="A2520" s="2">
        <f>IFERROR(__xludf.DUMMYFUNCTION("""COMPUTED_VALUE"""),44666.64583333333)</f>
        <v>44666.64583</v>
      </c>
      <c r="B2520" s="1">
        <f>IFERROR(__xludf.DUMMYFUNCTION("""COMPUTED_VALUE"""),60300.0)</f>
        <v>60300</v>
      </c>
      <c r="C2520" s="1">
        <f>IFERROR(__xludf.DUMMYFUNCTION("""COMPUTED_VALUE"""),61500.0)</f>
        <v>61500</v>
      </c>
      <c r="D2520" s="1">
        <f>IFERROR(__xludf.DUMMYFUNCTION("""COMPUTED_VALUE"""),59900.0)</f>
        <v>59900</v>
      </c>
      <c r="E2520" s="1">
        <f>IFERROR(__xludf.DUMMYFUNCTION("""COMPUTED_VALUE"""),61300.0)</f>
        <v>61300</v>
      </c>
      <c r="F2520" s="1">
        <f>IFERROR(__xludf.DUMMYFUNCTION("""COMPUTED_VALUE"""),21441.0)</f>
        <v>21441</v>
      </c>
    </row>
    <row r="2521">
      <c r="A2521" s="2">
        <f>IFERROR(__xludf.DUMMYFUNCTION("""COMPUTED_VALUE"""),44669.64583333333)</f>
        <v>44669.64583</v>
      </c>
      <c r="B2521" s="1">
        <f>IFERROR(__xludf.DUMMYFUNCTION("""COMPUTED_VALUE"""),61500.0)</f>
        <v>61500</v>
      </c>
      <c r="C2521" s="1">
        <f>IFERROR(__xludf.DUMMYFUNCTION("""COMPUTED_VALUE"""),61600.0)</f>
        <v>61600</v>
      </c>
      <c r="D2521" s="1">
        <f>IFERROR(__xludf.DUMMYFUNCTION("""COMPUTED_VALUE"""),59900.0)</f>
        <v>59900</v>
      </c>
      <c r="E2521" s="1">
        <f>IFERROR(__xludf.DUMMYFUNCTION("""COMPUTED_VALUE"""),61000.0)</f>
        <v>61000</v>
      </c>
      <c r="F2521" s="1">
        <f>IFERROR(__xludf.DUMMYFUNCTION("""COMPUTED_VALUE"""),8286.0)</f>
        <v>8286</v>
      </c>
    </row>
    <row r="2522">
      <c r="A2522" s="2">
        <f>IFERROR(__xludf.DUMMYFUNCTION("""COMPUTED_VALUE"""),44670.64583333333)</f>
        <v>44670.64583</v>
      </c>
      <c r="B2522" s="1">
        <f>IFERROR(__xludf.DUMMYFUNCTION("""COMPUTED_VALUE"""),61300.0)</f>
        <v>61300</v>
      </c>
      <c r="C2522" s="1">
        <f>IFERROR(__xludf.DUMMYFUNCTION("""COMPUTED_VALUE"""),61700.0)</f>
        <v>61700</v>
      </c>
      <c r="D2522" s="1">
        <f>IFERROR(__xludf.DUMMYFUNCTION("""COMPUTED_VALUE"""),60000.0)</f>
        <v>60000</v>
      </c>
      <c r="E2522" s="1">
        <f>IFERROR(__xludf.DUMMYFUNCTION("""COMPUTED_VALUE"""),60100.0)</f>
        <v>60100</v>
      </c>
      <c r="F2522" s="1">
        <f>IFERROR(__xludf.DUMMYFUNCTION("""COMPUTED_VALUE"""),8275.0)</f>
        <v>8275</v>
      </c>
    </row>
    <row r="2523">
      <c r="A2523" s="2">
        <f>IFERROR(__xludf.DUMMYFUNCTION("""COMPUTED_VALUE"""),44671.64583333333)</f>
        <v>44671.64583</v>
      </c>
      <c r="B2523" s="1">
        <f>IFERROR(__xludf.DUMMYFUNCTION("""COMPUTED_VALUE"""),60800.0)</f>
        <v>60800</v>
      </c>
      <c r="C2523" s="1">
        <f>IFERROR(__xludf.DUMMYFUNCTION("""COMPUTED_VALUE"""),60800.0)</f>
        <v>60800</v>
      </c>
      <c r="D2523" s="1">
        <f>IFERROR(__xludf.DUMMYFUNCTION("""COMPUTED_VALUE"""),57100.0)</f>
        <v>57100</v>
      </c>
      <c r="E2523" s="1">
        <f>IFERROR(__xludf.DUMMYFUNCTION("""COMPUTED_VALUE"""),60300.0)</f>
        <v>60300</v>
      </c>
      <c r="F2523" s="1">
        <f>IFERROR(__xludf.DUMMYFUNCTION("""COMPUTED_VALUE"""),19776.0)</f>
        <v>19776</v>
      </c>
    </row>
    <row r="2524">
      <c r="A2524" s="2">
        <f>IFERROR(__xludf.DUMMYFUNCTION("""COMPUTED_VALUE"""),44672.64583333333)</f>
        <v>44672.64583</v>
      </c>
      <c r="B2524" s="1">
        <f>IFERROR(__xludf.DUMMYFUNCTION("""COMPUTED_VALUE"""),60400.0)</f>
        <v>60400</v>
      </c>
      <c r="C2524" s="1">
        <f>IFERROR(__xludf.DUMMYFUNCTION("""COMPUTED_VALUE"""),61100.0)</f>
        <v>61100</v>
      </c>
      <c r="D2524" s="1">
        <f>IFERROR(__xludf.DUMMYFUNCTION("""COMPUTED_VALUE"""),60300.0)</f>
        <v>60300</v>
      </c>
      <c r="E2524" s="1">
        <f>IFERROR(__xludf.DUMMYFUNCTION("""COMPUTED_VALUE"""),60800.0)</f>
        <v>60800</v>
      </c>
      <c r="F2524" s="1">
        <f>IFERROR(__xludf.DUMMYFUNCTION("""COMPUTED_VALUE"""),8974.0)</f>
        <v>8974</v>
      </c>
    </row>
    <row r="2525">
      <c r="A2525" s="2">
        <f>IFERROR(__xludf.DUMMYFUNCTION("""COMPUTED_VALUE"""),44673.64583333333)</f>
        <v>44673.64583</v>
      </c>
      <c r="B2525" s="1">
        <f>IFERROR(__xludf.DUMMYFUNCTION("""COMPUTED_VALUE"""),60200.0)</f>
        <v>60200</v>
      </c>
      <c r="C2525" s="1">
        <f>IFERROR(__xludf.DUMMYFUNCTION("""COMPUTED_VALUE"""),61400.0)</f>
        <v>61400</v>
      </c>
      <c r="D2525" s="1">
        <f>IFERROR(__xludf.DUMMYFUNCTION("""COMPUTED_VALUE"""),59800.0)</f>
        <v>59800</v>
      </c>
      <c r="E2525" s="1">
        <f>IFERROR(__xludf.DUMMYFUNCTION("""COMPUTED_VALUE"""),61300.0)</f>
        <v>61300</v>
      </c>
      <c r="F2525" s="1">
        <f>IFERROR(__xludf.DUMMYFUNCTION("""COMPUTED_VALUE"""),9074.0)</f>
        <v>9074</v>
      </c>
    </row>
    <row r="2526">
      <c r="A2526" s="2">
        <f>IFERROR(__xludf.DUMMYFUNCTION("""COMPUTED_VALUE"""),44676.64583333333)</f>
        <v>44676.64583</v>
      </c>
      <c r="B2526" s="1">
        <f>IFERROR(__xludf.DUMMYFUNCTION("""COMPUTED_VALUE"""),60600.0)</f>
        <v>60600</v>
      </c>
      <c r="C2526" s="1">
        <f>IFERROR(__xludf.DUMMYFUNCTION("""COMPUTED_VALUE"""),61100.0)</f>
        <v>61100</v>
      </c>
      <c r="D2526" s="1">
        <f>IFERROR(__xludf.DUMMYFUNCTION("""COMPUTED_VALUE"""),60300.0)</f>
        <v>60300</v>
      </c>
      <c r="E2526" s="1">
        <f>IFERROR(__xludf.DUMMYFUNCTION("""COMPUTED_VALUE"""),60700.0)</f>
        <v>60700</v>
      </c>
      <c r="F2526" s="1">
        <f>IFERROR(__xludf.DUMMYFUNCTION("""COMPUTED_VALUE"""),7130.0)</f>
        <v>7130</v>
      </c>
    </row>
    <row r="2527">
      <c r="A2527" s="2">
        <f>IFERROR(__xludf.DUMMYFUNCTION("""COMPUTED_VALUE"""),44677.64583333333)</f>
        <v>44677.64583</v>
      </c>
      <c r="B2527" s="1">
        <f>IFERROR(__xludf.DUMMYFUNCTION("""COMPUTED_VALUE"""),60200.0)</f>
        <v>60200</v>
      </c>
      <c r="C2527" s="1">
        <f>IFERROR(__xludf.DUMMYFUNCTION("""COMPUTED_VALUE"""),61300.0)</f>
        <v>61300</v>
      </c>
      <c r="D2527" s="1">
        <f>IFERROR(__xludf.DUMMYFUNCTION("""COMPUTED_VALUE"""),60000.0)</f>
        <v>60000</v>
      </c>
      <c r="E2527" s="1">
        <f>IFERROR(__xludf.DUMMYFUNCTION("""COMPUTED_VALUE"""),60400.0)</f>
        <v>60400</v>
      </c>
      <c r="F2527" s="1">
        <f>IFERROR(__xludf.DUMMYFUNCTION("""COMPUTED_VALUE"""),9645.0)</f>
        <v>9645</v>
      </c>
    </row>
    <row r="2528">
      <c r="A2528" s="2">
        <f>IFERROR(__xludf.DUMMYFUNCTION("""COMPUTED_VALUE"""),44678.64583333333)</f>
        <v>44678.64583</v>
      </c>
      <c r="B2528" s="1">
        <f>IFERROR(__xludf.DUMMYFUNCTION("""COMPUTED_VALUE"""),59600.0)</f>
        <v>59600</v>
      </c>
      <c r="C2528" s="1">
        <f>IFERROR(__xludf.DUMMYFUNCTION("""COMPUTED_VALUE"""),61400.0)</f>
        <v>61400</v>
      </c>
      <c r="D2528" s="1">
        <f>IFERROR(__xludf.DUMMYFUNCTION("""COMPUTED_VALUE"""),59600.0)</f>
        <v>59600</v>
      </c>
      <c r="E2528" s="1">
        <f>IFERROR(__xludf.DUMMYFUNCTION("""COMPUTED_VALUE"""),61200.0)</f>
        <v>61200</v>
      </c>
      <c r="F2528" s="1">
        <f>IFERROR(__xludf.DUMMYFUNCTION("""COMPUTED_VALUE"""),23539.0)</f>
        <v>23539</v>
      </c>
    </row>
    <row r="2529">
      <c r="A2529" s="2">
        <f>IFERROR(__xludf.DUMMYFUNCTION("""COMPUTED_VALUE"""),44679.64583333333)</f>
        <v>44679.64583</v>
      </c>
      <c r="B2529" s="1">
        <f>IFERROR(__xludf.DUMMYFUNCTION("""COMPUTED_VALUE"""),61800.0)</f>
        <v>61800</v>
      </c>
      <c r="C2529" s="1">
        <f>IFERROR(__xludf.DUMMYFUNCTION("""COMPUTED_VALUE"""),62600.0)</f>
        <v>62600</v>
      </c>
      <c r="D2529" s="1">
        <f>IFERROR(__xludf.DUMMYFUNCTION("""COMPUTED_VALUE"""),61000.0)</f>
        <v>61000</v>
      </c>
      <c r="E2529" s="1">
        <f>IFERROR(__xludf.DUMMYFUNCTION("""COMPUTED_VALUE"""),61200.0)</f>
        <v>61200</v>
      </c>
      <c r="F2529" s="1">
        <f>IFERROR(__xludf.DUMMYFUNCTION("""COMPUTED_VALUE"""),15060.0)</f>
        <v>15060</v>
      </c>
    </row>
    <row r="2530">
      <c r="A2530" s="2">
        <f>IFERROR(__xludf.DUMMYFUNCTION("""COMPUTED_VALUE"""),44680.64583333333)</f>
        <v>44680.64583</v>
      </c>
      <c r="B2530" s="1">
        <f>IFERROR(__xludf.DUMMYFUNCTION("""COMPUTED_VALUE"""),61200.0)</f>
        <v>61200</v>
      </c>
      <c r="C2530" s="1">
        <f>IFERROR(__xludf.DUMMYFUNCTION("""COMPUTED_VALUE"""),61700.0)</f>
        <v>61700</v>
      </c>
      <c r="D2530" s="1">
        <f>IFERROR(__xludf.DUMMYFUNCTION("""COMPUTED_VALUE"""),60600.0)</f>
        <v>60600</v>
      </c>
      <c r="E2530" s="1">
        <f>IFERROR(__xludf.DUMMYFUNCTION("""COMPUTED_VALUE"""),61300.0)</f>
        <v>61300</v>
      </c>
      <c r="F2530" s="1">
        <f>IFERROR(__xludf.DUMMYFUNCTION("""COMPUTED_VALUE"""),13567.0)</f>
        <v>13567</v>
      </c>
    </row>
    <row r="2531">
      <c r="A2531" s="2">
        <f>IFERROR(__xludf.DUMMYFUNCTION("""COMPUTED_VALUE"""),44683.64583333333)</f>
        <v>44683.64583</v>
      </c>
      <c r="B2531" s="1">
        <f>IFERROR(__xludf.DUMMYFUNCTION("""COMPUTED_VALUE"""),61000.0)</f>
        <v>61000</v>
      </c>
      <c r="C2531" s="1">
        <f>IFERROR(__xludf.DUMMYFUNCTION("""COMPUTED_VALUE"""),62400.0)</f>
        <v>62400</v>
      </c>
      <c r="D2531" s="1">
        <f>IFERROR(__xludf.DUMMYFUNCTION("""COMPUTED_VALUE"""),60900.0)</f>
        <v>60900</v>
      </c>
      <c r="E2531" s="1">
        <f>IFERROR(__xludf.DUMMYFUNCTION("""COMPUTED_VALUE"""),61900.0)</f>
        <v>61900</v>
      </c>
      <c r="F2531" s="1">
        <f>IFERROR(__xludf.DUMMYFUNCTION("""COMPUTED_VALUE"""),14038.0)</f>
        <v>14038</v>
      </c>
    </row>
    <row r="2532">
      <c r="A2532" s="2">
        <f>IFERROR(__xludf.DUMMYFUNCTION("""COMPUTED_VALUE"""),44684.64583333333)</f>
        <v>44684.64583</v>
      </c>
      <c r="B2532" s="1">
        <f>IFERROR(__xludf.DUMMYFUNCTION("""COMPUTED_VALUE"""),62400.0)</f>
        <v>62400</v>
      </c>
      <c r="C2532" s="1">
        <f>IFERROR(__xludf.DUMMYFUNCTION("""COMPUTED_VALUE"""),62800.0)</f>
        <v>62800</v>
      </c>
      <c r="D2532" s="1">
        <f>IFERROR(__xludf.DUMMYFUNCTION("""COMPUTED_VALUE"""),61700.0)</f>
        <v>61700</v>
      </c>
      <c r="E2532" s="1">
        <f>IFERROR(__xludf.DUMMYFUNCTION("""COMPUTED_VALUE"""),62200.0)</f>
        <v>62200</v>
      </c>
      <c r="F2532" s="1">
        <f>IFERROR(__xludf.DUMMYFUNCTION("""COMPUTED_VALUE"""),15922.0)</f>
        <v>15922</v>
      </c>
    </row>
    <row r="2533">
      <c r="A2533" s="2">
        <f>IFERROR(__xludf.DUMMYFUNCTION("""COMPUTED_VALUE"""),44685.64583333333)</f>
        <v>44685.64583</v>
      </c>
      <c r="B2533" s="1">
        <f>IFERROR(__xludf.DUMMYFUNCTION("""COMPUTED_VALUE"""),62200.0)</f>
        <v>62200</v>
      </c>
      <c r="C2533" s="1">
        <f>IFERROR(__xludf.DUMMYFUNCTION("""COMPUTED_VALUE"""),63100.0)</f>
        <v>63100</v>
      </c>
      <c r="D2533" s="1">
        <f>IFERROR(__xludf.DUMMYFUNCTION("""COMPUTED_VALUE"""),62200.0)</f>
        <v>62200</v>
      </c>
      <c r="E2533" s="1">
        <f>IFERROR(__xludf.DUMMYFUNCTION("""COMPUTED_VALUE"""),63000.0)</f>
        <v>63000</v>
      </c>
      <c r="F2533" s="1">
        <f>IFERROR(__xludf.DUMMYFUNCTION("""COMPUTED_VALUE"""),31782.0)</f>
        <v>31782</v>
      </c>
    </row>
    <row r="2534">
      <c r="A2534" s="2">
        <f>IFERROR(__xludf.DUMMYFUNCTION("""COMPUTED_VALUE"""),44687.64583333333)</f>
        <v>44687.64583</v>
      </c>
      <c r="B2534" s="1">
        <f>IFERROR(__xludf.DUMMYFUNCTION("""COMPUTED_VALUE"""),62200.0)</f>
        <v>62200</v>
      </c>
      <c r="C2534" s="1">
        <f>IFERROR(__xludf.DUMMYFUNCTION("""COMPUTED_VALUE"""),65700.0)</f>
        <v>65700</v>
      </c>
      <c r="D2534" s="1">
        <f>IFERROR(__xludf.DUMMYFUNCTION("""COMPUTED_VALUE"""),62200.0)</f>
        <v>62200</v>
      </c>
      <c r="E2534" s="1">
        <f>IFERROR(__xludf.DUMMYFUNCTION("""COMPUTED_VALUE"""),65500.0)</f>
        <v>65500</v>
      </c>
      <c r="F2534" s="1">
        <f>IFERROR(__xludf.DUMMYFUNCTION("""COMPUTED_VALUE"""),49049.0)</f>
        <v>49049</v>
      </c>
    </row>
    <row r="2535">
      <c r="A2535" s="2">
        <f>IFERROR(__xludf.DUMMYFUNCTION("""COMPUTED_VALUE"""),44690.64583333333)</f>
        <v>44690.64583</v>
      </c>
      <c r="B2535" s="1">
        <f>IFERROR(__xludf.DUMMYFUNCTION("""COMPUTED_VALUE"""),65500.0)</f>
        <v>65500</v>
      </c>
      <c r="C2535" s="1">
        <f>IFERROR(__xludf.DUMMYFUNCTION("""COMPUTED_VALUE"""),66900.0)</f>
        <v>66900</v>
      </c>
      <c r="D2535" s="1">
        <f>IFERROR(__xludf.DUMMYFUNCTION("""COMPUTED_VALUE"""),63600.0)</f>
        <v>63600</v>
      </c>
      <c r="E2535" s="1">
        <f>IFERROR(__xludf.DUMMYFUNCTION("""COMPUTED_VALUE"""),65300.0)</f>
        <v>65300</v>
      </c>
      <c r="F2535" s="1">
        <f>IFERROR(__xludf.DUMMYFUNCTION("""COMPUTED_VALUE"""),44402.0)</f>
        <v>44402</v>
      </c>
    </row>
    <row r="2536">
      <c r="A2536" s="2">
        <f>IFERROR(__xludf.DUMMYFUNCTION("""COMPUTED_VALUE"""),44691.64583333333)</f>
        <v>44691.64583</v>
      </c>
      <c r="B2536" s="1">
        <f>IFERROR(__xludf.DUMMYFUNCTION("""COMPUTED_VALUE"""),63000.0)</f>
        <v>63000</v>
      </c>
      <c r="C2536" s="1">
        <f>IFERROR(__xludf.DUMMYFUNCTION("""COMPUTED_VALUE"""),63600.0)</f>
        <v>63600</v>
      </c>
      <c r="D2536" s="1">
        <f>IFERROR(__xludf.DUMMYFUNCTION("""COMPUTED_VALUE"""),61900.0)</f>
        <v>61900</v>
      </c>
      <c r="E2536" s="1">
        <f>IFERROR(__xludf.DUMMYFUNCTION("""COMPUTED_VALUE"""),62600.0)</f>
        <v>62600</v>
      </c>
      <c r="F2536" s="1">
        <f>IFERROR(__xludf.DUMMYFUNCTION("""COMPUTED_VALUE"""),24189.0)</f>
        <v>24189</v>
      </c>
    </row>
    <row r="2537">
      <c r="A2537" s="2">
        <f>IFERROR(__xludf.DUMMYFUNCTION("""COMPUTED_VALUE"""),44692.64583333333)</f>
        <v>44692.64583</v>
      </c>
      <c r="B2537" s="1">
        <f>IFERROR(__xludf.DUMMYFUNCTION("""COMPUTED_VALUE"""),62600.0)</f>
        <v>62600</v>
      </c>
      <c r="C2537" s="1">
        <f>IFERROR(__xludf.DUMMYFUNCTION("""COMPUTED_VALUE"""),62800.0)</f>
        <v>62800</v>
      </c>
      <c r="D2537" s="1">
        <f>IFERROR(__xludf.DUMMYFUNCTION("""COMPUTED_VALUE"""),61100.0)</f>
        <v>61100</v>
      </c>
      <c r="E2537" s="1">
        <f>IFERROR(__xludf.DUMMYFUNCTION("""COMPUTED_VALUE"""),62000.0)</f>
        <v>62000</v>
      </c>
      <c r="F2537" s="1">
        <f>IFERROR(__xludf.DUMMYFUNCTION("""COMPUTED_VALUE"""),18547.0)</f>
        <v>18547</v>
      </c>
    </row>
    <row r="2538">
      <c r="A2538" s="2">
        <f>IFERROR(__xludf.DUMMYFUNCTION("""COMPUTED_VALUE"""),44693.64583333333)</f>
        <v>44693.64583</v>
      </c>
      <c r="B2538" s="1">
        <f>IFERROR(__xludf.DUMMYFUNCTION("""COMPUTED_VALUE"""),62000.0)</f>
        <v>62000</v>
      </c>
      <c r="C2538" s="1">
        <f>IFERROR(__xludf.DUMMYFUNCTION("""COMPUTED_VALUE"""),64100.0)</f>
        <v>64100</v>
      </c>
      <c r="D2538" s="1">
        <f>IFERROR(__xludf.DUMMYFUNCTION("""COMPUTED_VALUE"""),61900.0)</f>
        <v>61900</v>
      </c>
      <c r="E2538" s="1">
        <f>IFERROR(__xludf.DUMMYFUNCTION("""COMPUTED_VALUE"""),62000.0)</f>
        <v>62000</v>
      </c>
      <c r="F2538" s="1">
        <f>IFERROR(__xludf.DUMMYFUNCTION("""COMPUTED_VALUE"""),23469.0)</f>
        <v>23469</v>
      </c>
    </row>
    <row r="2539">
      <c r="A2539" s="2">
        <f>IFERROR(__xludf.DUMMYFUNCTION("""COMPUTED_VALUE"""),44694.64583333333)</f>
        <v>44694.64583</v>
      </c>
      <c r="B2539" s="1">
        <f>IFERROR(__xludf.DUMMYFUNCTION("""COMPUTED_VALUE"""),63200.0)</f>
        <v>63200</v>
      </c>
      <c r="C2539" s="1">
        <f>IFERROR(__xludf.DUMMYFUNCTION("""COMPUTED_VALUE"""),63500.0)</f>
        <v>63500</v>
      </c>
      <c r="D2539" s="1">
        <f>IFERROR(__xludf.DUMMYFUNCTION("""COMPUTED_VALUE"""),62600.0)</f>
        <v>62600</v>
      </c>
      <c r="E2539" s="1">
        <f>IFERROR(__xludf.DUMMYFUNCTION("""COMPUTED_VALUE"""),63200.0)</f>
        <v>63200</v>
      </c>
      <c r="F2539" s="1">
        <f>IFERROR(__xludf.DUMMYFUNCTION("""COMPUTED_VALUE"""),11724.0)</f>
        <v>11724</v>
      </c>
    </row>
    <row r="2540">
      <c r="A2540" s="2">
        <f>IFERROR(__xludf.DUMMYFUNCTION("""COMPUTED_VALUE"""),44697.64583333333)</f>
        <v>44697.64583</v>
      </c>
      <c r="B2540" s="1">
        <f>IFERROR(__xludf.DUMMYFUNCTION("""COMPUTED_VALUE"""),63900.0)</f>
        <v>63900</v>
      </c>
      <c r="C2540" s="1">
        <f>IFERROR(__xludf.DUMMYFUNCTION("""COMPUTED_VALUE"""),64400.0)</f>
        <v>64400</v>
      </c>
      <c r="D2540" s="1">
        <f>IFERROR(__xludf.DUMMYFUNCTION("""COMPUTED_VALUE"""),62300.0)</f>
        <v>62300</v>
      </c>
      <c r="E2540" s="1">
        <f>IFERROR(__xludf.DUMMYFUNCTION("""COMPUTED_VALUE"""),63000.0)</f>
        <v>63000</v>
      </c>
      <c r="F2540" s="1">
        <f>IFERROR(__xludf.DUMMYFUNCTION("""COMPUTED_VALUE"""),16219.0)</f>
        <v>16219</v>
      </c>
    </row>
    <row r="2541">
      <c r="A2541" s="2">
        <f>IFERROR(__xludf.DUMMYFUNCTION("""COMPUTED_VALUE"""),44698.64583333333)</f>
        <v>44698.64583</v>
      </c>
      <c r="B2541" s="1">
        <f>IFERROR(__xludf.DUMMYFUNCTION("""COMPUTED_VALUE"""),64300.0)</f>
        <v>64300</v>
      </c>
      <c r="C2541" s="1">
        <f>IFERROR(__xludf.DUMMYFUNCTION("""COMPUTED_VALUE"""),66000.0)</f>
        <v>66000</v>
      </c>
      <c r="D2541" s="1">
        <f>IFERROR(__xludf.DUMMYFUNCTION("""COMPUTED_VALUE"""),64000.0)</f>
        <v>64000</v>
      </c>
      <c r="E2541" s="1">
        <f>IFERROR(__xludf.DUMMYFUNCTION("""COMPUTED_VALUE"""),64700.0)</f>
        <v>64700</v>
      </c>
      <c r="F2541" s="1">
        <f>IFERROR(__xludf.DUMMYFUNCTION("""COMPUTED_VALUE"""),46795.0)</f>
        <v>46795</v>
      </c>
    </row>
    <row r="2542">
      <c r="A2542" s="2">
        <f>IFERROR(__xludf.DUMMYFUNCTION("""COMPUTED_VALUE"""),44699.64583333333)</f>
        <v>44699.64583</v>
      </c>
      <c r="B2542" s="1">
        <f>IFERROR(__xludf.DUMMYFUNCTION("""COMPUTED_VALUE"""),65100.0)</f>
        <v>65100</v>
      </c>
      <c r="C2542" s="1">
        <f>IFERROR(__xludf.DUMMYFUNCTION("""COMPUTED_VALUE"""),65500.0)</f>
        <v>65500</v>
      </c>
      <c r="D2542" s="1">
        <f>IFERROR(__xludf.DUMMYFUNCTION("""COMPUTED_VALUE"""),62500.0)</f>
        <v>62500</v>
      </c>
      <c r="E2542" s="1">
        <f>IFERROR(__xludf.DUMMYFUNCTION("""COMPUTED_VALUE"""),63400.0)</f>
        <v>63400</v>
      </c>
      <c r="F2542" s="1">
        <f>IFERROR(__xludf.DUMMYFUNCTION("""COMPUTED_VALUE"""),17574.0)</f>
        <v>17574</v>
      </c>
    </row>
    <row r="2543">
      <c r="A2543" s="2">
        <f>IFERROR(__xludf.DUMMYFUNCTION("""COMPUTED_VALUE"""),44700.64583333333)</f>
        <v>44700.64583</v>
      </c>
      <c r="B2543" s="1">
        <f>IFERROR(__xludf.DUMMYFUNCTION("""COMPUTED_VALUE"""),62400.0)</f>
        <v>62400</v>
      </c>
      <c r="C2543" s="1">
        <f>IFERROR(__xludf.DUMMYFUNCTION("""COMPUTED_VALUE"""),62700.0)</f>
        <v>62700</v>
      </c>
      <c r="D2543" s="1">
        <f>IFERROR(__xludf.DUMMYFUNCTION("""COMPUTED_VALUE"""),62000.0)</f>
        <v>62000</v>
      </c>
      <c r="E2543" s="1">
        <f>IFERROR(__xludf.DUMMYFUNCTION("""COMPUTED_VALUE"""),62500.0)</f>
        <v>62500</v>
      </c>
      <c r="F2543" s="1">
        <f>IFERROR(__xludf.DUMMYFUNCTION("""COMPUTED_VALUE"""),12815.0)</f>
        <v>12815</v>
      </c>
    </row>
    <row r="2544">
      <c r="A2544" s="2">
        <f>IFERROR(__xludf.DUMMYFUNCTION("""COMPUTED_VALUE"""),44701.64583333333)</f>
        <v>44701.64583</v>
      </c>
      <c r="B2544" s="1">
        <f>IFERROR(__xludf.DUMMYFUNCTION("""COMPUTED_VALUE"""),60000.0)</f>
        <v>60000</v>
      </c>
      <c r="C2544" s="1">
        <f>IFERROR(__xludf.DUMMYFUNCTION("""COMPUTED_VALUE"""),61800.0)</f>
        <v>61800</v>
      </c>
      <c r="D2544" s="1">
        <f>IFERROR(__xludf.DUMMYFUNCTION("""COMPUTED_VALUE"""),58200.0)</f>
        <v>58200</v>
      </c>
      <c r="E2544" s="1">
        <f>IFERROR(__xludf.DUMMYFUNCTION("""COMPUTED_VALUE"""),61400.0)</f>
        <v>61400</v>
      </c>
      <c r="F2544" s="1">
        <f>IFERROR(__xludf.DUMMYFUNCTION("""COMPUTED_VALUE"""),57816.0)</f>
        <v>57816</v>
      </c>
    </row>
    <row r="2545">
      <c r="A2545" s="2">
        <f>IFERROR(__xludf.DUMMYFUNCTION("""COMPUTED_VALUE"""),44704.64583333333)</f>
        <v>44704.64583</v>
      </c>
      <c r="B2545" s="1">
        <f>IFERROR(__xludf.DUMMYFUNCTION("""COMPUTED_VALUE"""),61500.0)</f>
        <v>61500</v>
      </c>
      <c r="C2545" s="1">
        <f>IFERROR(__xludf.DUMMYFUNCTION("""COMPUTED_VALUE"""),61700.0)</f>
        <v>61700</v>
      </c>
      <c r="D2545" s="1">
        <f>IFERROR(__xludf.DUMMYFUNCTION("""COMPUTED_VALUE"""),60500.0)</f>
        <v>60500</v>
      </c>
      <c r="E2545" s="1">
        <f>IFERROR(__xludf.DUMMYFUNCTION("""COMPUTED_VALUE"""),61400.0)</f>
        <v>61400</v>
      </c>
      <c r="F2545" s="1">
        <f>IFERROR(__xludf.DUMMYFUNCTION("""COMPUTED_VALUE"""),10605.0)</f>
        <v>10605</v>
      </c>
    </row>
    <row r="2546">
      <c r="A2546" s="2">
        <f>IFERROR(__xludf.DUMMYFUNCTION("""COMPUTED_VALUE"""),44705.64583333333)</f>
        <v>44705.64583</v>
      </c>
      <c r="B2546" s="1">
        <f>IFERROR(__xludf.DUMMYFUNCTION("""COMPUTED_VALUE"""),61400.0)</f>
        <v>61400</v>
      </c>
      <c r="C2546" s="1">
        <f>IFERROR(__xludf.DUMMYFUNCTION("""COMPUTED_VALUE"""),62300.0)</f>
        <v>62300</v>
      </c>
      <c r="D2546" s="1">
        <f>IFERROR(__xludf.DUMMYFUNCTION("""COMPUTED_VALUE"""),61100.0)</f>
        <v>61100</v>
      </c>
      <c r="E2546" s="1">
        <f>IFERROR(__xludf.DUMMYFUNCTION("""COMPUTED_VALUE"""),61600.0)</f>
        <v>61600</v>
      </c>
      <c r="F2546" s="1">
        <f>IFERROR(__xludf.DUMMYFUNCTION("""COMPUTED_VALUE"""),10395.0)</f>
        <v>10395</v>
      </c>
    </row>
    <row r="2547">
      <c r="A2547" s="2">
        <f>IFERROR(__xludf.DUMMYFUNCTION("""COMPUTED_VALUE"""),44706.64583333333)</f>
        <v>44706.64583</v>
      </c>
      <c r="B2547" s="1">
        <f>IFERROR(__xludf.DUMMYFUNCTION("""COMPUTED_VALUE"""),61600.0)</f>
        <v>61600</v>
      </c>
      <c r="C2547" s="1">
        <f>IFERROR(__xludf.DUMMYFUNCTION("""COMPUTED_VALUE"""),63100.0)</f>
        <v>63100</v>
      </c>
      <c r="D2547" s="1">
        <f>IFERROR(__xludf.DUMMYFUNCTION("""COMPUTED_VALUE"""),61600.0)</f>
        <v>61600</v>
      </c>
      <c r="E2547" s="1">
        <f>IFERROR(__xludf.DUMMYFUNCTION("""COMPUTED_VALUE"""),62700.0)</f>
        <v>62700</v>
      </c>
      <c r="F2547" s="1">
        <f>IFERROR(__xludf.DUMMYFUNCTION("""COMPUTED_VALUE"""),7844.0)</f>
        <v>7844</v>
      </c>
    </row>
    <row r="2548">
      <c r="A2548" s="2">
        <f>IFERROR(__xludf.DUMMYFUNCTION("""COMPUTED_VALUE"""),44707.64583333333)</f>
        <v>44707.64583</v>
      </c>
      <c r="B2548" s="1">
        <f>IFERROR(__xludf.DUMMYFUNCTION("""COMPUTED_VALUE"""),63100.0)</f>
        <v>63100</v>
      </c>
      <c r="C2548" s="1">
        <f>IFERROR(__xludf.DUMMYFUNCTION("""COMPUTED_VALUE"""),63100.0)</f>
        <v>63100</v>
      </c>
      <c r="D2548" s="1">
        <f>IFERROR(__xludf.DUMMYFUNCTION("""COMPUTED_VALUE"""),62100.0)</f>
        <v>62100</v>
      </c>
      <c r="E2548" s="1">
        <f>IFERROR(__xludf.DUMMYFUNCTION("""COMPUTED_VALUE"""),62700.0)</f>
        <v>62700</v>
      </c>
      <c r="F2548" s="1">
        <f>IFERROR(__xludf.DUMMYFUNCTION("""COMPUTED_VALUE"""),4638.0)</f>
        <v>4638</v>
      </c>
    </row>
    <row r="2549">
      <c r="A2549" s="2">
        <f>IFERROR(__xludf.DUMMYFUNCTION("""COMPUTED_VALUE"""),44708.64583333333)</f>
        <v>44708.64583</v>
      </c>
      <c r="B2549" s="1">
        <f>IFERROR(__xludf.DUMMYFUNCTION("""COMPUTED_VALUE"""),63100.0)</f>
        <v>63100</v>
      </c>
      <c r="C2549" s="1">
        <f>IFERROR(__xludf.DUMMYFUNCTION("""COMPUTED_VALUE"""),64900.0)</f>
        <v>64900</v>
      </c>
      <c r="D2549" s="1">
        <f>IFERROR(__xludf.DUMMYFUNCTION("""COMPUTED_VALUE"""),63100.0)</f>
        <v>63100</v>
      </c>
      <c r="E2549" s="1">
        <f>IFERROR(__xludf.DUMMYFUNCTION("""COMPUTED_VALUE"""),63900.0)</f>
        <v>63900</v>
      </c>
      <c r="F2549" s="1">
        <f>IFERROR(__xludf.DUMMYFUNCTION("""COMPUTED_VALUE"""),16578.0)</f>
        <v>16578</v>
      </c>
    </row>
    <row r="2550">
      <c r="A2550" s="2">
        <f>IFERROR(__xludf.DUMMYFUNCTION("""COMPUTED_VALUE"""),44711.64583333333)</f>
        <v>44711.64583</v>
      </c>
      <c r="B2550" s="1">
        <f>IFERROR(__xludf.DUMMYFUNCTION("""COMPUTED_VALUE"""),64200.0)</f>
        <v>64200</v>
      </c>
      <c r="C2550" s="1">
        <f>IFERROR(__xludf.DUMMYFUNCTION("""COMPUTED_VALUE"""),64600.0)</f>
        <v>64600</v>
      </c>
      <c r="D2550" s="1">
        <f>IFERROR(__xludf.DUMMYFUNCTION("""COMPUTED_VALUE"""),63800.0)</f>
        <v>63800</v>
      </c>
      <c r="E2550" s="1">
        <f>IFERROR(__xludf.DUMMYFUNCTION("""COMPUTED_VALUE"""),64500.0)</f>
        <v>64500</v>
      </c>
      <c r="F2550" s="1">
        <f>IFERROR(__xludf.DUMMYFUNCTION("""COMPUTED_VALUE"""),8088.0)</f>
        <v>8088</v>
      </c>
    </row>
    <row r="2551">
      <c r="A2551" s="2">
        <f>IFERROR(__xludf.DUMMYFUNCTION("""COMPUTED_VALUE"""),44712.64583333333)</f>
        <v>44712.64583</v>
      </c>
      <c r="B2551" s="1">
        <f>IFERROR(__xludf.DUMMYFUNCTION("""COMPUTED_VALUE"""),64700.0)</f>
        <v>64700</v>
      </c>
      <c r="C2551" s="1">
        <f>IFERROR(__xludf.DUMMYFUNCTION("""COMPUTED_VALUE"""),66000.0)</f>
        <v>66000</v>
      </c>
      <c r="D2551" s="1">
        <f>IFERROR(__xludf.DUMMYFUNCTION("""COMPUTED_VALUE"""),64700.0)</f>
        <v>64700</v>
      </c>
      <c r="E2551" s="1">
        <f>IFERROR(__xludf.DUMMYFUNCTION("""COMPUTED_VALUE"""),65800.0)</f>
        <v>65800</v>
      </c>
      <c r="F2551" s="1">
        <f>IFERROR(__xludf.DUMMYFUNCTION("""COMPUTED_VALUE"""),24329.0)</f>
        <v>24329</v>
      </c>
    </row>
    <row r="2552">
      <c r="A2552" s="2">
        <f>IFERROR(__xludf.DUMMYFUNCTION("""COMPUTED_VALUE"""),44714.64583333333)</f>
        <v>44714.64583</v>
      </c>
      <c r="B2552" s="1">
        <f>IFERROR(__xludf.DUMMYFUNCTION("""COMPUTED_VALUE"""),66500.0)</f>
        <v>66500</v>
      </c>
      <c r="C2552" s="1">
        <f>IFERROR(__xludf.DUMMYFUNCTION("""COMPUTED_VALUE"""),66600.0)</f>
        <v>66600</v>
      </c>
      <c r="D2552" s="1">
        <f>IFERROR(__xludf.DUMMYFUNCTION("""COMPUTED_VALUE"""),65200.0)</f>
        <v>65200</v>
      </c>
      <c r="E2552" s="1">
        <f>IFERROR(__xludf.DUMMYFUNCTION("""COMPUTED_VALUE"""),66000.0)</f>
        <v>66000</v>
      </c>
      <c r="F2552" s="1">
        <f>IFERROR(__xludf.DUMMYFUNCTION("""COMPUTED_VALUE"""),21222.0)</f>
        <v>21222</v>
      </c>
    </row>
    <row r="2553">
      <c r="A2553" s="2">
        <f>IFERROR(__xludf.DUMMYFUNCTION("""COMPUTED_VALUE"""),44715.64583333333)</f>
        <v>44715.64583</v>
      </c>
      <c r="B2553" s="1">
        <f>IFERROR(__xludf.DUMMYFUNCTION("""COMPUTED_VALUE"""),66200.0)</f>
        <v>66200</v>
      </c>
      <c r="C2553" s="1">
        <f>IFERROR(__xludf.DUMMYFUNCTION("""COMPUTED_VALUE"""),66700.0)</f>
        <v>66700</v>
      </c>
      <c r="D2553" s="1">
        <f>IFERROR(__xludf.DUMMYFUNCTION("""COMPUTED_VALUE"""),65300.0)</f>
        <v>65300</v>
      </c>
      <c r="E2553" s="1">
        <f>IFERROR(__xludf.DUMMYFUNCTION("""COMPUTED_VALUE"""),66500.0)</f>
        <v>66500</v>
      </c>
      <c r="F2553" s="1">
        <f>IFERROR(__xludf.DUMMYFUNCTION("""COMPUTED_VALUE"""),14717.0)</f>
        <v>14717</v>
      </c>
    </row>
    <row r="2554">
      <c r="A2554" s="2">
        <f>IFERROR(__xludf.DUMMYFUNCTION("""COMPUTED_VALUE"""),44719.64583333333)</f>
        <v>44719.64583</v>
      </c>
      <c r="B2554" s="1">
        <f>IFERROR(__xludf.DUMMYFUNCTION("""COMPUTED_VALUE"""),67000.0)</f>
        <v>67000</v>
      </c>
      <c r="C2554" s="1">
        <f>IFERROR(__xludf.DUMMYFUNCTION("""COMPUTED_VALUE"""),69700.0)</f>
        <v>69700</v>
      </c>
      <c r="D2554" s="1">
        <f>IFERROR(__xludf.DUMMYFUNCTION("""COMPUTED_VALUE"""),66000.0)</f>
        <v>66000</v>
      </c>
      <c r="E2554" s="1">
        <f>IFERROR(__xludf.DUMMYFUNCTION("""COMPUTED_VALUE"""),69000.0)</f>
        <v>69000</v>
      </c>
      <c r="F2554" s="1">
        <f>IFERROR(__xludf.DUMMYFUNCTION("""COMPUTED_VALUE"""),44134.0)</f>
        <v>44134</v>
      </c>
    </row>
    <row r="2555">
      <c r="A2555" s="2">
        <f>IFERROR(__xludf.DUMMYFUNCTION("""COMPUTED_VALUE"""),44720.64583333333)</f>
        <v>44720.64583</v>
      </c>
      <c r="B2555" s="1">
        <f>IFERROR(__xludf.DUMMYFUNCTION("""COMPUTED_VALUE"""),69500.0)</f>
        <v>69500</v>
      </c>
      <c r="C2555" s="1">
        <f>IFERROR(__xludf.DUMMYFUNCTION("""COMPUTED_VALUE"""),71800.0)</f>
        <v>71800</v>
      </c>
      <c r="D2555" s="1">
        <f>IFERROR(__xludf.DUMMYFUNCTION("""COMPUTED_VALUE"""),69500.0)</f>
        <v>69500</v>
      </c>
      <c r="E2555" s="1">
        <f>IFERROR(__xludf.DUMMYFUNCTION("""COMPUTED_VALUE"""),71000.0)</f>
        <v>71000</v>
      </c>
      <c r="F2555" s="1">
        <f>IFERROR(__xludf.DUMMYFUNCTION("""COMPUTED_VALUE"""),45782.0)</f>
        <v>45782</v>
      </c>
    </row>
    <row r="2556">
      <c r="A2556" s="2">
        <f>IFERROR(__xludf.DUMMYFUNCTION("""COMPUTED_VALUE"""),44721.64583333333)</f>
        <v>44721.64583</v>
      </c>
      <c r="B2556" s="1">
        <f>IFERROR(__xludf.DUMMYFUNCTION("""COMPUTED_VALUE"""),71900.0)</f>
        <v>71900</v>
      </c>
      <c r="C2556" s="1">
        <f>IFERROR(__xludf.DUMMYFUNCTION("""COMPUTED_VALUE"""),75500.0)</f>
        <v>75500</v>
      </c>
      <c r="D2556" s="1">
        <f>IFERROR(__xludf.DUMMYFUNCTION("""COMPUTED_VALUE"""),71500.0)</f>
        <v>71500</v>
      </c>
      <c r="E2556" s="1">
        <f>IFERROR(__xludf.DUMMYFUNCTION("""COMPUTED_VALUE"""),75400.0)</f>
        <v>75400</v>
      </c>
      <c r="F2556" s="1">
        <f>IFERROR(__xludf.DUMMYFUNCTION("""COMPUTED_VALUE"""),127847.0)</f>
        <v>127847</v>
      </c>
    </row>
    <row r="2557">
      <c r="A2557" s="2">
        <f>IFERROR(__xludf.DUMMYFUNCTION("""COMPUTED_VALUE"""),44722.64583333333)</f>
        <v>44722.64583</v>
      </c>
      <c r="B2557" s="1">
        <f>IFERROR(__xludf.DUMMYFUNCTION("""COMPUTED_VALUE"""),76100.0)</f>
        <v>76100</v>
      </c>
      <c r="C2557" s="1">
        <f>IFERROR(__xludf.DUMMYFUNCTION("""COMPUTED_VALUE"""),77200.0)</f>
        <v>77200</v>
      </c>
      <c r="D2557" s="1">
        <f>IFERROR(__xludf.DUMMYFUNCTION("""COMPUTED_VALUE"""),74100.0)</f>
        <v>74100</v>
      </c>
      <c r="E2557" s="1">
        <f>IFERROR(__xludf.DUMMYFUNCTION("""COMPUTED_VALUE"""),77000.0)</f>
        <v>77000</v>
      </c>
      <c r="F2557" s="1">
        <f>IFERROR(__xludf.DUMMYFUNCTION("""COMPUTED_VALUE"""),71499.0)</f>
        <v>71499</v>
      </c>
    </row>
    <row r="2558">
      <c r="A2558" s="2">
        <f>IFERROR(__xludf.DUMMYFUNCTION("""COMPUTED_VALUE"""),44725.64583333333)</f>
        <v>44725.64583</v>
      </c>
      <c r="B2558" s="1">
        <f>IFERROR(__xludf.DUMMYFUNCTION("""COMPUTED_VALUE"""),77400.0)</f>
        <v>77400</v>
      </c>
      <c r="C2558" s="1">
        <f>IFERROR(__xludf.DUMMYFUNCTION("""COMPUTED_VALUE"""),81100.0)</f>
        <v>81100</v>
      </c>
      <c r="D2558" s="1">
        <f>IFERROR(__xludf.DUMMYFUNCTION("""COMPUTED_VALUE"""),75700.0)</f>
        <v>75700</v>
      </c>
      <c r="E2558" s="1">
        <f>IFERROR(__xludf.DUMMYFUNCTION("""COMPUTED_VALUE"""),76200.0)</f>
        <v>76200</v>
      </c>
      <c r="F2558" s="1">
        <f>IFERROR(__xludf.DUMMYFUNCTION("""COMPUTED_VALUE"""),88023.0)</f>
        <v>88023</v>
      </c>
    </row>
    <row r="2559">
      <c r="A2559" s="2">
        <f>IFERROR(__xludf.DUMMYFUNCTION("""COMPUTED_VALUE"""),44726.64583333333)</f>
        <v>44726.64583</v>
      </c>
      <c r="B2559" s="1">
        <f>IFERROR(__xludf.DUMMYFUNCTION("""COMPUTED_VALUE"""),74300.0)</f>
        <v>74300</v>
      </c>
      <c r="C2559" s="1">
        <f>IFERROR(__xludf.DUMMYFUNCTION("""COMPUTED_VALUE"""),77000.0)</f>
        <v>77000</v>
      </c>
      <c r="D2559" s="1">
        <f>IFERROR(__xludf.DUMMYFUNCTION("""COMPUTED_VALUE"""),73500.0)</f>
        <v>73500</v>
      </c>
      <c r="E2559" s="1">
        <f>IFERROR(__xludf.DUMMYFUNCTION("""COMPUTED_VALUE"""),76200.0)</f>
        <v>76200</v>
      </c>
      <c r="F2559" s="1">
        <f>IFERROR(__xludf.DUMMYFUNCTION("""COMPUTED_VALUE"""),49664.0)</f>
        <v>49664</v>
      </c>
    </row>
    <row r="2560">
      <c r="A2560" s="2">
        <f>IFERROR(__xludf.DUMMYFUNCTION("""COMPUTED_VALUE"""),44727.64583333333)</f>
        <v>44727.64583</v>
      </c>
      <c r="B2560" s="1">
        <f>IFERROR(__xludf.DUMMYFUNCTION("""COMPUTED_VALUE"""),75800.0)</f>
        <v>75800</v>
      </c>
      <c r="C2560" s="1">
        <f>IFERROR(__xludf.DUMMYFUNCTION("""COMPUTED_VALUE"""),76200.0)</f>
        <v>76200</v>
      </c>
      <c r="D2560" s="1">
        <f>IFERROR(__xludf.DUMMYFUNCTION("""COMPUTED_VALUE"""),73200.0)</f>
        <v>73200</v>
      </c>
      <c r="E2560" s="1">
        <f>IFERROR(__xludf.DUMMYFUNCTION("""COMPUTED_VALUE"""),73900.0)</f>
        <v>73900</v>
      </c>
      <c r="F2560" s="1">
        <f>IFERROR(__xludf.DUMMYFUNCTION("""COMPUTED_VALUE"""),53551.0)</f>
        <v>53551</v>
      </c>
    </row>
    <row r="2561">
      <c r="A2561" s="2">
        <f>IFERROR(__xludf.DUMMYFUNCTION("""COMPUTED_VALUE"""),44729.64583333333)</f>
        <v>44729.64583</v>
      </c>
      <c r="B2561" s="1">
        <f>IFERROR(__xludf.DUMMYFUNCTION("""COMPUTED_VALUE"""),71000.0)</f>
        <v>71000</v>
      </c>
      <c r="C2561" s="1">
        <f>IFERROR(__xludf.DUMMYFUNCTION("""COMPUTED_VALUE"""),73400.0)</f>
        <v>73400</v>
      </c>
      <c r="D2561" s="1">
        <f>IFERROR(__xludf.DUMMYFUNCTION("""COMPUTED_VALUE"""),69200.0)</f>
        <v>69200</v>
      </c>
      <c r="E2561" s="1">
        <f>IFERROR(__xludf.DUMMYFUNCTION("""COMPUTED_VALUE"""),72300.0)</f>
        <v>72300</v>
      </c>
      <c r="F2561" s="1">
        <f>IFERROR(__xludf.DUMMYFUNCTION("""COMPUTED_VALUE"""),41838.0)</f>
        <v>41838</v>
      </c>
    </row>
    <row r="2562">
      <c r="A2562" s="2">
        <f>IFERROR(__xludf.DUMMYFUNCTION("""COMPUTED_VALUE"""),44732.64583333333)</f>
        <v>44732.64583</v>
      </c>
      <c r="B2562" s="1">
        <f>IFERROR(__xludf.DUMMYFUNCTION("""COMPUTED_VALUE"""),70400.0)</f>
        <v>70400</v>
      </c>
      <c r="C2562" s="1">
        <f>IFERROR(__xludf.DUMMYFUNCTION("""COMPUTED_VALUE"""),71000.0)</f>
        <v>71000</v>
      </c>
      <c r="D2562" s="1">
        <f>IFERROR(__xludf.DUMMYFUNCTION("""COMPUTED_VALUE"""),68800.0)</f>
        <v>68800</v>
      </c>
      <c r="E2562" s="1">
        <f>IFERROR(__xludf.DUMMYFUNCTION("""COMPUTED_VALUE"""),69500.0)</f>
        <v>69500</v>
      </c>
      <c r="F2562" s="1">
        <f>IFERROR(__xludf.DUMMYFUNCTION("""COMPUTED_VALUE"""),35356.0)</f>
        <v>35356</v>
      </c>
    </row>
    <row r="2563">
      <c r="A2563" s="2">
        <f>IFERROR(__xludf.DUMMYFUNCTION("""COMPUTED_VALUE"""),44733.64583333333)</f>
        <v>44733.64583</v>
      </c>
      <c r="B2563" s="1">
        <f>IFERROR(__xludf.DUMMYFUNCTION("""COMPUTED_VALUE"""),69900.0)</f>
        <v>69900</v>
      </c>
      <c r="C2563" s="1">
        <f>IFERROR(__xludf.DUMMYFUNCTION("""COMPUTED_VALUE"""),71400.0)</f>
        <v>71400</v>
      </c>
      <c r="D2563" s="1">
        <f>IFERROR(__xludf.DUMMYFUNCTION("""COMPUTED_VALUE"""),69400.0)</f>
        <v>69400</v>
      </c>
      <c r="E2563" s="1">
        <f>IFERROR(__xludf.DUMMYFUNCTION("""COMPUTED_VALUE"""),69600.0)</f>
        <v>69600</v>
      </c>
      <c r="F2563" s="1">
        <f>IFERROR(__xludf.DUMMYFUNCTION("""COMPUTED_VALUE"""),23255.0)</f>
        <v>23255</v>
      </c>
    </row>
    <row r="2564">
      <c r="A2564" s="2">
        <f>IFERROR(__xludf.DUMMYFUNCTION("""COMPUTED_VALUE"""),44734.64583333333)</f>
        <v>44734.64583</v>
      </c>
      <c r="B2564" s="1">
        <f>IFERROR(__xludf.DUMMYFUNCTION("""COMPUTED_VALUE"""),70400.0)</f>
        <v>70400</v>
      </c>
      <c r="C2564" s="1">
        <f>IFERROR(__xludf.DUMMYFUNCTION("""COMPUTED_VALUE"""),70400.0)</f>
        <v>70400</v>
      </c>
      <c r="D2564" s="1">
        <f>IFERROR(__xludf.DUMMYFUNCTION("""COMPUTED_VALUE"""),66200.0)</f>
        <v>66200</v>
      </c>
      <c r="E2564" s="1">
        <f>IFERROR(__xludf.DUMMYFUNCTION("""COMPUTED_VALUE"""),66500.0)</f>
        <v>66500</v>
      </c>
      <c r="F2564" s="1">
        <f>IFERROR(__xludf.DUMMYFUNCTION("""COMPUTED_VALUE"""),38742.0)</f>
        <v>38742</v>
      </c>
    </row>
    <row r="2565">
      <c r="A2565" s="2">
        <f>IFERROR(__xludf.DUMMYFUNCTION("""COMPUTED_VALUE"""),44735.64583333333)</f>
        <v>44735.64583</v>
      </c>
      <c r="B2565" s="1">
        <f>IFERROR(__xludf.DUMMYFUNCTION("""COMPUTED_VALUE"""),65900.0)</f>
        <v>65900</v>
      </c>
      <c r="C2565" s="1">
        <f>IFERROR(__xludf.DUMMYFUNCTION("""COMPUTED_VALUE"""),65900.0)</f>
        <v>65900</v>
      </c>
      <c r="D2565" s="1">
        <f>IFERROR(__xludf.DUMMYFUNCTION("""COMPUTED_VALUE"""),62000.0)</f>
        <v>62000</v>
      </c>
      <c r="E2565" s="1">
        <f>IFERROR(__xludf.DUMMYFUNCTION("""COMPUTED_VALUE"""),64600.0)</f>
        <v>64600</v>
      </c>
      <c r="F2565" s="1">
        <f>IFERROR(__xludf.DUMMYFUNCTION("""COMPUTED_VALUE"""),50456.0)</f>
        <v>50456</v>
      </c>
    </row>
    <row r="2566">
      <c r="A2566" s="2">
        <f>IFERROR(__xludf.DUMMYFUNCTION("""COMPUTED_VALUE"""),44736.64583333333)</f>
        <v>44736.64583</v>
      </c>
      <c r="B2566" s="1">
        <f>IFERROR(__xludf.DUMMYFUNCTION("""COMPUTED_VALUE"""),63700.0)</f>
        <v>63700</v>
      </c>
      <c r="C2566" s="1">
        <f>IFERROR(__xludf.DUMMYFUNCTION("""COMPUTED_VALUE"""),65500.0)</f>
        <v>65500</v>
      </c>
      <c r="D2566" s="1">
        <f>IFERROR(__xludf.DUMMYFUNCTION("""COMPUTED_VALUE"""),62300.0)</f>
        <v>62300</v>
      </c>
      <c r="E2566" s="1">
        <f>IFERROR(__xludf.DUMMYFUNCTION("""COMPUTED_VALUE"""),64800.0)</f>
        <v>64800</v>
      </c>
      <c r="F2566" s="1">
        <f>IFERROR(__xludf.DUMMYFUNCTION("""COMPUTED_VALUE"""),37328.0)</f>
        <v>37328</v>
      </c>
    </row>
    <row r="2567">
      <c r="A2567" s="2">
        <f>IFERROR(__xludf.DUMMYFUNCTION("""COMPUTED_VALUE"""),44739.64583333333)</f>
        <v>44739.64583</v>
      </c>
      <c r="B2567" s="1">
        <f>IFERROR(__xludf.DUMMYFUNCTION("""COMPUTED_VALUE"""),66000.0)</f>
        <v>66000</v>
      </c>
      <c r="C2567" s="1">
        <f>IFERROR(__xludf.DUMMYFUNCTION("""COMPUTED_VALUE"""),66200.0)</f>
        <v>66200</v>
      </c>
      <c r="D2567" s="1">
        <f>IFERROR(__xludf.DUMMYFUNCTION("""COMPUTED_VALUE"""),65400.0)</f>
        <v>65400</v>
      </c>
      <c r="E2567" s="1">
        <f>IFERROR(__xludf.DUMMYFUNCTION("""COMPUTED_VALUE"""),65700.0)</f>
        <v>65700</v>
      </c>
      <c r="F2567" s="1">
        <f>IFERROR(__xludf.DUMMYFUNCTION("""COMPUTED_VALUE"""),30660.0)</f>
        <v>30660</v>
      </c>
    </row>
    <row r="2568">
      <c r="A2568" s="2">
        <f>IFERROR(__xludf.DUMMYFUNCTION("""COMPUTED_VALUE"""),44740.64583333333)</f>
        <v>44740.64583</v>
      </c>
      <c r="B2568" s="1">
        <f>IFERROR(__xludf.DUMMYFUNCTION("""COMPUTED_VALUE"""),66900.0)</f>
        <v>66900</v>
      </c>
      <c r="C2568" s="1">
        <f>IFERROR(__xludf.DUMMYFUNCTION("""COMPUTED_VALUE"""),68300.0)</f>
        <v>68300</v>
      </c>
      <c r="D2568" s="1">
        <f>IFERROR(__xludf.DUMMYFUNCTION("""COMPUTED_VALUE"""),66100.0)</f>
        <v>66100</v>
      </c>
      <c r="E2568" s="1">
        <f>IFERROR(__xludf.DUMMYFUNCTION("""COMPUTED_VALUE"""),68000.0)</f>
        <v>68000</v>
      </c>
      <c r="F2568" s="1">
        <f>IFERROR(__xludf.DUMMYFUNCTION("""COMPUTED_VALUE"""),60025.0)</f>
        <v>60025</v>
      </c>
    </row>
    <row r="2569">
      <c r="A2569" s="2">
        <f>IFERROR(__xludf.DUMMYFUNCTION("""COMPUTED_VALUE"""),44741.64583333333)</f>
        <v>44741.64583</v>
      </c>
      <c r="B2569" s="1">
        <f>IFERROR(__xludf.DUMMYFUNCTION("""COMPUTED_VALUE"""),66700.0)</f>
        <v>66700</v>
      </c>
      <c r="C2569" s="1">
        <f>IFERROR(__xludf.DUMMYFUNCTION("""COMPUTED_VALUE"""),67200.0)</f>
        <v>67200</v>
      </c>
      <c r="D2569" s="1">
        <f>IFERROR(__xludf.DUMMYFUNCTION("""COMPUTED_VALUE"""),65300.0)</f>
        <v>65300</v>
      </c>
      <c r="E2569" s="1">
        <f>IFERROR(__xludf.DUMMYFUNCTION("""COMPUTED_VALUE"""),66300.0)</f>
        <v>66300</v>
      </c>
      <c r="F2569" s="1">
        <f>IFERROR(__xludf.DUMMYFUNCTION("""COMPUTED_VALUE"""),26212.0)</f>
        <v>26212</v>
      </c>
    </row>
    <row r="2570">
      <c r="A2570" s="2">
        <f>IFERROR(__xludf.DUMMYFUNCTION("""COMPUTED_VALUE"""),44742.64583333333)</f>
        <v>44742.64583</v>
      </c>
      <c r="B2570" s="1">
        <f>IFERROR(__xludf.DUMMYFUNCTION("""COMPUTED_VALUE"""),65700.0)</f>
        <v>65700</v>
      </c>
      <c r="C2570" s="1">
        <f>IFERROR(__xludf.DUMMYFUNCTION("""COMPUTED_VALUE"""),65700.0)</f>
        <v>65700</v>
      </c>
      <c r="D2570" s="1">
        <f>IFERROR(__xludf.DUMMYFUNCTION("""COMPUTED_VALUE"""),62600.0)</f>
        <v>62600</v>
      </c>
      <c r="E2570" s="1">
        <f>IFERROR(__xludf.DUMMYFUNCTION("""COMPUTED_VALUE"""),63700.0)</f>
        <v>63700</v>
      </c>
      <c r="F2570" s="1">
        <f>IFERROR(__xludf.DUMMYFUNCTION("""COMPUTED_VALUE"""),29087.0)</f>
        <v>29087</v>
      </c>
    </row>
    <row r="2571">
      <c r="A2571" s="2">
        <f>IFERROR(__xludf.DUMMYFUNCTION("""COMPUTED_VALUE"""),44743.64583333333)</f>
        <v>44743.64583</v>
      </c>
      <c r="B2571" s="1">
        <f>IFERROR(__xludf.DUMMYFUNCTION("""COMPUTED_VALUE"""),63000.0)</f>
        <v>63000</v>
      </c>
      <c r="C2571" s="1">
        <f>IFERROR(__xludf.DUMMYFUNCTION("""COMPUTED_VALUE"""),63600.0)</f>
        <v>63600</v>
      </c>
      <c r="D2571" s="1">
        <f>IFERROR(__xludf.DUMMYFUNCTION("""COMPUTED_VALUE"""),60700.0)</f>
        <v>60700</v>
      </c>
      <c r="E2571" s="1">
        <f>IFERROR(__xludf.DUMMYFUNCTION("""COMPUTED_VALUE"""),60900.0)</f>
        <v>60900</v>
      </c>
      <c r="F2571" s="1">
        <f>IFERROR(__xludf.DUMMYFUNCTION("""COMPUTED_VALUE"""),25243.0)</f>
        <v>25243</v>
      </c>
    </row>
    <row r="2572">
      <c r="A2572" s="2">
        <f>IFERROR(__xludf.DUMMYFUNCTION("""COMPUTED_VALUE"""),44746.64583333333)</f>
        <v>44746.64583</v>
      </c>
      <c r="B2572" s="1">
        <f>IFERROR(__xludf.DUMMYFUNCTION("""COMPUTED_VALUE"""),62400.0)</f>
        <v>62400</v>
      </c>
      <c r="C2572" s="1">
        <f>IFERROR(__xludf.DUMMYFUNCTION("""COMPUTED_VALUE"""),62500.0)</f>
        <v>62500</v>
      </c>
      <c r="D2572" s="1">
        <f>IFERROR(__xludf.DUMMYFUNCTION("""COMPUTED_VALUE"""),59000.0)</f>
        <v>59000</v>
      </c>
      <c r="E2572" s="1">
        <f>IFERROR(__xludf.DUMMYFUNCTION("""COMPUTED_VALUE"""),61200.0)</f>
        <v>61200</v>
      </c>
      <c r="F2572" s="1">
        <f>IFERROR(__xludf.DUMMYFUNCTION("""COMPUTED_VALUE"""),17199.0)</f>
        <v>17199</v>
      </c>
    </row>
    <row r="2573">
      <c r="A2573" s="2">
        <f>IFERROR(__xludf.DUMMYFUNCTION("""COMPUTED_VALUE"""),44747.64583333333)</f>
        <v>44747.64583</v>
      </c>
      <c r="B2573" s="1">
        <f>IFERROR(__xludf.DUMMYFUNCTION("""COMPUTED_VALUE"""),61400.0)</f>
        <v>61400</v>
      </c>
      <c r="C2573" s="1">
        <f>IFERROR(__xludf.DUMMYFUNCTION("""COMPUTED_VALUE"""),62000.0)</f>
        <v>62000</v>
      </c>
      <c r="D2573" s="1">
        <f>IFERROR(__xludf.DUMMYFUNCTION("""COMPUTED_VALUE"""),60400.0)</f>
        <v>60400</v>
      </c>
      <c r="E2573" s="1">
        <f>IFERROR(__xludf.DUMMYFUNCTION("""COMPUTED_VALUE"""),62000.0)</f>
        <v>62000</v>
      </c>
      <c r="F2573" s="1">
        <f>IFERROR(__xludf.DUMMYFUNCTION("""COMPUTED_VALUE"""),7970.0)</f>
        <v>7970</v>
      </c>
    </row>
    <row r="2574">
      <c r="A2574" s="2">
        <f>IFERROR(__xludf.DUMMYFUNCTION("""COMPUTED_VALUE"""),44748.64583333333)</f>
        <v>44748.64583</v>
      </c>
      <c r="B2574" s="1">
        <f>IFERROR(__xludf.DUMMYFUNCTION("""COMPUTED_VALUE"""),60000.0)</f>
        <v>60000</v>
      </c>
      <c r="C2574" s="1">
        <f>IFERROR(__xludf.DUMMYFUNCTION("""COMPUTED_VALUE"""),60200.0)</f>
        <v>60200</v>
      </c>
      <c r="D2574" s="1">
        <f>IFERROR(__xludf.DUMMYFUNCTION("""COMPUTED_VALUE"""),56800.0)</f>
        <v>56800</v>
      </c>
      <c r="E2574" s="1">
        <f>IFERROR(__xludf.DUMMYFUNCTION("""COMPUTED_VALUE"""),56900.0)</f>
        <v>56900</v>
      </c>
      <c r="F2574" s="1">
        <f>IFERROR(__xludf.DUMMYFUNCTION("""COMPUTED_VALUE"""),38322.0)</f>
        <v>38322</v>
      </c>
    </row>
    <row r="2575">
      <c r="A2575" s="2">
        <f>IFERROR(__xludf.DUMMYFUNCTION("""COMPUTED_VALUE"""),44749.64583333333)</f>
        <v>44749.64583</v>
      </c>
      <c r="B2575" s="1">
        <f>IFERROR(__xludf.DUMMYFUNCTION("""COMPUTED_VALUE"""),56100.0)</f>
        <v>56100</v>
      </c>
      <c r="C2575" s="1">
        <f>IFERROR(__xludf.DUMMYFUNCTION("""COMPUTED_VALUE"""),57700.0)</f>
        <v>57700</v>
      </c>
      <c r="D2575" s="1">
        <f>IFERROR(__xludf.DUMMYFUNCTION("""COMPUTED_VALUE"""),56100.0)</f>
        <v>56100</v>
      </c>
      <c r="E2575" s="1">
        <f>IFERROR(__xludf.DUMMYFUNCTION("""COMPUTED_VALUE"""),57300.0)</f>
        <v>57300</v>
      </c>
      <c r="F2575" s="1">
        <f>IFERROR(__xludf.DUMMYFUNCTION("""COMPUTED_VALUE"""),10411.0)</f>
        <v>10411</v>
      </c>
    </row>
    <row r="2576">
      <c r="A2576" s="2">
        <f>IFERROR(__xludf.DUMMYFUNCTION("""COMPUTED_VALUE"""),44750.64583333333)</f>
        <v>44750.64583</v>
      </c>
      <c r="B2576" s="1">
        <f>IFERROR(__xludf.DUMMYFUNCTION("""COMPUTED_VALUE"""),58500.0)</f>
        <v>58500</v>
      </c>
      <c r="C2576" s="1">
        <f>IFERROR(__xludf.DUMMYFUNCTION("""COMPUTED_VALUE"""),59600.0)</f>
        <v>59600</v>
      </c>
      <c r="D2576" s="1">
        <f>IFERROR(__xludf.DUMMYFUNCTION("""COMPUTED_VALUE"""),57500.0)</f>
        <v>57500</v>
      </c>
      <c r="E2576" s="1">
        <f>IFERROR(__xludf.DUMMYFUNCTION("""COMPUTED_VALUE"""),58000.0)</f>
        <v>58000</v>
      </c>
      <c r="F2576" s="1">
        <f>IFERROR(__xludf.DUMMYFUNCTION("""COMPUTED_VALUE"""),25777.0)</f>
        <v>25777</v>
      </c>
    </row>
    <row r="2577">
      <c r="A2577" s="2">
        <f>IFERROR(__xludf.DUMMYFUNCTION("""COMPUTED_VALUE"""),44753.64583333333)</f>
        <v>44753.64583</v>
      </c>
      <c r="B2577" s="1">
        <f>IFERROR(__xludf.DUMMYFUNCTION("""COMPUTED_VALUE"""),58300.0)</f>
        <v>58300</v>
      </c>
      <c r="C2577" s="1">
        <f>IFERROR(__xludf.DUMMYFUNCTION("""COMPUTED_VALUE"""),59000.0)</f>
        <v>59000</v>
      </c>
      <c r="D2577" s="1">
        <f>IFERROR(__xludf.DUMMYFUNCTION("""COMPUTED_VALUE"""),57600.0)</f>
        <v>57600</v>
      </c>
      <c r="E2577" s="1">
        <f>IFERROR(__xludf.DUMMYFUNCTION("""COMPUTED_VALUE"""),58400.0)</f>
        <v>58400</v>
      </c>
      <c r="F2577" s="1">
        <f>IFERROR(__xludf.DUMMYFUNCTION("""COMPUTED_VALUE"""),17328.0)</f>
        <v>17328</v>
      </c>
    </row>
    <row r="2578">
      <c r="A2578" s="2">
        <f>IFERROR(__xludf.DUMMYFUNCTION("""COMPUTED_VALUE"""),44754.64583333333)</f>
        <v>44754.64583</v>
      </c>
      <c r="B2578" s="1">
        <f>IFERROR(__xludf.DUMMYFUNCTION("""COMPUTED_VALUE"""),58500.0)</f>
        <v>58500</v>
      </c>
      <c r="C2578" s="1">
        <f>IFERROR(__xludf.DUMMYFUNCTION("""COMPUTED_VALUE"""),58800.0)</f>
        <v>58800</v>
      </c>
      <c r="D2578" s="1">
        <f>IFERROR(__xludf.DUMMYFUNCTION("""COMPUTED_VALUE"""),56500.0)</f>
        <v>56500</v>
      </c>
      <c r="E2578" s="1">
        <f>IFERROR(__xludf.DUMMYFUNCTION("""COMPUTED_VALUE"""),57500.0)</f>
        <v>57500</v>
      </c>
      <c r="F2578" s="1">
        <f>IFERROR(__xludf.DUMMYFUNCTION("""COMPUTED_VALUE"""),15722.0)</f>
        <v>15722</v>
      </c>
    </row>
    <row r="2579">
      <c r="A2579" s="2">
        <f>IFERROR(__xludf.DUMMYFUNCTION("""COMPUTED_VALUE"""),44755.64583333333)</f>
        <v>44755.64583</v>
      </c>
      <c r="B2579" s="1">
        <f>IFERROR(__xludf.DUMMYFUNCTION("""COMPUTED_VALUE"""),56000.0)</f>
        <v>56000</v>
      </c>
      <c r="C2579" s="1">
        <f>IFERROR(__xludf.DUMMYFUNCTION("""COMPUTED_VALUE"""),57400.0)</f>
        <v>57400</v>
      </c>
      <c r="D2579" s="1">
        <f>IFERROR(__xludf.DUMMYFUNCTION("""COMPUTED_VALUE"""),55400.0)</f>
        <v>55400</v>
      </c>
      <c r="E2579" s="1">
        <f>IFERROR(__xludf.DUMMYFUNCTION("""COMPUTED_VALUE"""),56900.0)</f>
        <v>56900</v>
      </c>
      <c r="F2579" s="1">
        <f>IFERROR(__xludf.DUMMYFUNCTION("""COMPUTED_VALUE"""),11690.0)</f>
        <v>11690</v>
      </c>
    </row>
    <row r="2580">
      <c r="A2580" s="2">
        <f>IFERROR(__xludf.DUMMYFUNCTION("""COMPUTED_VALUE"""),44756.64583333333)</f>
        <v>44756.64583</v>
      </c>
      <c r="B2580" s="1">
        <f>IFERROR(__xludf.DUMMYFUNCTION("""COMPUTED_VALUE"""),56800.0)</f>
        <v>56800</v>
      </c>
      <c r="C2580" s="1">
        <f>IFERROR(__xludf.DUMMYFUNCTION("""COMPUTED_VALUE"""),58200.0)</f>
        <v>58200</v>
      </c>
      <c r="D2580" s="1">
        <f>IFERROR(__xludf.DUMMYFUNCTION("""COMPUTED_VALUE"""),56100.0)</f>
        <v>56100</v>
      </c>
      <c r="E2580" s="1">
        <f>IFERROR(__xludf.DUMMYFUNCTION("""COMPUTED_VALUE"""),57900.0)</f>
        <v>57900</v>
      </c>
      <c r="F2580" s="1">
        <f>IFERROR(__xludf.DUMMYFUNCTION("""COMPUTED_VALUE"""),7650.0)</f>
        <v>7650</v>
      </c>
    </row>
    <row r="2581">
      <c r="A2581" s="2">
        <f>IFERROR(__xludf.DUMMYFUNCTION("""COMPUTED_VALUE"""),44757.64583333333)</f>
        <v>44757.64583</v>
      </c>
      <c r="B2581" s="1">
        <f>IFERROR(__xludf.DUMMYFUNCTION("""COMPUTED_VALUE"""),57500.0)</f>
        <v>57500</v>
      </c>
      <c r="C2581" s="1">
        <f>IFERROR(__xludf.DUMMYFUNCTION("""COMPUTED_VALUE"""),57900.0)</f>
        <v>57900</v>
      </c>
      <c r="D2581" s="1">
        <f>IFERROR(__xludf.DUMMYFUNCTION("""COMPUTED_VALUE"""),57000.0)</f>
        <v>57000</v>
      </c>
      <c r="E2581" s="1">
        <f>IFERROR(__xludf.DUMMYFUNCTION("""COMPUTED_VALUE"""),57200.0)</f>
        <v>57200</v>
      </c>
      <c r="F2581" s="1">
        <f>IFERROR(__xludf.DUMMYFUNCTION("""COMPUTED_VALUE"""),8067.0)</f>
        <v>8067</v>
      </c>
    </row>
    <row r="2582">
      <c r="A2582" s="2">
        <f>IFERROR(__xludf.DUMMYFUNCTION("""COMPUTED_VALUE"""),44760.64583333333)</f>
        <v>44760.64583</v>
      </c>
      <c r="B2582" s="1">
        <f>IFERROR(__xludf.DUMMYFUNCTION("""COMPUTED_VALUE"""),57600.0)</f>
        <v>57600</v>
      </c>
      <c r="C2582" s="1">
        <f>IFERROR(__xludf.DUMMYFUNCTION("""COMPUTED_VALUE"""),59400.0)</f>
        <v>59400</v>
      </c>
      <c r="D2582" s="1">
        <f>IFERROR(__xludf.DUMMYFUNCTION("""COMPUTED_VALUE"""),57200.0)</f>
        <v>57200</v>
      </c>
      <c r="E2582" s="1">
        <f>IFERROR(__xludf.DUMMYFUNCTION("""COMPUTED_VALUE"""),59300.0)</f>
        <v>59300</v>
      </c>
      <c r="F2582" s="1">
        <f>IFERROR(__xludf.DUMMYFUNCTION("""COMPUTED_VALUE"""),17273.0)</f>
        <v>17273</v>
      </c>
    </row>
    <row r="2583">
      <c r="A2583" s="2">
        <f>IFERROR(__xludf.DUMMYFUNCTION("""COMPUTED_VALUE"""),44762.64583333333)</f>
        <v>44762.64583</v>
      </c>
      <c r="B2583" s="1">
        <f>IFERROR(__xludf.DUMMYFUNCTION("""COMPUTED_VALUE"""),61200.0)</f>
        <v>61200</v>
      </c>
      <c r="C2583" s="1">
        <f>IFERROR(__xludf.DUMMYFUNCTION("""COMPUTED_VALUE"""),61200.0)</f>
        <v>61200</v>
      </c>
      <c r="D2583" s="1">
        <f>IFERROR(__xludf.DUMMYFUNCTION("""COMPUTED_VALUE"""),59100.0)</f>
        <v>59100</v>
      </c>
      <c r="E2583" s="1">
        <f>IFERROR(__xludf.DUMMYFUNCTION("""COMPUTED_VALUE"""),59300.0)</f>
        <v>59300</v>
      </c>
      <c r="F2583" s="1">
        <f>IFERROR(__xludf.DUMMYFUNCTION("""COMPUTED_VALUE"""),12071.0)</f>
        <v>12071</v>
      </c>
    </row>
    <row r="2584">
      <c r="A2584" s="2">
        <f>IFERROR(__xludf.DUMMYFUNCTION("""COMPUTED_VALUE"""),44763.64583333333)</f>
        <v>44763.64583</v>
      </c>
      <c r="B2584" s="1">
        <f>IFERROR(__xludf.DUMMYFUNCTION("""COMPUTED_VALUE"""),59300.0)</f>
        <v>59300</v>
      </c>
      <c r="C2584" s="1">
        <f>IFERROR(__xludf.DUMMYFUNCTION("""COMPUTED_VALUE"""),60000.0)</f>
        <v>60000</v>
      </c>
      <c r="D2584" s="1">
        <f>IFERROR(__xludf.DUMMYFUNCTION("""COMPUTED_VALUE"""),58300.0)</f>
        <v>58300</v>
      </c>
      <c r="E2584" s="1">
        <f>IFERROR(__xludf.DUMMYFUNCTION("""COMPUTED_VALUE"""),59800.0)</f>
        <v>59800</v>
      </c>
      <c r="F2584" s="1">
        <f>IFERROR(__xludf.DUMMYFUNCTION("""COMPUTED_VALUE"""),7734.0)</f>
        <v>7734</v>
      </c>
    </row>
    <row r="2585">
      <c r="A2585" s="2">
        <f>IFERROR(__xludf.DUMMYFUNCTION("""COMPUTED_VALUE"""),44764.64583333333)</f>
        <v>44764.64583</v>
      </c>
      <c r="B2585" s="1">
        <f>IFERROR(__xludf.DUMMYFUNCTION("""COMPUTED_VALUE"""),59700.0)</f>
        <v>59700</v>
      </c>
      <c r="C2585" s="1">
        <f>IFERROR(__xludf.DUMMYFUNCTION("""COMPUTED_VALUE"""),59700.0)</f>
        <v>59700</v>
      </c>
      <c r="D2585" s="1">
        <f>IFERROR(__xludf.DUMMYFUNCTION("""COMPUTED_VALUE"""),56500.0)</f>
        <v>56500</v>
      </c>
      <c r="E2585" s="1">
        <f>IFERROR(__xludf.DUMMYFUNCTION("""COMPUTED_VALUE"""),57600.0)</f>
        <v>57600</v>
      </c>
      <c r="F2585" s="1">
        <f>IFERROR(__xludf.DUMMYFUNCTION("""COMPUTED_VALUE"""),23643.0)</f>
        <v>23643</v>
      </c>
    </row>
    <row r="2586">
      <c r="A2586" s="2">
        <f>IFERROR(__xludf.DUMMYFUNCTION("""COMPUTED_VALUE"""),44767.64583333333)</f>
        <v>44767.64583</v>
      </c>
      <c r="B2586" s="1">
        <f>IFERROR(__xludf.DUMMYFUNCTION("""COMPUTED_VALUE"""),57300.0)</f>
        <v>57300</v>
      </c>
      <c r="C2586" s="1">
        <f>IFERROR(__xludf.DUMMYFUNCTION("""COMPUTED_VALUE"""),57500.0)</f>
        <v>57500</v>
      </c>
      <c r="D2586" s="1">
        <f>IFERROR(__xludf.DUMMYFUNCTION("""COMPUTED_VALUE"""),56100.0)</f>
        <v>56100</v>
      </c>
      <c r="E2586" s="1">
        <f>IFERROR(__xludf.DUMMYFUNCTION("""COMPUTED_VALUE"""),56700.0)</f>
        <v>56700</v>
      </c>
      <c r="F2586" s="1">
        <f>IFERROR(__xludf.DUMMYFUNCTION("""COMPUTED_VALUE"""),11335.0)</f>
        <v>11335</v>
      </c>
    </row>
    <row r="2587">
      <c r="A2587" s="2">
        <f>IFERROR(__xludf.DUMMYFUNCTION("""COMPUTED_VALUE"""),44768.64583333333)</f>
        <v>44768.64583</v>
      </c>
      <c r="B2587" s="1">
        <f>IFERROR(__xludf.DUMMYFUNCTION("""COMPUTED_VALUE"""),57300.0)</f>
        <v>57300</v>
      </c>
      <c r="C2587" s="1">
        <f>IFERROR(__xludf.DUMMYFUNCTION("""COMPUTED_VALUE"""),58200.0)</f>
        <v>58200</v>
      </c>
      <c r="D2587" s="1">
        <f>IFERROR(__xludf.DUMMYFUNCTION("""COMPUTED_VALUE"""),56400.0)</f>
        <v>56400</v>
      </c>
      <c r="E2587" s="1">
        <f>IFERROR(__xludf.DUMMYFUNCTION("""COMPUTED_VALUE"""),57900.0)</f>
        <v>57900</v>
      </c>
      <c r="F2587" s="1">
        <f>IFERROR(__xludf.DUMMYFUNCTION("""COMPUTED_VALUE"""),12177.0)</f>
        <v>12177</v>
      </c>
    </row>
    <row r="2588">
      <c r="A2588" s="2">
        <f>IFERROR(__xludf.DUMMYFUNCTION("""COMPUTED_VALUE"""),44769.64583333333)</f>
        <v>44769.64583</v>
      </c>
      <c r="B2588" s="1">
        <f>IFERROR(__xludf.DUMMYFUNCTION("""COMPUTED_VALUE"""),57700.0)</f>
        <v>57700</v>
      </c>
      <c r="C2588" s="1">
        <f>IFERROR(__xludf.DUMMYFUNCTION("""COMPUTED_VALUE"""),57700.0)</f>
        <v>57700</v>
      </c>
      <c r="D2588" s="1">
        <f>IFERROR(__xludf.DUMMYFUNCTION("""COMPUTED_VALUE"""),56800.0)</f>
        <v>56800</v>
      </c>
      <c r="E2588" s="1">
        <f>IFERROR(__xludf.DUMMYFUNCTION("""COMPUTED_VALUE"""),56900.0)</f>
        <v>56900</v>
      </c>
      <c r="F2588" s="1">
        <f>IFERROR(__xludf.DUMMYFUNCTION("""COMPUTED_VALUE"""),14333.0)</f>
        <v>14333</v>
      </c>
    </row>
    <row r="2589">
      <c r="A2589" s="2">
        <f>IFERROR(__xludf.DUMMYFUNCTION("""COMPUTED_VALUE"""),44770.64583333333)</f>
        <v>44770.64583</v>
      </c>
      <c r="B2589" s="1">
        <f>IFERROR(__xludf.DUMMYFUNCTION("""COMPUTED_VALUE"""),57800.0)</f>
        <v>57800</v>
      </c>
      <c r="C2589" s="1">
        <f>IFERROR(__xludf.DUMMYFUNCTION("""COMPUTED_VALUE"""),57800.0)</f>
        <v>57800</v>
      </c>
      <c r="D2589" s="1">
        <f>IFERROR(__xludf.DUMMYFUNCTION("""COMPUTED_VALUE"""),56700.0)</f>
        <v>56700</v>
      </c>
      <c r="E2589" s="1">
        <f>IFERROR(__xludf.DUMMYFUNCTION("""COMPUTED_VALUE"""),56900.0)</f>
        <v>56900</v>
      </c>
      <c r="F2589" s="1">
        <f>IFERROR(__xludf.DUMMYFUNCTION("""COMPUTED_VALUE"""),16179.0)</f>
        <v>16179</v>
      </c>
    </row>
    <row r="2590">
      <c r="A2590" s="2">
        <f>IFERROR(__xludf.DUMMYFUNCTION("""COMPUTED_VALUE"""),44771.64583333333)</f>
        <v>44771.64583</v>
      </c>
      <c r="B2590" s="1">
        <f>IFERROR(__xludf.DUMMYFUNCTION("""COMPUTED_VALUE"""),57300.0)</f>
        <v>57300</v>
      </c>
      <c r="C2590" s="1">
        <f>IFERROR(__xludf.DUMMYFUNCTION("""COMPUTED_VALUE"""),58600.0)</f>
        <v>58600</v>
      </c>
      <c r="D2590" s="1">
        <f>IFERROR(__xludf.DUMMYFUNCTION("""COMPUTED_VALUE"""),57300.0)</f>
        <v>57300</v>
      </c>
      <c r="E2590" s="1">
        <f>IFERROR(__xludf.DUMMYFUNCTION("""COMPUTED_VALUE"""),58400.0)</f>
        <v>58400</v>
      </c>
      <c r="F2590" s="1">
        <f>IFERROR(__xludf.DUMMYFUNCTION("""COMPUTED_VALUE"""),16699.0)</f>
        <v>16699</v>
      </c>
    </row>
    <row r="2591">
      <c r="A2591" s="2">
        <f>IFERROR(__xludf.DUMMYFUNCTION("""COMPUTED_VALUE"""),44774.64583333333)</f>
        <v>44774.64583</v>
      </c>
      <c r="B2591" s="1">
        <f>IFERROR(__xludf.DUMMYFUNCTION("""COMPUTED_VALUE"""),58500.0)</f>
        <v>58500</v>
      </c>
      <c r="C2591" s="1">
        <f>IFERROR(__xludf.DUMMYFUNCTION("""COMPUTED_VALUE"""),59100.0)</f>
        <v>59100</v>
      </c>
      <c r="D2591" s="1">
        <f>IFERROR(__xludf.DUMMYFUNCTION("""COMPUTED_VALUE"""),57700.0)</f>
        <v>57700</v>
      </c>
      <c r="E2591" s="1">
        <f>IFERROR(__xludf.DUMMYFUNCTION("""COMPUTED_VALUE"""),57700.0)</f>
        <v>57700</v>
      </c>
      <c r="F2591" s="1">
        <f>IFERROR(__xludf.DUMMYFUNCTION("""COMPUTED_VALUE"""),15154.0)</f>
        <v>15154</v>
      </c>
    </row>
    <row r="2592">
      <c r="A2592" s="2">
        <f>IFERROR(__xludf.DUMMYFUNCTION("""COMPUTED_VALUE"""),44775.64583333333)</f>
        <v>44775.64583</v>
      </c>
      <c r="B2592" s="1">
        <f>IFERROR(__xludf.DUMMYFUNCTION("""COMPUTED_VALUE"""),57700.0)</f>
        <v>57700</v>
      </c>
      <c r="C2592" s="1">
        <f>IFERROR(__xludf.DUMMYFUNCTION("""COMPUTED_VALUE"""),57700.0)</f>
        <v>57700</v>
      </c>
      <c r="D2592" s="1">
        <f>IFERROR(__xludf.DUMMYFUNCTION("""COMPUTED_VALUE"""),56000.0)</f>
        <v>56000</v>
      </c>
      <c r="E2592" s="1">
        <f>IFERROR(__xludf.DUMMYFUNCTION("""COMPUTED_VALUE"""),56200.0)</f>
        <v>56200</v>
      </c>
      <c r="F2592" s="1">
        <f>IFERROR(__xludf.DUMMYFUNCTION("""COMPUTED_VALUE"""),17958.0)</f>
        <v>17958</v>
      </c>
    </row>
    <row r="2593">
      <c r="A2593" s="2">
        <f>IFERROR(__xludf.DUMMYFUNCTION("""COMPUTED_VALUE"""),44776.64583333333)</f>
        <v>44776.64583</v>
      </c>
      <c r="B2593" s="1">
        <f>IFERROR(__xludf.DUMMYFUNCTION("""COMPUTED_VALUE"""),55900.0)</f>
        <v>55900</v>
      </c>
      <c r="C2593" s="1">
        <f>IFERROR(__xludf.DUMMYFUNCTION("""COMPUTED_VALUE"""),56700.0)</f>
        <v>56700</v>
      </c>
      <c r="D2593" s="1">
        <f>IFERROR(__xludf.DUMMYFUNCTION("""COMPUTED_VALUE"""),55900.0)</f>
        <v>55900</v>
      </c>
      <c r="E2593" s="1">
        <f>IFERROR(__xludf.DUMMYFUNCTION("""COMPUTED_VALUE"""),56100.0)</f>
        <v>56100</v>
      </c>
      <c r="F2593" s="1">
        <f>IFERROR(__xludf.DUMMYFUNCTION("""COMPUTED_VALUE"""),12838.0)</f>
        <v>12838</v>
      </c>
    </row>
    <row r="2594">
      <c r="A2594" s="2">
        <f>IFERROR(__xludf.DUMMYFUNCTION("""COMPUTED_VALUE"""),44777.64583333333)</f>
        <v>44777.64583</v>
      </c>
      <c r="B2594" s="1">
        <f>IFERROR(__xludf.DUMMYFUNCTION("""COMPUTED_VALUE"""),56000.0)</f>
        <v>56000</v>
      </c>
      <c r="C2594" s="1">
        <f>IFERROR(__xludf.DUMMYFUNCTION("""COMPUTED_VALUE"""),56000.0)</f>
        <v>56000</v>
      </c>
      <c r="D2594" s="1">
        <f>IFERROR(__xludf.DUMMYFUNCTION("""COMPUTED_VALUE"""),55100.0)</f>
        <v>55100</v>
      </c>
      <c r="E2594" s="1">
        <f>IFERROR(__xludf.DUMMYFUNCTION("""COMPUTED_VALUE"""),55400.0)</f>
        <v>55400</v>
      </c>
      <c r="F2594" s="1">
        <f>IFERROR(__xludf.DUMMYFUNCTION("""COMPUTED_VALUE"""),17513.0)</f>
        <v>17513</v>
      </c>
    </row>
    <row r="2595">
      <c r="A2595" s="2">
        <f>IFERROR(__xludf.DUMMYFUNCTION("""COMPUTED_VALUE"""),44778.64583333333)</f>
        <v>44778.64583</v>
      </c>
      <c r="B2595" s="1">
        <f>IFERROR(__xludf.DUMMYFUNCTION("""COMPUTED_VALUE"""),55400.0)</f>
        <v>55400</v>
      </c>
      <c r="C2595" s="1">
        <f>IFERROR(__xludf.DUMMYFUNCTION("""COMPUTED_VALUE"""),55900.0)</f>
        <v>55900</v>
      </c>
      <c r="D2595" s="1">
        <f>IFERROR(__xludf.DUMMYFUNCTION("""COMPUTED_VALUE"""),55000.0)</f>
        <v>55000</v>
      </c>
      <c r="E2595" s="1">
        <f>IFERROR(__xludf.DUMMYFUNCTION("""COMPUTED_VALUE"""),55300.0)</f>
        <v>55300</v>
      </c>
      <c r="F2595" s="1">
        <f>IFERROR(__xludf.DUMMYFUNCTION("""COMPUTED_VALUE"""),11729.0)</f>
        <v>11729</v>
      </c>
    </row>
    <row r="2596">
      <c r="A2596" s="2">
        <f>IFERROR(__xludf.DUMMYFUNCTION("""COMPUTED_VALUE"""),44781.64583333333)</f>
        <v>44781.64583</v>
      </c>
      <c r="B2596" s="1">
        <f>IFERROR(__xludf.DUMMYFUNCTION("""COMPUTED_VALUE"""),55400.0)</f>
        <v>55400</v>
      </c>
      <c r="C2596" s="1">
        <f>IFERROR(__xludf.DUMMYFUNCTION("""COMPUTED_VALUE"""),56200.0)</f>
        <v>56200</v>
      </c>
      <c r="D2596" s="1">
        <f>IFERROR(__xludf.DUMMYFUNCTION("""COMPUTED_VALUE"""),55400.0)</f>
        <v>55400</v>
      </c>
      <c r="E2596" s="1">
        <f>IFERROR(__xludf.DUMMYFUNCTION("""COMPUTED_VALUE"""),56100.0)</f>
        <v>56100</v>
      </c>
      <c r="F2596" s="1">
        <f>IFERROR(__xludf.DUMMYFUNCTION("""COMPUTED_VALUE"""),6166.0)</f>
        <v>6166</v>
      </c>
    </row>
    <row r="2597">
      <c r="A2597" s="2">
        <f>IFERROR(__xludf.DUMMYFUNCTION("""COMPUTED_VALUE"""),44782.64583333333)</f>
        <v>44782.64583</v>
      </c>
      <c r="B2597" s="1">
        <f>IFERROR(__xludf.DUMMYFUNCTION("""COMPUTED_VALUE"""),56600.0)</f>
        <v>56600</v>
      </c>
      <c r="C2597" s="1">
        <f>IFERROR(__xludf.DUMMYFUNCTION("""COMPUTED_VALUE"""),57200.0)</f>
        <v>57200</v>
      </c>
      <c r="D2597" s="1">
        <f>IFERROR(__xludf.DUMMYFUNCTION("""COMPUTED_VALUE"""),56100.0)</f>
        <v>56100</v>
      </c>
      <c r="E2597" s="1">
        <f>IFERROR(__xludf.DUMMYFUNCTION("""COMPUTED_VALUE"""),57200.0)</f>
        <v>57200</v>
      </c>
      <c r="F2597" s="1">
        <f>IFERROR(__xludf.DUMMYFUNCTION("""COMPUTED_VALUE"""),8635.0)</f>
        <v>8635</v>
      </c>
    </row>
    <row r="2598">
      <c r="A2598" s="2">
        <f>IFERROR(__xludf.DUMMYFUNCTION("""COMPUTED_VALUE"""),44783.64583333333)</f>
        <v>44783.64583</v>
      </c>
      <c r="B2598" s="1">
        <f>IFERROR(__xludf.DUMMYFUNCTION("""COMPUTED_VALUE"""),57200.0)</f>
        <v>57200</v>
      </c>
      <c r="C2598" s="1">
        <f>IFERROR(__xludf.DUMMYFUNCTION("""COMPUTED_VALUE"""),57400.0)</f>
        <v>57400</v>
      </c>
      <c r="D2598" s="1">
        <f>IFERROR(__xludf.DUMMYFUNCTION("""COMPUTED_VALUE"""),56600.0)</f>
        <v>56600</v>
      </c>
      <c r="E2598" s="1">
        <f>IFERROR(__xludf.DUMMYFUNCTION("""COMPUTED_VALUE"""),57100.0)</f>
        <v>57100</v>
      </c>
      <c r="F2598" s="1">
        <f>IFERROR(__xludf.DUMMYFUNCTION("""COMPUTED_VALUE"""),7955.0)</f>
        <v>7955</v>
      </c>
    </row>
    <row r="2599">
      <c r="A2599" s="2">
        <f>IFERROR(__xludf.DUMMYFUNCTION("""COMPUTED_VALUE"""),44784.64583333333)</f>
        <v>44784.64583</v>
      </c>
      <c r="B2599" s="1">
        <f>IFERROR(__xludf.DUMMYFUNCTION("""COMPUTED_VALUE"""),57500.0)</f>
        <v>57500</v>
      </c>
      <c r="C2599" s="1">
        <f>IFERROR(__xludf.DUMMYFUNCTION("""COMPUTED_VALUE"""),58000.0)</f>
        <v>58000</v>
      </c>
      <c r="D2599" s="1">
        <f>IFERROR(__xludf.DUMMYFUNCTION("""COMPUTED_VALUE"""),56600.0)</f>
        <v>56600</v>
      </c>
      <c r="E2599" s="1">
        <f>IFERROR(__xludf.DUMMYFUNCTION("""COMPUTED_VALUE"""),58000.0)</f>
        <v>58000</v>
      </c>
      <c r="F2599" s="1">
        <f>IFERROR(__xludf.DUMMYFUNCTION("""COMPUTED_VALUE"""),19805.0)</f>
        <v>19805</v>
      </c>
    </row>
    <row r="2600">
      <c r="A2600" s="2">
        <f>IFERROR(__xludf.DUMMYFUNCTION("""COMPUTED_VALUE"""),44785.64583333333)</f>
        <v>44785.64583</v>
      </c>
      <c r="B2600" s="1">
        <f>IFERROR(__xludf.DUMMYFUNCTION("""COMPUTED_VALUE"""),58200.0)</f>
        <v>58200</v>
      </c>
      <c r="C2600" s="1">
        <f>IFERROR(__xludf.DUMMYFUNCTION("""COMPUTED_VALUE"""),59300.0)</f>
        <v>59300</v>
      </c>
      <c r="D2600" s="1">
        <f>IFERROR(__xludf.DUMMYFUNCTION("""COMPUTED_VALUE"""),57700.0)</f>
        <v>57700</v>
      </c>
      <c r="E2600" s="1">
        <f>IFERROR(__xludf.DUMMYFUNCTION("""COMPUTED_VALUE"""),58700.0)</f>
        <v>58700</v>
      </c>
      <c r="F2600" s="1">
        <f>IFERROR(__xludf.DUMMYFUNCTION("""COMPUTED_VALUE"""),31593.0)</f>
        <v>31593</v>
      </c>
    </row>
    <row r="2601">
      <c r="A2601" s="2">
        <f>IFERROR(__xludf.DUMMYFUNCTION("""COMPUTED_VALUE"""),44789.64583333333)</f>
        <v>44789.64583</v>
      </c>
      <c r="B2601" s="1">
        <f>IFERROR(__xludf.DUMMYFUNCTION("""COMPUTED_VALUE"""),58500.0)</f>
        <v>58500</v>
      </c>
      <c r="C2601" s="1">
        <f>IFERROR(__xludf.DUMMYFUNCTION("""COMPUTED_VALUE"""),59500.0)</f>
        <v>59500</v>
      </c>
      <c r="D2601" s="1">
        <f>IFERROR(__xludf.DUMMYFUNCTION("""COMPUTED_VALUE"""),57700.0)</f>
        <v>57700</v>
      </c>
      <c r="E2601" s="1">
        <f>IFERROR(__xludf.DUMMYFUNCTION("""COMPUTED_VALUE"""),59100.0)</f>
        <v>59100</v>
      </c>
      <c r="F2601" s="1">
        <f>IFERROR(__xludf.DUMMYFUNCTION("""COMPUTED_VALUE"""),23940.0)</f>
        <v>23940</v>
      </c>
    </row>
    <row r="2602">
      <c r="A2602" s="2">
        <f>IFERROR(__xludf.DUMMYFUNCTION("""COMPUTED_VALUE"""),44790.64583333333)</f>
        <v>44790.64583</v>
      </c>
      <c r="B2602" s="1">
        <f>IFERROR(__xludf.DUMMYFUNCTION("""COMPUTED_VALUE"""),59200.0)</f>
        <v>59200</v>
      </c>
      <c r="C2602" s="1">
        <f>IFERROR(__xludf.DUMMYFUNCTION("""COMPUTED_VALUE"""),60500.0)</f>
        <v>60500</v>
      </c>
      <c r="D2602" s="1">
        <f>IFERROR(__xludf.DUMMYFUNCTION("""COMPUTED_VALUE"""),58600.0)</f>
        <v>58600</v>
      </c>
      <c r="E2602" s="1">
        <f>IFERROR(__xludf.DUMMYFUNCTION("""COMPUTED_VALUE"""),59200.0)</f>
        <v>59200</v>
      </c>
      <c r="F2602" s="1">
        <f>IFERROR(__xludf.DUMMYFUNCTION("""COMPUTED_VALUE"""),22498.0)</f>
        <v>22498</v>
      </c>
    </row>
    <row r="2603">
      <c r="A2603" s="2">
        <f>IFERROR(__xludf.DUMMYFUNCTION("""COMPUTED_VALUE"""),44791.64583333333)</f>
        <v>44791.64583</v>
      </c>
      <c r="B2603" s="1">
        <f>IFERROR(__xludf.DUMMYFUNCTION("""COMPUTED_VALUE"""),59400.0)</f>
        <v>59400</v>
      </c>
      <c r="C2603" s="1">
        <f>IFERROR(__xludf.DUMMYFUNCTION("""COMPUTED_VALUE"""),60500.0)</f>
        <v>60500</v>
      </c>
      <c r="D2603" s="1">
        <f>IFERROR(__xludf.DUMMYFUNCTION("""COMPUTED_VALUE"""),58700.0)</f>
        <v>58700</v>
      </c>
      <c r="E2603" s="1">
        <f>IFERROR(__xludf.DUMMYFUNCTION("""COMPUTED_VALUE"""),60000.0)</f>
        <v>60000</v>
      </c>
      <c r="F2603" s="1">
        <f>IFERROR(__xludf.DUMMYFUNCTION("""COMPUTED_VALUE"""),13623.0)</f>
        <v>13623</v>
      </c>
    </row>
    <row r="2604">
      <c r="A2604" s="2">
        <f>IFERROR(__xludf.DUMMYFUNCTION("""COMPUTED_VALUE"""),44792.64583333333)</f>
        <v>44792.64583</v>
      </c>
      <c r="B2604" s="1">
        <f>IFERROR(__xludf.DUMMYFUNCTION("""COMPUTED_VALUE"""),60600.0)</f>
        <v>60600</v>
      </c>
      <c r="C2604" s="1">
        <f>IFERROR(__xludf.DUMMYFUNCTION("""COMPUTED_VALUE"""),61700.0)</f>
        <v>61700</v>
      </c>
      <c r="D2604" s="1">
        <f>IFERROR(__xludf.DUMMYFUNCTION("""COMPUTED_VALUE"""),60100.0)</f>
        <v>60100</v>
      </c>
      <c r="E2604" s="1">
        <f>IFERROR(__xludf.DUMMYFUNCTION("""COMPUTED_VALUE"""),61100.0)</f>
        <v>61100</v>
      </c>
      <c r="F2604" s="1">
        <f>IFERROR(__xludf.DUMMYFUNCTION("""COMPUTED_VALUE"""),25188.0)</f>
        <v>25188</v>
      </c>
    </row>
    <row r="2605">
      <c r="A2605" s="2">
        <f>IFERROR(__xludf.DUMMYFUNCTION("""COMPUTED_VALUE"""),44795.64583333333)</f>
        <v>44795.64583</v>
      </c>
      <c r="B2605" s="1">
        <f>IFERROR(__xludf.DUMMYFUNCTION("""COMPUTED_VALUE"""),61300.0)</f>
        <v>61300</v>
      </c>
      <c r="C2605" s="1">
        <f>IFERROR(__xludf.DUMMYFUNCTION("""COMPUTED_VALUE"""),63900.0)</f>
        <v>63900</v>
      </c>
      <c r="D2605" s="1">
        <f>IFERROR(__xludf.DUMMYFUNCTION("""COMPUTED_VALUE"""),61000.0)</f>
        <v>61000</v>
      </c>
      <c r="E2605" s="1">
        <f>IFERROR(__xludf.DUMMYFUNCTION("""COMPUTED_VALUE"""),62500.0)</f>
        <v>62500</v>
      </c>
      <c r="F2605" s="1">
        <f>IFERROR(__xludf.DUMMYFUNCTION("""COMPUTED_VALUE"""),25034.0)</f>
        <v>25034</v>
      </c>
    </row>
    <row r="2606">
      <c r="A2606" s="2">
        <f>IFERROR(__xludf.DUMMYFUNCTION("""COMPUTED_VALUE"""),44796.64583333333)</f>
        <v>44796.64583</v>
      </c>
      <c r="B2606" s="1">
        <f>IFERROR(__xludf.DUMMYFUNCTION("""COMPUTED_VALUE"""),62700.0)</f>
        <v>62700</v>
      </c>
      <c r="C2606" s="1">
        <f>IFERROR(__xludf.DUMMYFUNCTION("""COMPUTED_VALUE"""),63800.0)</f>
        <v>63800</v>
      </c>
      <c r="D2606" s="1">
        <f>IFERROR(__xludf.DUMMYFUNCTION("""COMPUTED_VALUE"""),62400.0)</f>
        <v>62400</v>
      </c>
      <c r="E2606" s="1">
        <f>IFERROR(__xludf.DUMMYFUNCTION("""COMPUTED_VALUE"""),62900.0)</f>
        <v>62900</v>
      </c>
      <c r="F2606" s="1">
        <f>IFERROR(__xludf.DUMMYFUNCTION("""COMPUTED_VALUE"""),17030.0)</f>
        <v>17030</v>
      </c>
    </row>
    <row r="2607">
      <c r="A2607" s="2">
        <f>IFERROR(__xludf.DUMMYFUNCTION("""COMPUTED_VALUE"""),44797.64583333333)</f>
        <v>44797.64583</v>
      </c>
      <c r="B2607" s="1">
        <f>IFERROR(__xludf.DUMMYFUNCTION("""COMPUTED_VALUE"""),63800.0)</f>
        <v>63800</v>
      </c>
      <c r="C2607" s="1">
        <f>IFERROR(__xludf.DUMMYFUNCTION("""COMPUTED_VALUE"""),65300.0)</f>
        <v>65300</v>
      </c>
      <c r="D2607" s="1">
        <f>IFERROR(__xludf.DUMMYFUNCTION("""COMPUTED_VALUE"""),63800.0)</f>
        <v>63800</v>
      </c>
      <c r="E2607" s="1">
        <f>IFERROR(__xludf.DUMMYFUNCTION("""COMPUTED_VALUE"""),64900.0)</f>
        <v>64900</v>
      </c>
      <c r="F2607" s="1">
        <f>IFERROR(__xludf.DUMMYFUNCTION("""COMPUTED_VALUE"""),18317.0)</f>
        <v>18317</v>
      </c>
    </row>
    <row r="2608">
      <c r="A2608" s="2">
        <f>IFERROR(__xludf.DUMMYFUNCTION("""COMPUTED_VALUE"""),44798.64583333333)</f>
        <v>44798.64583</v>
      </c>
      <c r="B2608" s="1">
        <f>IFERROR(__xludf.DUMMYFUNCTION("""COMPUTED_VALUE"""),65600.0)</f>
        <v>65600</v>
      </c>
      <c r="C2608" s="1">
        <f>IFERROR(__xludf.DUMMYFUNCTION("""COMPUTED_VALUE"""),66500.0)</f>
        <v>66500</v>
      </c>
      <c r="D2608" s="1">
        <f>IFERROR(__xludf.DUMMYFUNCTION("""COMPUTED_VALUE"""),65400.0)</f>
        <v>65400</v>
      </c>
      <c r="E2608" s="1">
        <f>IFERROR(__xludf.DUMMYFUNCTION("""COMPUTED_VALUE"""),66200.0)</f>
        <v>66200</v>
      </c>
      <c r="F2608" s="1">
        <f>IFERROR(__xludf.DUMMYFUNCTION("""COMPUTED_VALUE"""),23150.0)</f>
        <v>23150</v>
      </c>
    </row>
    <row r="2609">
      <c r="A2609" s="2">
        <f>IFERROR(__xludf.DUMMYFUNCTION("""COMPUTED_VALUE"""),44799.64583333333)</f>
        <v>44799.64583</v>
      </c>
      <c r="B2609" s="1">
        <f>IFERROR(__xludf.DUMMYFUNCTION("""COMPUTED_VALUE"""),66000.0)</f>
        <v>66000</v>
      </c>
      <c r="C2609" s="1">
        <f>IFERROR(__xludf.DUMMYFUNCTION("""COMPUTED_VALUE"""),67100.0)</f>
        <v>67100</v>
      </c>
      <c r="D2609" s="1">
        <f>IFERROR(__xludf.DUMMYFUNCTION("""COMPUTED_VALUE"""),65000.0)</f>
        <v>65000</v>
      </c>
      <c r="E2609" s="1">
        <f>IFERROR(__xludf.DUMMYFUNCTION("""COMPUTED_VALUE"""),66500.0)</f>
        <v>66500</v>
      </c>
      <c r="F2609" s="1">
        <f>IFERROR(__xludf.DUMMYFUNCTION("""COMPUTED_VALUE"""),19221.0)</f>
        <v>19221</v>
      </c>
    </row>
    <row r="2610">
      <c r="A2610" s="2">
        <f>IFERROR(__xludf.DUMMYFUNCTION("""COMPUTED_VALUE"""),44802.64583333333)</f>
        <v>44802.64583</v>
      </c>
      <c r="B2610" s="1">
        <f>IFERROR(__xludf.DUMMYFUNCTION("""COMPUTED_VALUE"""),65500.0)</f>
        <v>65500</v>
      </c>
      <c r="C2610" s="1">
        <f>IFERROR(__xludf.DUMMYFUNCTION("""COMPUTED_VALUE"""),66500.0)</f>
        <v>66500</v>
      </c>
      <c r="D2610" s="1">
        <f>IFERROR(__xludf.DUMMYFUNCTION("""COMPUTED_VALUE"""),64800.0)</f>
        <v>64800</v>
      </c>
      <c r="E2610" s="1">
        <f>IFERROR(__xludf.DUMMYFUNCTION("""COMPUTED_VALUE"""),66000.0)</f>
        <v>66000</v>
      </c>
      <c r="F2610" s="1">
        <f>IFERROR(__xludf.DUMMYFUNCTION("""COMPUTED_VALUE"""),16236.0)</f>
        <v>16236</v>
      </c>
    </row>
    <row r="2611">
      <c r="A2611" s="2">
        <f>IFERROR(__xludf.DUMMYFUNCTION("""COMPUTED_VALUE"""),44803.64583333333)</f>
        <v>44803.64583</v>
      </c>
      <c r="B2611" s="1">
        <f>IFERROR(__xludf.DUMMYFUNCTION("""COMPUTED_VALUE"""),67100.0)</f>
        <v>67100</v>
      </c>
      <c r="C2611" s="1">
        <f>IFERROR(__xludf.DUMMYFUNCTION("""COMPUTED_VALUE"""),67500.0)</f>
        <v>67500</v>
      </c>
      <c r="D2611" s="1">
        <f>IFERROR(__xludf.DUMMYFUNCTION("""COMPUTED_VALUE"""),66600.0)</f>
        <v>66600</v>
      </c>
      <c r="E2611" s="1">
        <f>IFERROR(__xludf.DUMMYFUNCTION("""COMPUTED_VALUE"""),67000.0)</f>
        <v>67000</v>
      </c>
      <c r="F2611" s="1">
        <f>IFERROR(__xludf.DUMMYFUNCTION("""COMPUTED_VALUE"""),16161.0)</f>
        <v>16161</v>
      </c>
    </row>
    <row r="2612">
      <c r="A2612" s="2">
        <f>IFERROR(__xludf.DUMMYFUNCTION("""COMPUTED_VALUE"""),44804.64583333333)</f>
        <v>44804.64583</v>
      </c>
      <c r="B2612" s="1">
        <f>IFERROR(__xludf.DUMMYFUNCTION("""COMPUTED_VALUE"""),65700.0)</f>
        <v>65700</v>
      </c>
      <c r="C2612" s="1">
        <f>IFERROR(__xludf.DUMMYFUNCTION("""COMPUTED_VALUE"""),66300.0)</f>
        <v>66300</v>
      </c>
      <c r="D2612" s="1">
        <f>IFERROR(__xludf.DUMMYFUNCTION("""COMPUTED_VALUE"""),63600.0)</f>
        <v>63600</v>
      </c>
      <c r="E2612" s="1">
        <f>IFERROR(__xludf.DUMMYFUNCTION("""COMPUTED_VALUE"""),64700.0)</f>
        <v>64700</v>
      </c>
      <c r="F2612" s="1">
        <f>IFERROR(__xludf.DUMMYFUNCTION("""COMPUTED_VALUE"""),27165.0)</f>
        <v>27165</v>
      </c>
    </row>
    <row r="2613">
      <c r="A2613" s="2">
        <f>IFERROR(__xludf.DUMMYFUNCTION("""COMPUTED_VALUE"""),44805.64583333333)</f>
        <v>44805.64583</v>
      </c>
      <c r="B2613" s="1">
        <f>IFERROR(__xludf.DUMMYFUNCTION("""COMPUTED_VALUE"""),64400.0)</f>
        <v>64400</v>
      </c>
      <c r="C2613" s="1">
        <f>IFERROR(__xludf.DUMMYFUNCTION("""COMPUTED_VALUE"""),64400.0)</f>
        <v>64400</v>
      </c>
      <c r="D2613" s="1">
        <f>IFERROR(__xludf.DUMMYFUNCTION("""COMPUTED_VALUE"""),62500.0)</f>
        <v>62500</v>
      </c>
      <c r="E2613" s="1">
        <f>IFERROR(__xludf.DUMMYFUNCTION("""COMPUTED_VALUE"""),62500.0)</f>
        <v>62500</v>
      </c>
      <c r="F2613" s="1">
        <f>IFERROR(__xludf.DUMMYFUNCTION("""COMPUTED_VALUE"""),25294.0)</f>
        <v>25294</v>
      </c>
    </row>
    <row r="2614">
      <c r="A2614" s="2">
        <f>IFERROR(__xludf.DUMMYFUNCTION("""COMPUTED_VALUE"""),44806.64583333333)</f>
        <v>44806.64583</v>
      </c>
      <c r="B2614" s="1">
        <f>IFERROR(__xludf.DUMMYFUNCTION("""COMPUTED_VALUE"""),62000.0)</f>
        <v>62000</v>
      </c>
      <c r="C2614" s="1">
        <f>IFERROR(__xludf.DUMMYFUNCTION("""COMPUTED_VALUE"""),62300.0)</f>
        <v>62300</v>
      </c>
      <c r="D2614" s="1">
        <f>IFERROR(__xludf.DUMMYFUNCTION("""COMPUTED_VALUE"""),60500.0)</f>
        <v>60500</v>
      </c>
      <c r="E2614" s="1">
        <f>IFERROR(__xludf.DUMMYFUNCTION("""COMPUTED_VALUE"""),62000.0)</f>
        <v>62000</v>
      </c>
      <c r="F2614" s="1">
        <f>IFERROR(__xludf.DUMMYFUNCTION("""COMPUTED_VALUE"""),15744.0)</f>
        <v>15744</v>
      </c>
    </row>
    <row r="2615">
      <c r="A2615" s="2">
        <f>IFERROR(__xludf.DUMMYFUNCTION("""COMPUTED_VALUE"""),44809.64583333333)</f>
        <v>44809.64583</v>
      </c>
      <c r="B2615" s="1">
        <f>IFERROR(__xludf.DUMMYFUNCTION("""COMPUTED_VALUE"""),62200.0)</f>
        <v>62200</v>
      </c>
      <c r="C2615" s="1">
        <f>IFERROR(__xludf.DUMMYFUNCTION("""COMPUTED_VALUE"""),63200.0)</f>
        <v>63200</v>
      </c>
      <c r="D2615" s="1">
        <f>IFERROR(__xludf.DUMMYFUNCTION("""COMPUTED_VALUE"""),62200.0)</f>
        <v>62200</v>
      </c>
      <c r="E2615" s="1">
        <f>IFERROR(__xludf.DUMMYFUNCTION("""COMPUTED_VALUE"""),62900.0)</f>
        <v>62900</v>
      </c>
      <c r="F2615" s="1">
        <f>IFERROR(__xludf.DUMMYFUNCTION("""COMPUTED_VALUE"""),14328.0)</f>
        <v>14328</v>
      </c>
    </row>
    <row r="2616">
      <c r="A2616" s="2">
        <f>IFERROR(__xludf.DUMMYFUNCTION("""COMPUTED_VALUE"""),44810.64583333333)</f>
        <v>44810.64583</v>
      </c>
      <c r="B2616" s="1">
        <f>IFERROR(__xludf.DUMMYFUNCTION("""COMPUTED_VALUE"""),63000.0)</f>
        <v>63000</v>
      </c>
      <c r="C2616" s="1">
        <f>IFERROR(__xludf.DUMMYFUNCTION("""COMPUTED_VALUE"""),64100.0)</f>
        <v>64100</v>
      </c>
      <c r="D2616" s="1">
        <f>IFERROR(__xludf.DUMMYFUNCTION("""COMPUTED_VALUE"""),63000.0)</f>
        <v>63000</v>
      </c>
      <c r="E2616" s="1">
        <f>IFERROR(__xludf.DUMMYFUNCTION("""COMPUTED_VALUE"""),63000.0)</f>
        <v>63000</v>
      </c>
      <c r="F2616" s="1">
        <f>IFERROR(__xludf.DUMMYFUNCTION("""COMPUTED_VALUE"""),11110.0)</f>
        <v>11110</v>
      </c>
    </row>
    <row r="2617">
      <c r="A2617" s="2">
        <f>IFERROR(__xludf.DUMMYFUNCTION("""COMPUTED_VALUE"""),44811.64583333333)</f>
        <v>44811.64583</v>
      </c>
      <c r="B2617" s="1">
        <f>IFERROR(__xludf.DUMMYFUNCTION("""COMPUTED_VALUE"""),62800.0)</f>
        <v>62800</v>
      </c>
      <c r="C2617" s="1">
        <f>IFERROR(__xludf.DUMMYFUNCTION("""COMPUTED_VALUE"""),63000.0)</f>
        <v>63000</v>
      </c>
      <c r="D2617" s="1">
        <f>IFERROR(__xludf.DUMMYFUNCTION("""COMPUTED_VALUE"""),59700.0)</f>
        <v>59700</v>
      </c>
      <c r="E2617" s="1">
        <f>IFERROR(__xludf.DUMMYFUNCTION("""COMPUTED_VALUE"""),61000.0)</f>
        <v>61000</v>
      </c>
      <c r="F2617" s="1">
        <f>IFERROR(__xludf.DUMMYFUNCTION("""COMPUTED_VALUE"""),20976.0)</f>
        <v>20976</v>
      </c>
    </row>
    <row r="2618">
      <c r="A2618" s="2">
        <f>IFERROR(__xludf.DUMMYFUNCTION("""COMPUTED_VALUE"""),44812.64583333333)</f>
        <v>44812.64583</v>
      </c>
      <c r="B2618" s="1">
        <f>IFERROR(__xludf.DUMMYFUNCTION("""COMPUTED_VALUE"""),59500.0)</f>
        <v>59500</v>
      </c>
      <c r="C2618" s="1">
        <f>IFERROR(__xludf.DUMMYFUNCTION("""COMPUTED_VALUE"""),61500.0)</f>
        <v>61500</v>
      </c>
      <c r="D2618" s="1">
        <f>IFERROR(__xludf.DUMMYFUNCTION("""COMPUTED_VALUE"""),59000.0)</f>
        <v>59000</v>
      </c>
      <c r="E2618" s="1">
        <f>IFERROR(__xludf.DUMMYFUNCTION("""COMPUTED_VALUE"""),60500.0)</f>
        <v>60500</v>
      </c>
      <c r="F2618" s="1">
        <f>IFERROR(__xludf.DUMMYFUNCTION("""COMPUTED_VALUE"""),15139.0)</f>
        <v>15139</v>
      </c>
    </row>
    <row r="2619">
      <c r="A2619" s="2">
        <f>IFERROR(__xludf.DUMMYFUNCTION("""COMPUTED_VALUE"""),44817.64583333333)</f>
        <v>44817.64583</v>
      </c>
      <c r="B2619" s="1">
        <f>IFERROR(__xludf.DUMMYFUNCTION("""COMPUTED_VALUE"""),61900.0)</f>
        <v>61900</v>
      </c>
      <c r="C2619" s="1">
        <f>IFERROR(__xludf.DUMMYFUNCTION("""COMPUTED_VALUE"""),62600.0)</f>
        <v>62600</v>
      </c>
      <c r="D2619" s="1">
        <f>IFERROR(__xludf.DUMMYFUNCTION("""COMPUTED_VALUE"""),61200.0)</f>
        <v>61200</v>
      </c>
      <c r="E2619" s="1">
        <f>IFERROR(__xludf.DUMMYFUNCTION("""COMPUTED_VALUE"""),61200.0)</f>
        <v>61200</v>
      </c>
      <c r="F2619" s="1">
        <f>IFERROR(__xludf.DUMMYFUNCTION("""COMPUTED_VALUE"""),10255.0)</f>
        <v>10255</v>
      </c>
    </row>
    <row r="2620">
      <c r="A2620" s="2">
        <f>IFERROR(__xludf.DUMMYFUNCTION("""COMPUTED_VALUE"""),44818.64583333333)</f>
        <v>44818.64583</v>
      </c>
      <c r="B2620" s="1">
        <f>IFERROR(__xludf.DUMMYFUNCTION("""COMPUTED_VALUE"""),60100.0)</f>
        <v>60100</v>
      </c>
      <c r="C2620" s="1">
        <f>IFERROR(__xludf.DUMMYFUNCTION("""COMPUTED_VALUE"""),61300.0)</f>
        <v>61300</v>
      </c>
      <c r="D2620" s="1">
        <f>IFERROR(__xludf.DUMMYFUNCTION("""COMPUTED_VALUE"""),60100.0)</f>
        <v>60100</v>
      </c>
      <c r="E2620" s="1">
        <f>IFERROR(__xludf.DUMMYFUNCTION("""COMPUTED_VALUE"""),60600.0)</f>
        <v>60600</v>
      </c>
      <c r="F2620" s="1">
        <f>IFERROR(__xludf.DUMMYFUNCTION("""COMPUTED_VALUE"""),13346.0)</f>
        <v>13346</v>
      </c>
    </row>
    <row r="2621">
      <c r="A2621" s="2">
        <f>IFERROR(__xludf.DUMMYFUNCTION("""COMPUTED_VALUE"""),44819.64583333333)</f>
        <v>44819.64583</v>
      </c>
      <c r="B2621" s="1">
        <f>IFERROR(__xludf.DUMMYFUNCTION("""COMPUTED_VALUE"""),61000.0)</f>
        <v>61000</v>
      </c>
      <c r="C2621" s="1">
        <f>IFERROR(__xludf.DUMMYFUNCTION("""COMPUTED_VALUE"""),61700.0)</f>
        <v>61700</v>
      </c>
      <c r="D2621" s="1">
        <f>IFERROR(__xludf.DUMMYFUNCTION("""COMPUTED_VALUE"""),60600.0)</f>
        <v>60600</v>
      </c>
      <c r="E2621" s="1">
        <f>IFERROR(__xludf.DUMMYFUNCTION("""COMPUTED_VALUE"""),60800.0)</f>
        <v>60800</v>
      </c>
      <c r="F2621" s="1">
        <f>IFERROR(__xludf.DUMMYFUNCTION("""COMPUTED_VALUE"""),10111.0)</f>
        <v>10111</v>
      </c>
    </row>
    <row r="2622">
      <c r="A2622" s="2">
        <f>IFERROR(__xludf.DUMMYFUNCTION("""COMPUTED_VALUE"""),44820.64583333333)</f>
        <v>44820.64583</v>
      </c>
      <c r="B2622" s="1">
        <f>IFERROR(__xludf.DUMMYFUNCTION("""COMPUTED_VALUE"""),60800.0)</f>
        <v>60800</v>
      </c>
      <c r="C2622" s="1">
        <f>IFERROR(__xludf.DUMMYFUNCTION("""COMPUTED_VALUE"""),60800.0)</f>
        <v>60800</v>
      </c>
      <c r="D2622" s="1">
        <f>IFERROR(__xludf.DUMMYFUNCTION("""COMPUTED_VALUE"""),58600.0)</f>
        <v>58600</v>
      </c>
      <c r="E2622" s="1">
        <f>IFERROR(__xludf.DUMMYFUNCTION("""COMPUTED_VALUE"""),58800.0)</f>
        <v>58800</v>
      </c>
      <c r="F2622" s="1">
        <f>IFERROR(__xludf.DUMMYFUNCTION("""COMPUTED_VALUE"""),31057.0)</f>
        <v>31057</v>
      </c>
    </row>
    <row r="2623">
      <c r="A2623" s="2">
        <f>IFERROR(__xludf.DUMMYFUNCTION("""COMPUTED_VALUE"""),44823.64583333333)</f>
        <v>44823.64583</v>
      </c>
      <c r="B2623" s="1">
        <f>IFERROR(__xludf.DUMMYFUNCTION("""COMPUTED_VALUE"""),59800.0)</f>
        <v>59800</v>
      </c>
      <c r="C2623" s="1">
        <f>IFERROR(__xludf.DUMMYFUNCTION("""COMPUTED_VALUE"""),60100.0)</f>
        <v>60100</v>
      </c>
      <c r="D2623" s="1">
        <f>IFERROR(__xludf.DUMMYFUNCTION("""COMPUTED_VALUE"""),58900.0)</f>
        <v>58900</v>
      </c>
      <c r="E2623" s="1">
        <f>IFERROR(__xludf.DUMMYFUNCTION("""COMPUTED_VALUE"""),58900.0)</f>
        <v>58900</v>
      </c>
      <c r="F2623" s="1">
        <f>IFERROR(__xludf.DUMMYFUNCTION("""COMPUTED_VALUE"""),15888.0)</f>
        <v>15888</v>
      </c>
    </row>
    <row r="2624">
      <c r="A2624" s="2">
        <f>IFERROR(__xludf.DUMMYFUNCTION("""COMPUTED_VALUE"""),44824.64583333333)</f>
        <v>44824.64583</v>
      </c>
      <c r="B2624" s="1">
        <f>IFERROR(__xludf.DUMMYFUNCTION("""COMPUTED_VALUE"""),59000.0)</f>
        <v>59000</v>
      </c>
      <c r="C2624" s="1">
        <f>IFERROR(__xludf.DUMMYFUNCTION("""COMPUTED_VALUE"""),59600.0)</f>
        <v>59600</v>
      </c>
      <c r="D2624" s="1">
        <f>IFERROR(__xludf.DUMMYFUNCTION("""COMPUTED_VALUE"""),58000.0)</f>
        <v>58000</v>
      </c>
      <c r="E2624" s="1">
        <f>IFERROR(__xludf.DUMMYFUNCTION("""COMPUTED_VALUE"""),58100.0)</f>
        <v>58100</v>
      </c>
      <c r="F2624" s="1">
        <f>IFERROR(__xludf.DUMMYFUNCTION("""COMPUTED_VALUE"""),13592.0)</f>
        <v>13592</v>
      </c>
    </row>
    <row r="2625">
      <c r="A2625" s="2">
        <f>IFERROR(__xludf.DUMMYFUNCTION("""COMPUTED_VALUE"""),44825.64583333333)</f>
        <v>44825.64583</v>
      </c>
      <c r="B2625" s="1">
        <f>IFERROR(__xludf.DUMMYFUNCTION("""COMPUTED_VALUE"""),57900.0)</f>
        <v>57900</v>
      </c>
      <c r="C2625" s="1">
        <f>IFERROR(__xludf.DUMMYFUNCTION("""COMPUTED_VALUE"""),58700.0)</f>
        <v>58700</v>
      </c>
      <c r="D2625" s="1">
        <f>IFERROR(__xludf.DUMMYFUNCTION("""COMPUTED_VALUE"""),57800.0)</f>
        <v>57800</v>
      </c>
      <c r="E2625" s="1">
        <f>IFERROR(__xludf.DUMMYFUNCTION("""COMPUTED_VALUE"""),58100.0)</f>
        <v>58100</v>
      </c>
      <c r="F2625" s="1">
        <f>IFERROR(__xludf.DUMMYFUNCTION("""COMPUTED_VALUE"""),12990.0)</f>
        <v>12990</v>
      </c>
    </row>
    <row r="2626">
      <c r="A2626" s="2">
        <f>IFERROR(__xludf.DUMMYFUNCTION("""COMPUTED_VALUE"""),44826.64583333333)</f>
        <v>44826.64583</v>
      </c>
      <c r="B2626" s="1">
        <f>IFERROR(__xludf.DUMMYFUNCTION("""COMPUTED_VALUE"""),58100.0)</f>
        <v>58100</v>
      </c>
      <c r="C2626" s="1">
        <f>IFERROR(__xludf.DUMMYFUNCTION("""COMPUTED_VALUE"""),59200.0)</f>
        <v>59200</v>
      </c>
      <c r="D2626" s="1">
        <f>IFERROR(__xludf.DUMMYFUNCTION("""COMPUTED_VALUE"""),57000.0)</f>
        <v>57000</v>
      </c>
      <c r="E2626" s="1">
        <f>IFERROR(__xludf.DUMMYFUNCTION("""COMPUTED_VALUE"""),59200.0)</f>
        <v>59200</v>
      </c>
      <c r="F2626" s="1">
        <f>IFERROR(__xludf.DUMMYFUNCTION("""COMPUTED_VALUE"""),17266.0)</f>
        <v>17266</v>
      </c>
    </row>
    <row r="2627">
      <c r="A2627" s="2">
        <f>IFERROR(__xludf.DUMMYFUNCTION("""COMPUTED_VALUE"""),44827.64583333333)</f>
        <v>44827.64583</v>
      </c>
      <c r="B2627" s="1">
        <f>IFERROR(__xludf.DUMMYFUNCTION("""COMPUTED_VALUE"""),58700.0)</f>
        <v>58700</v>
      </c>
      <c r="C2627" s="1">
        <f>IFERROR(__xludf.DUMMYFUNCTION("""COMPUTED_VALUE"""),59000.0)</f>
        <v>59000</v>
      </c>
      <c r="D2627" s="1">
        <f>IFERROR(__xludf.DUMMYFUNCTION("""COMPUTED_VALUE"""),57000.0)</f>
        <v>57000</v>
      </c>
      <c r="E2627" s="1">
        <f>IFERROR(__xludf.DUMMYFUNCTION("""COMPUTED_VALUE"""),57400.0)</f>
        <v>57400</v>
      </c>
      <c r="F2627" s="1">
        <f>IFERROR(__xludf.DUMMYFUNCTION("""COMPUTED_VALUE"""),16388.0)</f>
        <v>16388</v>
      </c>
    </row>
    <row r="2628">
      <c r="A2628" s="2">
        <f>IFERROR(__xludf.DUMMYFUNCTION("""COMPUTED_VALUE"""),44830.64583333333)</f>
        <v>44830.64583</v>
      </c>
      <c r="B2628" s="1">
        <f>IFERROR(__xludf.DUMMYFUNCTION("""COMPUTED_VALUE"""),56700.0)</f>
        <v>56700</v>
      </c>
      <c r="C2628" s="1">
        <f>IFERROR(__xludf.DUMMYFUNCTION("""COMPUTED_VALUE"""),56700.0)</f>
        <v>56700</v>
      </c>
      <c r="D2628" s="1">
        <f>IFERROR(__xludf.DUMMYFUNCTION("""COMPUTED_VALUE"""),54400.0)</f>
        <v>54400</v>
      </c>
      <c r="E2628" s="1">
        <f>IFERROR(__xludf.DUMMYFUNCTION("""COMPUTED_VALUE"""),54500.0)</f>
        <v>54500</v>
      </c>
      <c r="F2628" s="1">
        <f>IFERROR(__xludf.DUMMYFUNCTION("""COMPUTED_VALUE"""),26390.0)</f>
        <v>26390</v>
      </c>
    </row>
    <row r="2629">
      <c r="A2629" s="2">
        <f>IFERROR(__xludf.DUMMYFUNCTION("""COMPUTED_VALUE"""),44831.64583333333)</f>
        <v>44831.64583</v>
      </c>
      <c r="B2629" s="1">
        <f>IFERROR(__xludf.DUMMYFUNCTION("""COMPUTED_VALUE"""),54000.0)</f>
        <v>54000</v>
      </c>
      <c r="C2629" s="1">
        <f>IFERROR(__xludf.DUMMYFUNCTION("""COMPUTED_VALUE"""),54900.0)</f>
        <v>54900</v>
      </c>
      <c r="D2629" s="1">
        <f>IFERROR(__xludf.DUMMYFUNCTION("""COMPUTED_VALUE"""),53600.0)</f>
        <v>53600</v>
      </c>
      <c r="E2629" s="1">
        <f>IFERROR(__xludf.DUMMYFUNCTION("""COMPUTED_VALUE"""),54800.0)</f>
        <v>54800</v>
      </c>
      <c r="F2629" s="1">
        <f>IFERROR(__xludf.DUMMYFUNCTION("""COMPUTED_VALUE"""),12876.0)</f>
        <v>12876</v>
      </c>
    </row>
    <row r="2630">
      <c r="A2630" s="2">
        <f>IFERROR(__xludf.DUMMYFUNCTION("""COMPUTED_VALUE"""),44832.64583333333)</f>
        <v>44832.64583</v>
      </c>
      <c r="B2630" s="1">
        <f>IFERROR(__xludf.DUMMYFUNCTION("""COMPUTED_VALUE"""),55400.0)</f>
        <v>55400</v>
      </c>
      <c r="C2630" s="1">
        <f>IFERROR(__xludf.DUMMYFUNCTION("""COMPUTED_VALUE"""),55600.0)</f>
        <v>55600</v>
      </c>
      <c r="D2630" s="1">
        <f>IFERROR(__xludf.DUMMYFUNCTION("""COMPUTED_VALUE"""),52200.0)</f>
        <v>52200</v>
      </c>
      <c r="E2630" s="1">
        <f>IFERROR(__xludf.DUMMYFUNCTION("""COMPUTED_VALUE"""),53000.0)</f>
        <v>53000</v>
      </c>
      <c r="F2630" s="1">
        <f>IFERROR(__xludf.DUMMYFUNCTION("""COMPUTED_VALUE"""),21825.0)</f>
        <v>21825</v>
      </c>
    </row>
    <row r="2631">
      <c r="A2631" s="2">
        <f>IFERROR(__xludf.DUMMYFUNCTION("""COMPUTED_VALUE"""),44833.64583333333)</f>
        <v>44833.64583</v>
      </c>
      <c r="B2631" s="1">
        <f>IFERROR(__xludf.DUMMYFUNCTION("""COMPUTED_VALUE"""),54100.0)</f>
        <v>54100</v>
      </c>
      <c r="C2631" s="1">
        <f>IFERROR(__xludf.DUMMYFUNCTION("""COMPUTED_VALUE"""),55300.0)</f>
        <v>55300</v>
      </c>
      <c r="D2631" s="1">
        <f>IFERROR(__xludf.DUMMYFUNCTION("""COMPUTED_VALUE"""),54000.0)</f>
        <v>54000</v>
      </c>
      <c r="E2631" s="1">
        <f>IFERROR(__xludf.DUMMYFUNCTION("""COMPUTED_VALUE"""),54400.0)</f>
        <v>54400</v>
      </c>
      <c r="F2631" s="1">
        <f>IFERROR(__xludf.DUMMYFUNCTION("""COMPUTED_VALUE"""),15862.0)</f>
        <v>15862</v>
      </c>
    </row>
    <row r="2632">
      <c r="A2632" s="2">
        <f>IFERROR(__xludf.DUMMYFUNCTION("""COMPUTED_VALUE"""),44834.64583333333)</f>
        <v>44834.64583</v>
      </c>
      <c r="B2632" s="1">
        <f>IFERROR(__xludf.DUMMYFUNCTION("""COMPUTED_VALUE"""),54400.0)</f>
        <v>54400</v>
      </c>
      <c r="C2632" s="1">
        <f>IFERROR(__xludf.DUMMYFUNCTION("""COMPUTED_VALUE"""),55100.0)</f>
        <v>55100</v>
      </c>
      <c r="D2632" s="1">
        <f>IFERROR(__xludf.DUMMYFUNCTION("""COMPUTED_VALUE"""),53600.0)</f>
        <v>53600</v>
      </c>
      <c r="E2632" s="1">
        <f>IFERROR(__xludf.DUMMYFUNCTION("""COMPUTED_VALUE"""),53800.0)</f>
        <v>53800</v>
      </c>
      <c r="F2632" s="1">
        <f>IFERROR(__xludf.DUMMYFUNCTION("""COMPUTED_VALUE"""),12408.0)</f>
        <v>12408</v>
      </c>
    </row>
    <row r="2633">
      <c r="A2633" s="2">
        <f>IFERROR(__xludf.DUMMYFUNCTION("""COMPUTED_VALUE"""),44838.64583333333)</f>
        <v>44838.64583</v>
      </c>
      <c r="B2633" s="1">
        <f>IFERROR(__xludf.DUMMYFUNCTION("""COMPUTED_VALUE"""),55200.0)</f>
        <v>55200</v>
      </c>
      <c r="C2633" s="1">
        <f>IFERROR(__xludf.DUMMYFUNCTION("""COMPUTED_VALUE"""),56500.0)</f>
        <v>56500</v>
      </c>
      <c r="D2633" s="1">
        <f>IFERROR(__xludf.DUMMYFUNCTION("""COMPUTED_VALUE"""),55000.0)</f>
        <v>55000</v>
      </c>
      <c r="E2633" s="1">
        <f>IFERROR(__xludf.DUMMYFUNCTION("""COMPUTED_VALUE"""),55400.0)</f>
        <v>55400</v>
      </c>
      <c r="F2633" s="1">
        <f>IFERROR(__xludf.DUMMYFUNCTION("""COMPUTED_VALUE"""),13552.0)</f>
        <v>13552</v>
      </c>
    </row>
    <row r="2634">
      <c r="A2634" s="2">
        <f>IFERROR(__xludf.DUMMYFUNCTION("""COMPUTED_VALUE"""),44839.64583333333)</f>
        <v>44839.64583</v>
      </c>
      <c r="B2634" s="1">
        <f>IFERROR(__xludf.DUMMYFUNCTION("""COMPUTED_VALUE"""),57000.0)</f>
        <v>57000</v>
      </c>
      <c r="C2634" s="1">
        <f>IFERROR(__xludf.DUMMYFUNCTION("""COMPUTED_VALUE"""),57700.0)</f>
        <v>57700</v>
      </c>
      <c r="D2634" s="1">
        <f>IFERROR(__xludf.DUMMYFUNCTION("""COMPUTED_VALUE"""),56100.0)</f>
        <v>56100</v>
      </c>
      <c r="E2634" s="1">
        <f>IFERROR(__xludf.DUMMYFUNCTION("""COMPUTED_VALUE"""),56500.0)</f>
        <v>56500</v>
      </c>
      <c r="F2634" s="1">
        <f>IFERROR(__xludf.DUMMYFUNCTION("""COMPUTED_VALUE"""),12521.0)</f>
        <v>12521</v>
      </c>
    </row>
    <row r="2635">
      <c r="A2635" s="2">
        <f>IFERROR(__xludf.DUMMYFUNCTION("""COMPUTED_VALUE"""),44840.64583333333)</f>
        <v>44840.64583</v>
      </c>
      <c r="B2635" s="1">
        <f>IFERROR(__xludf.DUMMYFUNCTION("""COMPUTED_VALUE"""),57500.0)</f>
        <v>57500</v>
      </c>
      <c r="C2635" s="1">
        <f>IFERROR(__xludf.DUMMYFUNCTION("""COMPUTED_VALUE"""),57700.0)</f>
        <v>57700</v>
      </c>
      <c r="D2635" s="1">
        <f>IFERROR(__xludf.DUMMYFUNCTION("""COMPUTED_VALUE"""),56100.0)</f>
        <v>56100</v>
      </c>
      <c r="E2635" s="1">
        <f>IFERROR(__xludf.DUMMYFUNCTION("""COMPUTED_VALUE"""),56800.0)</f>
        <v>56800</v>
      </c>
      <c r="F2635" s="1">
        <f>IFERROR(__xludf.DUMMYFUNCTION("""COMPUTED_VALUE"""),16162.0)</f>
        <v>16162</v>
      </c>
    </row>
    <row r="2636">
      <c r="A2636" s="2">
        <f>IFERROR(__xludf.DUMMYFUNCTION("""COMPUTED_VALUE"""),44841.64583333333)</f>
        <v>44841.64583</v>
      </c>
      <c r="B2636" s="1">
        <f>IFERROR(__xludf.DUMMYFUNCTION("""COMPUTED_VALUE"""),56800.0)</f>
        <v>56800</v>
      </c>
      <c r="C2636" s="1">
        <f>IFERROR(__xludf.DUMMYFUNCTION("""COMPUTED_VALUE"""),57500.0)</f>
        <v>57500</v>
      </c>
      <c r="D2636" s="1">
        <f>IFERROR(__xludf.DUMMYFUNCTION("""COMPUTED_VALUE"""),55500.0)</f>
        <v>55500</v>
      </c>
      <c r="E2636" s="1">
        <f>IFERROR(__xludf.DUMMYFUNCTION("""COMPUTED_VALUE"""),56600.0)</f>
        <v>56600</v>
      </c>
      <c r="F2636" s="1">
        <f>IFERROR(__xludf.DUMMYFUNCTION("""COMPUTED_VALUE"""),14859.0)</f>
        <v>14859</v>
      </c>
    </row>
    <row r="2637">
      <c r="A2637" s="2">
        <f>IFERROR(__xludf.DUMMYFUNCTION("""COMPUTED_VALUE"""),44845.64583333333)</f>
        <v>44845.64583</v>
      </c>
      <c r="B2637" s="1">
        <f>IFERROR(__xludf.DUMMYFUNCTION("""COMPUTED_VALUE"""),55200.0)</f>
        <v>55200</v>
      </c>
      <c r="C2637" s="1">
        <f>IFERROR(__xludf.DUMMYFUNCTION("""COMPUTED_VALUE"""),56700.0)</f>
        <v>56700</v>
      </c>
      <c r="D2637" s="1">
        <f>IFERROR(__xludf.DUMMYFUNCTION("""COMPUTED_VALUE"""),54300.0)</f>
        <v>54300</v>
      </c>
      <c r="E2637" s="1">
        <f>IFERROR(__xludf.DUMMYFUNCTION("""COMPUTED_VALUE"""),56400.0)</f>
        <v>56400</v>
      </c>
      <c r="F2637" s="1">
        <f>IFERROR(__xludf.DUMMYFUNCTION("""COMPUTED_VALUE"""),24337.0)</f>
        <v>24337</v>
      </c>
    </row>
    <row r="2638">
      <c r="A2638" s="2">
        <f>IFERROR(__xludf.DUMMYFUNCTION("""COMPUTED_VALUE"""),44846.64583333333)</f>
        <v>44846.64583</v>
      </c>
      <c r="B2638" s="1">
        <f>IFERROR(__xludf.DUMMYFUNCTION("""COMPUTED_VALUE"""),56600.0)</f>
        <v>56600</v>
      </c>
      <c r="C2638" s="1">
        <f>IFERROR(__xludf.DUMMYFUNCTION("""COMPUTED_VALUE"""),57400.0)</f>
        <v>57400</v>
      </c>
      <c r="D2638" s="1">
        <f>IFERROR(__xludf.DUMMYFUNCTION("""COMPUTED_VALUE"""),55300.0)</f>
        <v>55300</v>
      </c>
      <c r="E2638" s="1">
        <f>IFERROR(__xludf.DUMMYFUNCTION("""COMPUTED_VALUE"""),57100.0)</f>
        <v>57100</v>
      </c>
      <c r="F2638" s="1">
        <f>IFERROR(__xludf.DUMMYFUNCTION("""COMPUTED_VALUE"""),19818.0)</f>
        <v>19818</v>
      </c>
    </row>
    <row r="2639">
      <c r="A2639" s="2">
        <f>IFERROR(__xludf.DUMMYFUNCTION("""COMPUTED_VALUE"""),44847.64583333333)</f>
        <v>44847.64583</v>
      </c>
      <c r="B2639" s="1">
        <f>IFERROR(__xludf.DUMMYFUNCTION("""COMPUTED_VALUE"""),57000.0)</f>
        <v>57000</v>
      </c>
      <c r="C2639" s="1">
        <f>IFERROR(__xludf.DUMMYFUNCTION("""COMPUTED_VALUE"""),57500.0)</f>
        <v>57500</v>
      </c>
      <c r="D2639" s="1">
        <f>IFERROR(__xludf.DUMMYFUNCTION("""COMPUTED_VALUE"""),55800.0)</f>
        <v>55800</v>
      </c>
      <c r="E2639" s="1">
        <f>IFERROR(__xludf.DUMMYFUNCTION("""COMPUTED_VALUE"""),56100.0)</f>
        <v>56100</v>
      </c>
      <c r="F2639" s="1">
        <f>IFERROR(__xludf.DUMMYFUNCTION("""COMPUTED_VALUE"""),22981.0)</f>
        <v>22981</v>
      </c>
    </row>
    <row r="2640">
      <c r="A2640" s="2">
        <f>IFERROR(__xludf.DUMMYFUNCTION("""COMPUTED_VALUE"""),44848.64583333333)</f>
        <v>44848.64583</v>
      </c>
      <c r="B2640" s="1">
        <f>IFERROR(__xludf.DUMMYFUNCTION("""COMPUTED_VALUE"""),57100.0)</f>
        <v>57100</v>
      </c>
      <c r="C2640" s="1">
        <f>IFERROR(__xludf.DUMMYFUNCTION("""COMPUTED_VALUE"""),57900.0)</f>
        <v>57900</v>
      </c>
      <c r="D2640" s="1">
        <f>IFERROR(__xludf.DUMMYFUNCTION("""COMPUTED_VALUE"""),56500.0)</f>
        <v>56500</v>
      </c>
      <c r="E2640" s="1">
        <f>IFERROR(__xludf.DUMMYFUNCTION("""COMPUTED_VALUE"""),57500.0)</f>
        <v>57500</v>
      </c>
      <c r="F2640" s="1">
        <f>IFERROR(__xludf.DUMMYFUNCTION("""COMPUTED_VALUE"""),15526.0)</f>
        <v>15526</v>
      </c>
    </row>
    <row r="2641">
      <c r="A2641" s="2">
        <f>IFERROR(__xludf.DUMMYFUNCTION("""COMPUTED_VALUE"""),44851.64583333333)</f>
        <v>44851.64583</v>
      </c>
      <c r="B2641" s="1">
        <f>IFERROR(__xludf.DUMMYFUNCTION("""COMPUTED_VALUE"""),55700.0)</f>
        <v>55700</v>
      </c>
      <c r="C2641" s="1">
        <f>IFERROR(__xludf.DUMMYFUNCTION("""COMPUTED_VALUE"""),57300.0)</f>
        <v>57300</v>
      </c>
      <c r="D2641" s="1">
        <f>IFERROR(__xludf.DUMMYFUNCTION("""COMPUTED_VALUE"""),55300.0)</f>
        <v>55300</v>
      </c>
      <c r="E2641" s="1">
        <f>IFERROR(__xludf.DUMMYFUNCTION("""COMPUTED_VALUE"""),56700.0)</f>
        <v>56700</v>
      </c>
      <c r="F2641" s="1">
        <f>IFERROR(__xludf.DUMMYFUNCTION("""COMPUTED_VALUE"""),18571.0)</f>
        <v>18571</v>
      </c>
    </row>
    <row r="2642">
      <c r="A2642" s="2">
        <f>IFERROR(__xludf.DUMMYFUNCTION("""COMPUTED_VALUE"""),44852.64583333333)</f>
        <v>44852.64583</v>
      </c>
      <c r="B2642" s="1">
        <f>IFERROR(__xludf.DUMMYFUNCTION("""COMPUTED_VALUE"""),57200.0)</f>
        <v>57200</v>
      </c>
      <c r="C2642" s="1">
        <f>IFERROR(__xludf.DUMMYFUNCTION("""COMPUTED_VALUE"""),57200.0)</f>
        <v>57200</v>
      </c>
      <c r="D2642" s="1">
        <f>IFERROR(__xludf.DUMMYFUNCTION("""COMPUTED_VALUE"""),55900.0)</f>
        <v>55900</v>
      </c>
      <c r="E2642" s="1">
        <f>IFERROR(__xludf.DUMMYFUNCTION("""COMPUTED_VALUE"""),56900.0)</f>
        <v>56900</v>
      </c>
      <c r="F2642" s="1">
        <f>IFERROR(__xludf.DUMMYFUNCTION("""COMPUTED_VALUE"""),14170.0)</f>
        <v>14170</v>
      </c>
    </row>
    <row r="2643">
      <c r="A2643" s="2">
        <f>IFERROR(__xludf.DUMMYFUNCTION("""COMPUTED_VALUE"""),44853.64583333333)</f>
        <v>44853.64583</v>
      </c>
      <c r="B2643" s="1">
        <f>IFERROR(__xludf.DUMMYFUNCTION("""COMPUTED_VALUE"""),56900.0)</f>
        <v>56900</v>
      </c>
      <c r="C2643" s="1">
        <f>IFERROR(__xludf.DUMMYFUNCTION("""COMPUTED_VALUE"""),58000.0)</f>
        <v>58000</v>
      </c>
      <c r="D2643" s="1">
        <f>IFERROR(__xludf.DUMMYFUNCTION("""COMPUTED_VALUE"""),56800.0)</f>
        <v>56800</v>
      </c>
      <c r="E2643" s="1">
        <f>IFERROR(__xludf.DUMMYFUNCTION("""COMPUTED_VALUE"""),57500.0)</f>
        <v>57500</v>
      </c>
      <c r="F2643" s="1">
        <f>IFERROR(__xludf.DUMMYFUNCTION("""COMPUTED_VALUE"""),15124.0)</f>
        <v>15124</v>
      </c>
    </row>
    <row r="2644">
      <c r="A2644" s="2">
        <f>IFERROR(__xludf.DUMMYFUNCTION("""COMPUTED_VALUE"""),44854.64583333333)</f>
        <v>44854.64583</v>
      </c>
      <c r="B2644" s="1">
        <f>IFERROR(__xludf.DUMMYFUNCTION("""COMPUTED_VALUE"""),57800.0)</f>
        <v>57800</v>
      </c>
      <c r="C2644" s="1">
        <f>IFERROR(__xludf.DUMMYFUNCTION("""COMPUTED_VALUE"""),58600.0)</f>
        <v>58600</v>
      </c>
      <c r="D2644" s="1">
        <f>IFERROR(__xludf.DUMMYFUNCTION("""COMPUTED_VALUE"""),57500.0)</f>
        <v>57500</v>
      </c>
      <c r="E2644" s="1">
        <f>IFERROR(__xludf.DUMMYFUNCTION("""COMPUTED_VALUE"""),57900.0)</f>
        <v>57900</v>
      </c>
      <c r="F2644" s="1">
        <f>IFERROR(__xludf.DUMMYFUNCTION("""COMPUTED_VALUE"""),17389.0)</f>
        <v>17389</v>
      </c>
    </row>
    <row r="2645">
      <c r="A2645" s="2">
        <f>IFERROR(__xludf.DUMMYFUNCTION("""COMPUTED_VALUE"""),44855.64583333333)</f>
        <v>44855.64583</v>
      </c>
      <c r="B2645" s="1">
        <f>IFERROR(__xludf.DUMMYFUNCTION("""COMPUTED_VALUE"""),57900.0)</f>
        <v>57900</v>
      </c>
      <c r="C2645" s="1">
        <f>IFERROR(__xludf.DUMMYFUNCTION("""COMPUTED_VALUE"""),57900.0)</f>
        <v>57900</v>
      </c>
      <c r="D2645" s="1">
        <f>IFERROR(__xludf.DUMMYFUNCTION("""COMPUTED_VALUE"""),56700.0)</f>
        <v>56700</v>
      </c>
      <c r="E2645" s="1">
        <f>IFERROR(__xludf.DUMMYFUNCTION("""COMPUTED_VALUE"""),57100.0)</f>
        <v>57100</v>
      </c>
      <c r="F2645" s="1">
        <f>IFERROR(__xludf.DUMMYFUNCTION("""COMPUTED_VALUE"""),6736.0)</f>
        <v>6736</v>
      </c>
    </row>
    <row r="2646">
      <c r="A2646" s="2">
        <f>IFERROR(__xludf.DUMMYFUNCTION("""COMPUTED_VALUE"""),44858.64583333333)</f>
        <v>44858.64583</v>
      </c>
      <c r="B2646" s="1">
        <f>IFERROR(__xludf.DUMMYFUNCTION("""COMPUTED_VALUE"""),57400.0)</f>
        <v>57400</v>
      </c>
      <c r="C2646" s="1">
        <f>IFERROR(__xludf.DUMMYFUNCTION("""COMPUTED_VALUE"""),57700.0)</f>
        <v>57700</v>
      </c>
      <c r="D2646" s="1">
        <f>IFERROR(__xludf.DUMMYFUNCTION("""COMPUTED_VALUE"""),56000.0)</f>
        <v>56000</v>
      </c>
      <c r="E2646" s="1">
        <f>IFERROR(__xludf.DUMMYFUNCTION("""COMPUTED_VALUE"""),56200.0)</f>
        <v>56200</v>
      </c>
      <c r="F2646" s="1">
        <f>IFERROR(__xludf.DUMMYFUNCTION("""COMPUTED_VALUE"""),7785.0)</f>
        <v>7785</v>
      </c>
    </row>
    <row r="2647">
      <c r="A2647" s="2">
        <f>IFERROR(__xludf.DUMMYFUNCTION("""COMPUTED_VALUE"""),44859.64583333333)</f>
        <v>44859.64583</v>
      </c>
      <c r="B2647" s="1">
        <f>IFERROR(__xludf.DUMMYFUNCTION("""COMPUTED_VALUE"""),56400.0)</f>
        <v>56400</v>
      </c>
      <c r="C2647" s="1">
        <f>IFERROR(__xludf.DUMMYFUNCTION("""COMPUTED_VALUE"""),56400.0)</f>
        <v>56400</v>
      </c>
      <c r="D2647" s="1">
        <f>IFERROR(__xludf.DUMMYFUNCTION("""COMPUTED_VALUE"""),55500.0)</f>
        <v>55500</v>
      </c>
      <c r="E2647" s="1">
        <f>IFERROR(__xludf.DUMMYFUNCTION("""COMPUTED_VALUE"""),55800.0)</f>
        <v>55800</v>
      </c>
      <c r="F2647" s="1">
        <f>IFERROR(__xludf.DUMMYFUNCTION("""COMPUTED_VALUE"""),5016.0)</f>
        <v>5016</v>
      </c>
    </row>
    <row r="2648">
      <c r="A2648" s="2">
        <f>IFERROR(__xludf.DUMMYFUNCTION("""COMPUTED_VALUE"""),44860.64583333333)</f>
        <v>44860.64583</v>
      </c>
      <c r="B2648" s="1">
        <f>IFERROR(__xludf.DUMMYFUNCTION("""COMPUTED_VALUE"""),56500.0)</f>
        <v>56500</v>
      </c>
      <c r="C2648" s="1">
        <f>IFERROR(__xludf.DUMMYFUNCTION("""COMPUTED_VALUE"""),56700.0)</f>
        <v>56700</v>
      </c>
      <c r="D2648" s="1">
        <f>IFERROR(__xludf.DUMMYFUNCTION("""COMPUTED_VALUE"""),55600.0)</f>
        <v>55600</v>
      </c>
      <c r="E2648" s="1">
        <f>IFERROR(__xludf.DUMMYFUNCTION("""COMPUTED_VALUE"""),56700.0)</f>
        <v>56700</v>
      </c>
      <c r="F2648" s="1">
        <f>IFERROR(__xludf.DUMMYFUNCTION("""COMPUTED_VALUE"""),3873.0)</f>
        <v>3873</v>
      </c>
    </row>
    <row r="2649">
      <c r="A2649" s="2">
        <f>IFERROR(__xludf.DUMMYFUNCTION("""COMPUTED_VALUE"""),44861.64583333333)</f>
        <v>44861.64583</v>
      </c>
      <c r="B2649" s="1">
        <f>IFERROR(__xludf.DUMMYFUNCTION("""COMPUTED_VALUE"""),56700.0)</f>
        <v>56700</v>
      </c>
      <c r="C2649" s="1">
        <f>IFERROR(__xludf.DUMMYFUNCTION("""COMPUTED_VALUE"""),57700.0)</f>
        <v>57700</v>
      </c>
      <c r="D2649" s="1">
        <f>IFERROR(__xludf.DUMMYFUNCTION("""COMPUTED_VALUE"""),56300.0)</f>
        <v>56300</v>
      </c>
      <c r="E2649" s="1">
        <f>IFERROR(__xludf.DUMMYFUNCTION("""COMPUTED_VALUE"""),57100.0)</f>
        <v>57100</v>
      </c>
      <c r="F2649" s="1">
        <f>IFERROR(__xludf.DUMMYFUNCTION("""COMPUTED_VALUE"""),16735.0)</f>
        <v>16735</v>
      </c>
    </row>
    <row r="2650">
      <c r="A2650" s="2">
        <f>IFERROR(__xludf.DUMMYFUNCTION("""COMPUTED_VALUE"""),44862.64583333333)</f>
        <v>44862.64583</v>
      </c>
      <c r="B2650" s="1">
        <f>IFERROR(__xludf.DUMMYFUNCTION("""COMPUTED_VALUE"""),57200.0)</f>
        <v>57200</v>
      </c>
      <c r="C2650" s="1">
        <f>IFERROR(__xludf.DUMMYFUNCTION("""COMPUTED_VALUE"""),58400.0)</f>
        <v>58400</v>
      </c>
      <c r="D2650" s="1">
        <f>IFERROR(__xludf.DUMMYFUNCTION("""COMPUTED_VALUE"""),57200.0)</f>
        <v>57200</v>
      </c>
      <c r="E2650" s="1">
        <f>IFERROR(__xludf.DUMMYFUNCTION("""COMPUTED_VALUE"""),57800.0)</f>
        <v>57800</v>
      </c>
      <c r="F2650" s="1">
        <f>IFERROR(__xludf.DUMMYFUNCTION("""COMPUTED_VALUE"""),26827.0)</f>
        <v>26827</v>
      </c>
    </row>
    <row r="2651">
      <c r="A2651" s="2">
        <f>IFERROR(__xludf.DUMMYFUNCTION("""COMPUTED_VALUE"""),44865.64583333333)</f>
        <v>44865.64583</v>
      </c>
      <c r="B2651" s="1">
        <f>IFERROR(__xludf.DUMMYFUNCTION("""COMPUTED_VALUE"""),57800.0)</f>
        <v>57800</v>
      </c>
      <c r="C2651" s="1">
        <f>IFERROR(__xludf.DUMMYFUNCTION("""COMPUTED_VALUE"""),57800.0)</f>
        <v>57800</v>
      </c>
      <c r="D2651" s="1">
        <f>IFERROR(__xludf.DUMMYFUNCTION("""COMPUTED_VALUE"""),56500.0)</f>
        <v>56500</v>
      </c>
      <c r="E2651" s="1">
        <f>IFERROR(__xludf.DUMMYFUNCTION("""COMPUTED_VALUE"""),57100.0)</f>
        <v>57100</v>
      </c>
      <c r="F2651" s="1">
        <f>IFERROR(__xludf.DUMMYFUNCTION("""COMPUTED_VALUE"""),6637.0)</f>
        <v>6637</v>
      </c>
    </row>
    <row r="2652">
      <c r="A2652" s="2">
        <f>IFERROR(__xludf.DUMMYFUNCTION("""COMPUTED_VALUE"""),44866.64583333333)</f>
        <v>44866.64583</v>
      </c>
      <c r="B2652" s="1">
        <f>IFERROR(__xludf.DUMMYFUNCTION("""COMPUTED_VALUE"""),57000.0)</f>
        <v>57000</v>
      </c>
      <c r="C2652" s="1">
        <f>IFERROR(__xludf.DUMMYFUNCTION("""COMPUTED_VALUE"""),57500.0)</f>
        <v>57500</v>
      </c>
      <c r="D2652" s="1">
        <f>IFERROR(__xludf.DUMMYFUNCTION("""COMPUTED_VALUE"""),56600.0)</f>
        <v>56600</v>
      </c>
      <c r="E2652" s="1">
        <f>IFERROR(__xludf.DUMMYFUNCTION("""COMPUTED_VALUE"""),57200.0)</f>
        <v>57200</v>
      </c>
      <c r="F2652" s="1">
        <f>IFERROR(__xludf.DUMMYFUNCTION("""COMPUTED_VALUE"""),5418.0)</f>
        <v>5418</v>
      </c>
    </row>
    <row r="2653">
      <c r="A2653" s="2">
        <f>IFERROR(__xludf.DUMMYFUNCTION("""COMPUTED_VALUE"""),44867.64583333333)</f>
        <v>44867.64583</v>
      </c>
      <c r="B2653" s="1">
        <f>IFERROR(__xludf.DUMMYFUNCTION("""COMPUTED_VALUE"""),57500.0)</f>
        <v>57500</v>
      </c>
      <c r="C2653" s="1">
        <f>IFERROR(__xludf.DUMMYFUNCTION("""COMPUTED_VALUE"""),58700.0)</f>
        <v>58700</v>
      </c>
      <c r="D2653" s="1">
        <f>IFERROR(__xludf.DUMMYFUNCTION("""COMPUTED_VALUE"""),57200.0)</f>
        <v>57200</v>
      </c>
      <c r="E2653" s="1">
        <f>IFERROR(__xludf.DUMMYFUNCTION("""COMPUTED_VALUE"""),58300.0)</f>
        <v>58300</v>
      </c>
      <c r="F2653" s="1">
        <f>IFERROR(__xludf.DUMMYFUNCTION("""COMPUTED_VALUE"""),23916.0)</f>
        <v>23916</v>
      </c>
    </row>
    <row r="2654">
      <c r="A2654" s="2">
        <f>IFERROR(__xludf.DUMMYFUNCTION("""COMPUTED_VALUE"""),44868.64583333333)</f>
        <v>44868.64583</v>
      </c>
      <c r="B2654" s="1">
        <f>IFERROR(__xludf.DUMMYFUNCTION("""COMPUTED_VALUE"""),58400.0)</f>
        <v>58400</v>
      </c>
      <c r="C2654" s="1">
        <f>IFERROR(__xludf.DUMMYFUNCTION("""COMPUTED_VALUE"""),58900.0)</f>
        <v>58900</v>
      </c>
      <c r="D2654" s="1">
        <f>IFERROR(__xludf.DUMMYFUNCTION("""COMPUTED_VALUE"""),57700.0)</f>
        <v>57700</v>
      </c>
      <c r="E2654" s="1">
        <f>IFERROR(__xludf.DUMMYFUNCTION("""COMPUTED_VALUE"""),58000.0)</f>
        <v>58000</v>
      </c>
      <c r="F2654" s="1">
        <f>IFERROR(__xludf.DUMMYFUNCTION("""COMPUTED_VALUE"""),8968.0)</f>
        <v>8968</v>
      </c>
    </row>
    <row r="2655">
      <c r="A2655" s="2">
        <f>IFERROR(__xludf.DUMMYFUNCTION("""COMPUTED_VALUE"""),44869.64583333333)</f>
        <v>44869.64583</v>
      </c>
      <c r="B2655" s="1">
        <f>IFERROR(__xludf.DUMMYFUNCTION("""COMPUTED_VALUE"""),58000.0)</f>
        <v>58000</v>
      </c>
      <c r="C2655" s="1">
        <f>IFERROR(__xludf.DUMMYFUNCTION("""COMPUTED_VALUE"""),58900.0)</f>
        <v>58900</v>
      </c>
      <c r="D2655" s="1">
        <f>IFERROR(__xludf.DUMMYFUNCTION("""COMPUTED_VALUE"""),57900.0)</f>
        <v>57900</v>
      </c>
      <c r="E2655" s="1">
        <f>IFERROR(__xludf.DUMMYFUNCTION("""COMPUTED_VALUE"""),58700.0)</f>
        <v>58700</v>
      </c>
      <c r="F2655" s="1">
        <f>IFERROR(__xludf.DUMMYFUNCTION("""COMPUTED_VALUE"""),10385.0)</f>
        <v>10385</v>
      </c>
    </row>
    <row r="2656">
      <c r="A2656" s="2">
        <f>IFERROR(__xludf.DUMMYFUNCTION("""COMPUTED_VALUE"""),44872.64583333333)</f>
        <v>44872.64583</v>
      </c>
      <c r="B2656" s="1">
        <f>IFERROR(__xludf.DUMMYFUNCTION("""COMPUTED_VALUE"""),59100.0)</f>
        <v>59100</v>
      </c>
      <c r="C2656" s="1">
        <f>IFERROR(__xludf.DUMMYFUNCTION("""COMPUTED_VALUE"""),60800.0)</f>
        <v>60800</v>
      </c>
      <c r="D2656" s="1">
        <f>IFERROR(__xludf.DUMMYFUNCTION("""COMPUTED_VALUE"""),58800.0)</f>
        <v>58800</v>
      </c>
      <c r="E2656" s="1">
        <f>IFERROR(__xludf.DUMMYFUNCTION("""COMPUTED_VALUE"""),60500.0)</f>
        <v>60500</v>
      </c>
      <c r="F2656" s="1">
        <f>IFERROR(__xludf.DUMMYFUNCTION("""COMPUTED_VALUE"""),18231.0)</f>
        <v>18231</v>
      </c>
    </row>
    <row r="2657">
      <c r="A2657" s="2">
        <f>IFERROR(__xludf.DUMMYFUNCTION("""COMPUTED_VALUE"""),44873.64583333333)</f>
        <v>44873.64583</v>
      </c>
      <c r="B2657" s="1">
        <f>IFERROR(__xludf.DUMMYFUNCTION("""COMPUTED_VALUE"""),60500.0)</f>
        <v>60500</v>
      </c>
      <c r="C2657" s="1">
        <f>IFERROR(__xludf.DUMMYFUNCTION("""COMPUTED_VALUE"""),60800.0)</f>
        <v>60800</v>
      </c>
      <c r="D2657" s="1">
        <f>IFERROR(__xludf.DUMMYFUNCTION("""COMPUTED_VALUE"""),59100.0)</f>
        <v>59100</v>
      </c>
      <c r="E2657" s="1">
        <f>IFERROR(__xludf.DUMMYFUNCTION("""COMPUTED_VALUE"""),60300.0)</f>
        <v>60300</v>
      </c>
      <c r="F2657" s="1">
        <f>IFERROR(__xludf.DUMMYFUNCTION("""COMPUTED_VALUE"""),15866.0)</f>
        <v>15866</v>
      </c>
    </row>
    <row r="2658">
      <c r="A2658" s="2">
        <f>IFERROR(__xludf.DUMMYFUNCTION("""COMPUTED_VALUE"""),44874.64583333333)</f>
        <v>44874.64583</v>
      </c>
      <c r="B2658" s="1">
        <f>IFERROR(__xludf.DUMMYFUNCTION("""COMPUTED_VALUE"""),60300.0)</f>
        <v>60300</v>
      </c>
      <c r="C2658" s="1">
        <f>IFERROR(__xludf.DUMMYFUNCTION("""COMPUTED_VALUE"""),60300.0)</f>
        <v>60300</v>
      </c>
      <c r="D2658" s="1">
        <f>IFERROR(__xludf.DUMMYFUNCTION("""COMPUTED_VALUE"""),59600.0)</f>
        <v>59600</v>
      </c>
      <c r="E2658" s="1">
        <f>IFERROR(__xludf.DUMMYFUNCTION("""COMPUTED_VALUE"""),59800.0)</f>
        <v>59800</v>
      </c>
      <c r="F2658" s="1">
        <f>IFERROR(__xludf.DUMMYFUNCTION("""COMPUTED_VALUE"""),13360.0)</f>
        <v>13360</v>
      </c>
    </row>
    <row r="2659">
      <c r="A2659" s="2">
        <f>IFERROR(__xludf.DUMMYFUNCTION("""COMPUTED_VALUE"""),44875.64583333333)</f>
        <v>44875.64583</v>
      </c>
      <c r="B2659" s="1">
        <f>IFERROR(__xludf.DUMMYFUNCTION("""COMPUTED_VALUE"""),59000.0)</f>
        <v>59000</v>
      </c>
      <c r="C2659" s="1">
        <f>IFERROR(__xludf.DUMMYFUNCTION("""COMPUTED_VALUE"""),59400.0)</f>
        <v>59400</v>
      </c>
      <c r="D2659" s="1">
        <f>IFERROR(__xludf.DUMMYFUNCTION("""COMPUTED_VALUE"""),58200.0)</f>
        <v>58200</v>
      </c>
      <c r="E2659" s="1">
        <f>IFERROR(__xludf.DUMMYFUNCTION("""COMPUTED_VALUE"""),58700.0)</f>
        <v>58700</v>
      </c>
      <c r="F2659" s="1">
        <f>IFERROR(__xludf.DUMMYFUNCTION("""COMPUTED_VALUE"""),13424.0)</f>
        <v>13424</v>
      </c>
    </row>
    <row r="2660">
      <c r="A2660" s="2">
        <f>IFERROR(__xludf.DUMMYFUNCTION("""COMPUTED_VALUE"""),44876.64583333333)</f>
        <v>44876.64583</v>
      </c>
      <c r="B2660" s="1">
        <f>IFERROR(__xludf.DUMMYFUNCTION("""COMPUTED_VALUE"""),59300.0)</f>
        <v>59300</v>
      </c>
      <c r="C2660" s="1">
        <f>IFERROR(__xludf.DUMMYFUNCTION("""COMPUTED_VALUE"""),59900.0)</f>
        <v>59900</v>
      </c>
      <c r="D2660" s="1">
        <f>IFERROR(__xludf.DUMMYFUNCTION("""COMPUTED_VALUE"""),58400.0)</f>
        <v>58400</v>
      </c>
      <c r="E2660" s="1">
        <f>IFERROR(__xludf.DUMMYFUNCTION("""COMPUTED_VALUE"""),59000.0)</f>
        <v>59000</v>
      </c>
      <c r="F2660" s="1">
        <f>IFERROR(__xludf.DUMMYFUNCTION("""COMPUTED_VALUE"""),20654.0)</f>
        <v>20654</v>
      </c>
    </row>
    <row r="2661">
      <c r="A2661" s="2">
        <f>IFERROR(__xludf.DUMMYFUNCTION("""COMPUTED_VALUE"""),44879.64583333333)</f>
        <v>44879.64583</v>
      </c>
      <c r="B2661" s="1">
        <f>IFERROR(__xludf.DUMMYFUNCTION("""COMPUTED_VALUE"""),59200.0)</f>
        <v>59200</v>
      </c>
      <c r="C2661" s="1">
        <f>IFERROR(__xludf.DUMMYFUNCTION("""COMPUTED_VALUE"""),59800.0)</f>
        <v>59800</v>
      </c>
      <c r="D2661" s="1">
        <f>IFERROR(__xludf.DUMMYFUNCTION("""COMPUTED_VALUE"""),58400.0)</f>
        <v>58400</v>
      </c>
      <c r="E2661" s="1">
        <f>IFERROR(__xludf.DUMMYFUNCTION("""COMPUTED_VALUE"""),59000.0)</f>
        <v>59000</v>
      </c>
      <c r="F2661" s="1">
        <f>IFERROR(__xludf.DUMMYFUNCTION("""COMPUTED_VALUE"""),9269.0)</f>
        <v>9269</v>
      </c>
    </row>
    <row r="2662">
      <c r="A2662" s="2">
        <f>IFERROR(__xludf.DUMMYFUNCTION("""COMPUTED_VALUE"""),44880.64583333333)</f>
        <v>44880.64583</v>
      </c>
      <c r="B2662" s="1">
        <f>IFERROR(__xludf.DUMMYFUNCTION("""COMPUTED_VALUE"""),59600.0)</f>
        <v>59600</v>
      </c>
      <c r="C2662" s="1">
        <f>IFERROR(__xludf.DUMMYFUNCTION("""COMPUTED_VALUE"""),59600.0)</f>
        <v>59600</v>
      </c>
      <c r="D2662" s="1">
        <f>IFERROR(__xludf.DUMMYFUNCTION("""COMPUTED_VALUE"""),58500.0)</f>
        <v>58500</v>
      </c>
      <c r="E2662" s="1">
        <f>IFERROR(__xludf.DUMMYFUNCTION("""COMPUTED_VALUE"""),58600.0)</f>
        <v>58600</v>
      </c>
      <c r="F2662" s="1">
        <f>IFERROR(__xludf.DUMMYFUNCTION("""COMPUTED_VALUE"""),18160.0)</f>
        <v>18160</v>
      </c>
    </row>
    <row r="2663">
      <c r="A2663" s="2">
        <f>IFERROR(__xludf.DUMMYFUNCTION("""COMPUTED_VALUE"""),44881.64583333333)</f>
        <v>44881.64583</v>
      </c>
      <c r="B2663" s="1">
        <f>IFERROR(__xludf.DUMMYFUNCTION("""COMPUTED_VALUE"""),59400.0)</f>
        <v>59400</v>
      </c>
      <c r="C2663" s="1">
        <f>IFERROR(__xludf.DUMMYFUNCTION("""COMPUTED_VALUE"""),59500.0)</f>
        <v>59500</v>
      </c>
      <c r="D2663" s="1">
        <f>IFERROR(__xludf.DUMMYFUNCTION("""COMPUTED_VALUE"""),58800.0)</f>
        <v>58800</v>
      </c>
      <c r="E2663" s="1">
        <f>IFERROR(__xludf.DUMMYFUNCTION("""COMPUTED_VALUE"""),59200.0)</f>
        <v>59200</v>
      </c>
      <c r="F2663" s="1">
        <f>IFERROR(__xludf.DUMMYFUNCTION("""COMPUTED_VALUE"""),11236.0)</f>
        <v>11236</v>
      </c>
    </row>
    <row r="2664">
      <c r="A2664" s="2">
        <f>IFERROR(__xludf.DUMMYFUNCTION("""COMPUTED_VALUE"""),44882.64583333333)</f>
        <v>44882.64583</v>
      </c>
      <c r="B2664" s="1">
        <f>IFERROR(__xludf.DUMMYFUNCTION("""COMPUTED_VALUE"""),59500.0)</f>
        <v>59500</v>
      </c>
      <c r="C2664" s="1">
        <f>IFERROR(__xludf.DUMMYFUNCTION("""COMPUTED_VALUE"""),60200.0)</f>
        <v>60200</v>
      </c>
      <c r="D2664" s="1">
        <f>IFERROR(__xludf.DUMMYFUNCTION("""COMPUTED_VALUE"""),58400.0)</f>
        <v>58400</v>
      </c>
      <c r="E2664" s="1">
        <f>IFERROR(__xludf.DUMMYFUNCTION("""COMPUTED_VALUE"""),58500.0)</f>
        <v>58500</v>
      </c>
      <c r="F2664" s="1">
        <f>IFERROR(__xludf.DUMMYFUNCTION("""COMPUTED_VALUE"""),12862.0)</f>
        <v>12862</v>
      </c>
    </row>
    <row r="2665">
      <c r="A2665" s="2">
        <f>IFERROR(__xludf.DUMMYFUNCTION("""COMPUTED_VALUE"""),44883.64583333333)</f>
        <v>44883.64583</v>
      </c>
      <c r="B2665" s="1">
        <f>IFERROR(__xludf.DUMMYFUNCTION("""COMPUTED_VALUE"""),59000.0)</f>
        <v>59000</v>
      </c>
      <c r="C2665" s="1">
        <f>IFERROR(__xludf.DUMMYFUNCTION("""COMPUTED_VALUE"""),60100.0)</f>
        <v>60100</v>
      </c>
      <c r="D2665" s="1">
        <f>IFERROR(__xludf.DUMMYFUNCTION("""COMPUTED_VALUE"""),58600.0)</f>
        <v>58600</v>
      </c>
      <c r="E2665" s="1">
        <f>IFERROR(__xludf.DUMMYFUNCTION("""COMPUTED_VALUE"""),59400.0)</f>
        <v>59400</v>
      </c>
      <c r="F2665" s="1">
        <f>IFERROR(__xludf.DUMMYFUNCTION("""COMPUTED_VALUE"""),24819.0)</f>
        <v>24819</v>
      </c>
    </row>
    <row r="2666">
      <c r="A2666" s="2">
        <f>IFERROR(__xludf.DUMMYFUNCTION("""COMPUTED_VALUE"""),44886.64583333333)</f>
        <v>44886.64583</v>
      </c>
      <c r="B2666" s="1">
        <f>IFERROR(__xludf.DUMMYFUNCTION("""COMPUTED_VALUE"""),59600.0)</f>
        <v>59600</v>
      </c>
      <c r="C2666" s="1">
        <f>IFERROR(__xludf.DUMMYFUNCTION("""COMPUTED_VALUE"""),59600.0)</f>
        <v>59600</v>
      </c>
      <c r="D2666" s="1">
        <f>IFERROR(__xludf.DUMMYFUNCTION("""COMPUTED_VALUE"""),58000.0)</f>
        <v>58000</v>
      </c>
      <c r="E2666" s="1">
        <f>IFERROR(__xludf.DUMMYFUNCTION("""COMPUTED_VALUE"""),58400.0)</f>
        <v>58400</v>
      </c>
      <c r="F2666" s="1">
        <f>IFERROR(__xludf.DUMMYFUNCTION("""COMPUTED_VALUE"""),15031.0)</f>
        <v>15031</v>
      </c>
    </row>
    <row r="2667">
      <c r="A2667" s="2">
        <f>IFERROR(__xludf.DUMMYFUNCTION("""COMPUTED_VALUE"""),44887.64583333333)</f>
        <v>44887.64583</v>
      </c>
      <c r="B2667" s="1">
        <f>IFERROR(__xludf.DUMMYFUNCTION("""COMPUTED_VALUE"""),58300.0)</f>
        <v>58300</v>
      </c>
      <c r="C2667" s="1">
        <f>IFERROR(__xludf.DUMMYFUNCTION("""COMPUTED_VALUE"""),58600.0)</f>
        <v>58600</v>
      </c>
      <c r="D2667" s="1">
        <f>IFERROR(__xludf.DUMMYFUNCTION("""COMPUTED_VALUE"""),57600.0)</f>
        <v>57600</v>
      </c>
      <c r="E2667" s="1">
        <f>IFERROR(__xludf.DUMMYFUNCTION("""COMPUTED_VALUE"""),57600.0)</f>
        <v>57600</v>
      </c>
      <c r="F2667" s="1">
        <f>IFERROR(__xludf.DUMMYFUNCTION("""COMPUTED_VALUE"""),11819.0)</f>
        <v>11819</v>
      </c>
    </row>
    <row r="2668">
      <c r="A2668" s="2">
        <f>IFERROR(__xludf.DUMMYFUNCTION("""COMPUTED_VALUE"""),44888.64583333333)</f>
        <v>44888.64583</v>
      </c>
      <c r="B2668" s="1">
        <f>IFERROR(__xludf.DUMMYFUNCTION("""COMPUTED_VALUE"""),58400.0)</f>
        <v>58400</v>
      </c>
      <c r="C2668" s="1">
        <f>IFERROR(__xludf.DUMMYFUNCTION("""COMPUTED_VALUE"""),58500.0)</f>
        <v>58500</v>
      </c>
      <c r="D2668" s="1">
        <f>IFERROR(__xludf.DUMMYFUNCTION("""COMPUTED_VALUE"""),57800.0)</f>
        <v>57800</v>
      </c>
      <c r="E2668" s="1">
        <f>IFERROR(__xludf.DUMMYFUNCTION("""COMPUTED_VALUE"""),58100.0)</f>
        <v>58100</v>
      </c>
      <c r="F2668" s="1">
        <f>IFERROR(__xludf.DUMMYFUNCTION("""COMPUTED_VALUE"""),6353.0)</f>
        <v>6353</v>
      </c>
    </row>
    <row r="2669">
      <c r="A2669" s="2">
        <f>IFERROR(__xludf.DUMMYFUNCTION("""COMPUTED_VALUE"""),44889.64583333333)</f>
        <v>44889.64583</v>
      </c>
      <c r="B2669" s="1">
        <f>IFERROR(__xludf.DUMMYFUNCTION("""COMPUTED_VALUE"""),57800.0)</f>
        <v>57800</v>
      </c>
      <c r="C2669" s="1">
        <f>IFERROR(__xludf.DUMMYFUNCTION("""COMPUTED_VALUE"""),58000.0)</f>
        <v>58000</v>
      </c>
      <c r="D2669" s="1">
        <f>IFERROR(__xludf.DUMMYFUNCTION("""COMPUTED_VALUE"""),57600.0)</f>
        <v>57600</v>
      </c>
      <c r="E2669" s="1">
        <f>IFERROR(__xludf.DUMMYFUNCTION("""COMPUTED_VALUE"""),57700.0)</f>
        <v>57700</v>
      </c>
      <c r="F2669" s="1">
        <f>IFERROR(__xludf.DUMMYFUNCTION("""COMPUTED_VALUE"""),9274.0)</f>
        <v>9274</v>
      </c>
    </row>
    <row r="2670">
      <c r="A2670" s="2">
        <f>IFERROR(__xludf.DUMMYFUNCTION("""COMPUTED_VALUE"""),44890.64583333333)</f>
        <v>44890.64583</v>
      </c>
      <c r="B2670" s="1">
        <f>IFERROR(__xludf.DUMMYFUNCTION("""COMPUTED_VALUE"""),57700.0)</f>
        <v>57700</v>
      </c>
      <c r="C2670" s="1">
        <f>IFERROR(__xludf.DUMMYFUNCTION("""COMPUTED_VALUE"""),58300.0)</f>
        <v>58300</v>
      </c>
      <c r="D2670" s="1">
        <f>IFERROR(__xludf.DUMMYFUNCTION("""COMPUTED_VALUE"""),57700.0)</f>
        <v>57700</v>
      </c>
      <c r="E2670" s="1">
        <f>IFERROR(__xludf.DUMMYFUNCTION("""COMPUTED_VALUE"""),58300.0)</f>
        <v>58300</v>
      </c>
      <c r="F2670" s="1">
        <f>IFERROR(__xludf.DUMMYFUNCTION("""COMPUTED_VALUE"""),5008.0)</f>
        <v>5008</v>
      </c>
    </row>
    <row r="2671">
      <c r="A2671" s="2">
        <f>IFERROR(__xludf.DUMMYFUNCTION("""COMPUTED_VALUE"""),44893.64583333333)</f>
        <v>44893.64583</v>
      </c>
      <c r="B2671" s="1">
        <f>IFERROR(__xludf.DUMMYFUNCTION("""COMPUTED_VALUE"""),57500.0)</f>
        <v>57500</v>
      </c>
      <c r="C2671" s="1">
        <f>IFERROR(__xludf.DUMMYFUNCTION("""COMPUTED_VALUE"""),57600.0)</f>
        <v>57600</v>
      </c>
      <c r="D2671" s="1">
        <f>IFERROR(__xludf.DUMMYFUNCTION("""COMPUTED_VALUE"""),56400.0)</f>
        <v>56400</v>
      </c>
      <c r="E2671" s="1">
        <f>IFERROR(__xludf.DUMMYFUNCTION("""COMPUTED_VALUE"""),57000.0)</f>
        <v>57000</v>
      </c>
      <c r="F2671" s="1">
        <f>IFERROR(__xludf.DUMMYFUNCTION("""COMPUTED_VALUE"""),17004.0)</f>
        <v>17004</v>
      </c>
    </row>
    <row r="2672">
      <c r="A2672" s="2">
        <f>IFERROR(__xludf.DUMMYFUNCTION("""COMPUTED_VALUE"""),44894.64583333333)</f>
        <v>44894.64583</v>
      </c>
      <c r="B2672" s="1">
        <f>IFERROR(__xludf.DUMMYFUNCTION("""COMPUTED_VALUE"""),57100.0)</f>
        <v>57100</v>
      </c>
      <c r="C2672" s="1">
        <f>IFERROR(__xludf.DUMMYFUNCTION("""COMPUTED_VALUE"""),58500.0)</f>
        <v>58500</v>
      </c>
      <c r="D2672" s="1">
        <f>IFERROR(__xludf.DUMMYFUNCTION("""COMPUTED_VALUE"""),56800.0)</f>
        <v>56800</v>
      </c>
      <c r="E2672" s="1">
        <f>IFERROR(__xludf.DUMMYFUNCTION("""COMPUTED_VALUE"""),58300.0)</f>
        <v>58300</v>
      </c>
      <c r="F2672" s="1">
        <f>IFERROR(__xludf.DUMMYFUNCTION("""COMPUTED_VALUE"""),7745.0)</f>
        <v>7745</v>
      </c>
    </row>
    <row r="2673">
      <c r="A2673" s="2">
        <f>IFERROR(__xludf.DUMMYFUNCTION("""COMPUTED_VALUE"""),44895.64583333333)</f>
        <v>44895.64583</v>
      </c>
      <c r="B2673" s="1">
        <f>IFERROR(__xludf.DUMMYFUNCTION("""COMPUTED_VALUE"""),58500.0)</f>
        <v>58500</v>
      </c>
      <c r="C2673" s="1">
        <f>IFERROR(__xludf.DUMMYFUNCTION("""COMPUTED_VALUE"""),58800.0)</f>
        <v>58800</v>
      </c>
      <c r="D2673" s="1">
        <f>IFERROR(__xludf.DUMMYFUNCTION("""COMPUTED_VALUE"""),58200.0)</f>
        <v>58200</v>
      </c>
      <c r="E2673" s="1">
        <f>IFERROR(__xludf.DUMMYFUNCTION("""COMPUTED_VALUE"""),58500.0)</f>
        <v>58500</v>
      </c>
      <c r="F2673" s="1">
        <f>IFERROR(__xludf.DUMMYFUNCTION("""COMPUTED_VALUE"""),9033.0)</f>
        <v>9033</v>
      </c>
    </row>
    <row r="2674">
      <c r="A2674" s="2">
        <f>IFERROR(__xludf.DUMMYFUNCTION("""COMPUTED_VALUE"""),44896.64583333333)</f>
        <v>44896.64583</v>
      </c>
      <c r="B2674" s="1">
        <f>IFERROR(__xludf.DUMMYFUNCTION("""COMPUTED_VALUE"""),58800.0)</f>
        <v>58800</v>
      </c>
      <c r="C2674" s="1">
        <f>IFERROR(__xludf.DUMMYFUNCTION("""COMPUTED_VALUE"""),59600.0)</f>
        <v>59600</v>
      </c>
      <c r="D2674" s="1">
        <f>IFERROR(__xludf.DUMMYFUNCTION("""COMPUTED_VALUE"""),58800.0)</f>
        <v>58800</v>
      </c>
      <c r="E2674" s="1">
        <f>IFERROR(__xludf.DUMMYFUNCTION("""COMPUTED_VALUE"""),58900.0)</f>
        <v>58900</v>
      </c>
      <c r="F2674" s="1">
        <f>IFERROR(__xludf.DUMMYFUNCTION("""COMPUTED_VALUE"""),11412.0)</f>
        <v>11412</v>
      </c>
    </row>
    <row r="2675">
      <c r="A2675" s="2">
        <f>IFERROR(__xludf.DUMMYFUNCTION("""COMPUTED_VALUE"""),44897.64583333333)</f>
        <v>44897.64583</v>
      </c>
      <c r="B2675" s="1">
        <f>IFERROR(__xludf.DUMMYFUNCTION("""COMPUTED_VALUE"""),58700.0)</f>
        <v>58700</v>
      </c>
      <c r="C2675" s="1">
        <f>IFERROR(__xludf.DUMMYFUNCTION("""COMPUTED_VALUE"""),59300.0)</f>
        <v>59300</v>
      </c>
      <c r="D2675" s="1">
        <f>IFERROR(__xludf.DUMMYFUNCTION("""COMPUTED_VALUE"""),58400.0)</f>
        <v>58400</v>
      </c>
      <c r="E2675" s="1">
        <f>IFERROR(__xludf.DUMMYFUNCTION("""COMPUTED_VALUE"""),58700.0)</f>
        <v>58700</v>
      </c>
      <c r="F2675" s="1">
        <f>IFERROR(__xludf.DUMMYFUNCTION("""COMPUTED_VALUE"""),12513.0)</f>
        <v>12513</v>
      </c>
    </row>
    <row r="2676">
      <c r="A2676" s="2">
        <f>IFERROR(__xludf.DUMMYFUNCTION("""COMPUTED_VALUE"""),44900.64583333333)</f>
        <v>44900.64583</v>
      </c>
      <c r="B2676" s="1">
        <f>IFERROR(__xludf.DUMMYFUNCTION("""COMPUTED_VALUE"""),58700.0)</f>
        <v>58700</v>
      </c>
      <c r="C2676" s="1">
        <f>IFERROR(__xludf.DUMMYFUNCTION("""COMPUTED_VALUE"""),59600.0)</f>
        <v>59600</v>
      </c>
      <c r="D2676" s="1">
        <f>IFERROR(__xludf.DUMMYFUNCTION("""COMPUTED_VALUE"""),58600.0)</f>
        <v>58600</v>
      </c>
      <c r="E2676" s="1">
        <f>IFERROR(__xludf.DUMMYFUNCTION("""COMPUTED_VALUE"""),59100.0)</f>
        <v>59100</v>
      </c>
      <c r="F2676" s="1">
        <f>IFERROR(__xludf.DUMMYFUNCTION("""COMPUTED_VALUE"""),9400.0)</f>
        <v>9400</v>
      </c>
    </row>
    <row r="2677">
      <c r="A2677" s="2">
        <f>IFERROR(__xludf.DUMMYFUNCTION("""COMPUTED_VALUE"""),44901.64583333333)</f>
        <v>44901.64583</v>
      </c>
      <c r="B2677" s="1">
        <f>IFERROR(__xludf.DUMMYFUNCTION("""COMPUTED_VALUE"""),59000.0)</f>
        <v>59000</v>
      </c>
      <c r="C2677" s="1">
        <f>IFERROR(__xludf.DUMMYFUNCTION("""COMPUTED_VALUE"""),59000.0)</f>
        <v>59000</v>
      </c>
      <c r="D2677" s="1">
        <f>IFERROR(__xludf.DUMMYFUNCTION("""COMPUTED_VALUE"""),58200.0)</f>
        <v>58200</v>
      </c>
      <c r="E2677" s="1">
        <f>IFERROR(__xludf.DUMMYFUNCTION("""COMPUTED_VALUE"""),58400.0)</f>
        <v>58400</v>
      </c>
      <c r="F2677" s="1">
        <f>IFERROR(__xludf.DUMMYFUNCTION("""COMPUTED_VALUE"""),6367.0)</f>
        <v>6367</v>
      </c>
    </row>
    <row r="2678">
      <c r="A2678" s="2">
        <f>IFERROR(__xludf.DUMMYFUNCTION("""COMPUTED_VALUE"""),44902.64583333333)</f>
        <v>44902.64583</v>
      </c>
      <c r="B2678" s="1">
        <f>IFERROR(__xludf.DUMMYFUNCTION("""COMPUTED_VALUE"""),58100.0)</f>
        <v>58100</v>
      </c>
      <c r="C2678" s="1">
        <f>IFERROR(__xludf.DUMMYFUNCTION("""COMPUTED_VALUE"""),58400.0)</f>
        <v>58400</v>
      </c>
      <c r="D2678" s="1">
        <f>IFERROR(__xludf.DUMMYFUNCTION("""COMPUTED_VALUE"""),57500.0)</f>
        <v>57500</v>
      </c>
      <c r="E2678" s="1">
        <f>IFERROR(__xludf.DUMMYFUNCTION("""COMPUTED_VALUE"""),57500.0)</f>
        <v>57500</v>
      </c>
      <c r="F2678" s="1">
        <f>IFERROR(__xludf.DUMMYFUNCTION("""COMPUTED_VALUE"""),9664.0)</f>
        <v>9664</v>
      </c>
    </row>
    <row r="2679">
      <c r="A2679" s="2">
        <f>IFERROR(__xludf.DUMMYFUNCTION("""COMPUTED_VALUE"""),44903.64583333333)</f>
        <v>44903.64583</v>
      </c>
      <c r="B2679" s="1">
        <f>IFERROR(__xludf.DUMMYFUNCTION("""COMPUTED_VALUE"""),57100.0)</f>
        <v>57100</v>
      </c>
      <c r="C2679" s="1">
        <f>IFERROR(__xludf.DUMMYFUNCTION("""COMPUTED_VALUE"""),57800.0)</f>
        <v>57800</v>
      </c>
      <c r="D2679" s="1">
        <f>IFERROR(__xludf.DUMMYFUNCTION("""COMPUTED_VALUE"""),56700.0)</f>
        <v>56700</v>
      </c>
      <c r="E2679" s="1">
        <f>IFERROR(__xludf.DUMMYFUNCTION("""COMPUTED_VALUE"""),57100.0)</f>
        <v>57100</v>
      </c>
      <c r="F2679" s="1">
        <f>IFERROR(__xludf.DUMMYFUNCTION("""COMPUTED_VALUE"""),7828.0)</f>
        <v>7828</v>
      </c>
    </row>
    <row r="2680">
      <c r="A2680" s="2">
        <f>IFERROR(__xludf.DUMMYFUNCTION("""COMPUTED_VALUE"""),44904.64583333333)</f>
        <v>44904.64583</v>
      </c>
      <c r="B2680" s="1">
        <f>IFERROR(__xludf.DUMMYFUNCTION("""COMPUTED_VALUE"""),57300.0)</f>
        <v>57300</v>
      </c>
      <c r="C2680" s="1">
        <f>IFERROR(__xludf.DUMMYFUNCTION("""COMPUTED_VALUE"""),57700.0)</f>
        <v>57700</v>
      </c>
      <c r="D2680" s="1">
        <f>IFERROR(__xludf.DUMMYFUNCTION("""COMPUTED_VALUE"""),56900.0)</f>
        <v>56900</v>
      </c>
      <c r="E2680" s="1">
        <f>IFERROR(__xludf.DUMMYFUNCTION("""COMPUTED_VALUE"""),57700.0)</f>
        <v>57700</v>
      </c>
      <c r="F2680" s="1">
        <f>IFERROR(__xludf.DUMMYFUNCTION("""COMPUTED_VALUE"""),9880.0)</f>
        <v>9880</v>
      </c>
    </row>
    <row r="2681">
      <c r="A2681" s="2">
        <f>IFERROR(__xludf.DUMMYFUNCTION("""COMPUTED_VALUE"""),44907.64583333333)</f>
        <v>44907.64583</v>
      </c>
      <c r="B2681" s="1">
        <f>IFERROR(__xludf.DUMMYFUNCTION("""COMPUTED_VALUE"""),57700.0)</f>
        <v>57700</v>
      </c>
      <c r="C2681" s="1">
        <f>IFERROR(__xludf.DUMMYFUNCTION("""COMPUTED_VALUE"""),59200.0)</f>
        <v>59200</v>
      </c>
      <c r="D2681" s="1">
        <f>IFERROR(__xludf.DUMMYFUNCTION("""COMPUTED_VALUE"""),57400.0)</f>
        <v>57400</v>
      </c>
      <c r="E2681" s="1">
        <f>IFERROR(__xludf.DUMMYFUNCTION("""COMPUTED_VALUE"""),59000.0)</f>
        <v>59000</v>
      </c>
      <c r="F2681" s="1">
        <f>IFERROR(__xludf.DUMMYFUNCTION("""COMPUTED_VALUE"""),20056.0)</f>
        <v>20056</v>
      </c>
    </row>
    <row r="2682">
      <c r="A2682" s="2">
        <f>IFERROR(__xludf.DUMMYFUNCTION("""COMPUTED_VALUE"""),44908.64583333333)</f>
        <v>44908.64583</v>
      </c>
      <c r="B2682" s="1">
        <f>IFERROR(__xludf.DUMMYFUNCTION("""COMPUTED_VALUE"""),58800.0)</f>
        <v>58800</v>
      </c>
      <c r="C2682" s="1">
        <f>IFERROR(__xludf.DUMMYFUNCTION("""COMPUTED_VALUE"""),60000.0)</f>
        <v>60000</v>
      </c>
      <c r="D2682" s="1">
        <f>IFERROR(__xludf.DUMMYFUNCTION("""COMPUTED_VALUE"""),58700.0)</f>
        <v>58700</v>
      </c>
      <c r="E2682" s="1">
        <f>IFERROR(__xludf.DUMMYFUNCTION("""COMPUTED_VALUE"""),59400.0)</f>
        <v>59400</v>
      </c>
      <c r="F2682" s="1">
        <f>IFERROR(__xludf.DUMMYFUNCTION("""COMPUTED_VALUE"""),20556.0)</f>
        <v>20556</v>
      </c>
    </row>
    <row r="2683">
      <c r="A2683" s="2">
        <f>IFERROR(__xludf.DUMMYFUNCTION("""COMPUTED_VALUE"""),44909.64583333333)</f>
        <v>44909.64583</v>
      </c>
      <c r="B2683" s="1">
        <f>IFERROR(__xludf.DUMMYFUNCTION("""COMPUTED_VALUE"""),59400.0)</f>
        <v>59400</v>
      </c>
      <c r="C2683" s="1">
        <f>IFERROR(__xludf.DUMMYFUNCTION("""COMPUTED_VALUE"""),60200.0)</f>
        <v>60200</v>
      </c>
      <c r="D2683" s="1">
        <f>IFERROR(__xludf.DUMMYFUNCTION("""COMPUTED_VALUE"""),59400.0)</f>
        <v>59400</v>
      </c>
      <c r="E2683" s="1">
        <f>IFERROR(__xludf.DUMMYFUNCTION("""COMPUTED_VALUE"""),59900.0)</f>
        <v>59900</v>
      </c>
      <c r="F2683" s="1">
        <f>IFERROR(__xludf.DUMMYFUNCTION("""COMPUTED_VALUE"""),14640.0)</f>
        <v>14640</v>
      </c>
    </row>
    <row r="2684">
      <c r="A2684" s="2">
        <f>IFERROR(__xludf.DUMMYFUNCTION("""COMPUTED_VALUE"""),44910.64583333333)</f>
        <v>44910.64583</v>
      </c>
      <c r="B2684" s="1">
        <f>IFERROR(__xludf.DUMMYFUNCTION("""COMPUTED_VALUE"""),60000.0)</f>
        <v>60000</v>
      </c>
      <c r="C2684" s="1">
        <f>IFERROR(__xludf.DUMMYFUNCTION("""COMPUTED_VALUE"""),60200.0)</f>
        <v>60200</v>
      </c>
      <c r="D2684" s="1">
        <f>IFERROR(__xludf.DUMMYFUNCTION("""COMPUTED_VALUE"""),59300.0)</f>
        <v>59300</v>
      </c>
      <c r="E2684" s="1">
        <f>IFERROR(__xludf.DUMMYFUNCTION("""COMPUTED_VALUE"""),59900.0)</f>
        <v>59900</v>
      </c>
      <c r="F2684" s="1">
        <f>IFERROR(__xludf.DUMMYFUNCTION("""COMPUTED_VALUE"""),11328.0)</f>
        <v>11328</v>
      </c>
    </row>
    <row r="2685">
      <c r="A2685" s="2">
        <f>IFERROR(__xludf.DUMMYFUNCTION("""COMPUTED_VALUE"""),44911.64583333333)</f>
        <v>44911.64583</v>
      </c>
      <c r="B2685" s="1">
        <f>IFERROR(__xludf.DUMMYFUNCTION("""COMPUTED_VALUE"""),58500.0)</f>
        <v>58500</v>
      </c>
      <c r="C2685" s="1">
        <f>IFERROR(__xludf.DUMMYFUNCTION("""COMPUTED_VALUE"""),60200.0)</f>
        <v>60200</v>
      </c>
      <c r="D2685" s="1">
        <f>IFERROR(__xludf.DUMMYFUNCTION("""COMPUTED_VALUE"""),58500.0)</f>
        <v>58500</v>
      </c>
      <c r="E2685" s="1">
        <f>IFERROR(__xludf.DUMMYFUNCTION("""COMPUTED_VALUE"""),60100.0)</f>
        <v>60100</v>
      </c>
      <c r="F2685" s="1">
        <f>IFERROR(__xludf.DUMMYFUNCTION("""COMPUTED_VALUE"""),17047.0)</f>
        <v>17047</v>
      </c>
    </row>
    <row r="2686">
      <c r="A2686" s="2">
        <f>IFERROR(__xludf.DUMMYFUNCTION("""COMPUTED_VALUE"""),44914.64583333333)</f>
        <v>44914.64583</v>
      </c>
      <c r="B2686" s="1">
        <f>IFERROR(__xludf.DUMMYFUNCTION("""COMPUTED_VALUE"""),60000.0)</f>
        <v>60000</v>
      </c>
      <c r="C2686" s="1">
        <f>IFERROR(__xludf.DUMMYFUNCTION("""COMPUTED_VALUE"""),60000.0)</f>
        <v>60000</v>
      </c>
      <c r="D2686" s="1">
        <f>IFERROR(__xludf.DUMMYFUNCTION("""COMPUTED_VALUE"""),59300.0)</f>
        <v>59300</v>
      </c>
      <c r="E2686" s="1">
        <f>IFERROR(__xludf.DUMMYFUNCTION("""COMPUTED_VALUE"""),59300.0)</f>
        <v>59300</v>
      </c>
      <c r="F2686" s="1">
        <f>IFERROR(__xludf.DUMMYFUNCTION("""COMPUTED_VALUE"""),8413.0)</f>
        <v>8413</v>
      </c>
    </row>
    <row r="2687">
      <c r="A2687" s="2">
        <f>IFERROR(__xludf.DUMMYFUNCTION("""COMPUTED_VALUE"""),44915.64583333333)</f>
        <v>44915.64583</v>
      </c>
      <c r="B2687" s="1">
        <f>IFERROR(__xludf.DUMMYFUNCTION("""COMPUTED_VALUE"""),59300.0)</f>
        <v>59300</v>
      </c>
      <c r="C2687" s="1">
        <f>IFERROR(__xludf.DUMMYFUNCTION("""COMPUTED_VALUE"""),59800.0)</f>
        <v>59800</v>
      </c>
      <c r="D2687" s="1">
        <f>IFERROR(__xludf.DUMMYFUNCTION("""COMPUTED_VALUE"""),58500.0)</f>
        <v>58500</v>
      </c>
      <c r="E2687" s="1">
        <f>IFERROR(__xludf.DUMMYFUNCTION("""COMPUTED_VALUE"""),58600.0)</f>
        <v>58600</v>
      </c>
      <c r="F2687" s="1">
        <f>IFERROR(__xludf.DUMMYFUNCTION("""COMPUTED_VALUE"""),11746.0)</f>
        <v>11746</v>
      </c>
    </row>
    <row r="2688">
      <c r="A2688" s="2">
        <f>IFERROR(__xludf.DUMMYFUNCTION("""COMPUTED_VALUE"""),44916.64583333333)</f>
        <v>44916.64583</v>
      </c>
      <c r="B2688" s="1">
        <f>IFERROR(__xludf.DUMMYFUNCTION("""COMPUTED_VALUE"""),58800.0)</f>
        <v>58800</v>
      </c>
      <c r="C2688" s="1">
        <f>IFERROR(__xludf.DUMMYFUNCTION("""COMPUTED_VALUE"""),59100.0)</f>
        <v>59100</v>
      </c>
      <c r="D2688" s="1">
        <f>IFERROR(__xludf.DUMMYFUNCTION("""COMPUTED_VALUE"""),58100.0)</f>
        <v>58100</v>
      </c>
      <c r="E2688" s="1">
        <f>IFERROR(__xludf.DUMMYFUNCTION("""COMPUTED_VALUE"""),58200.0)</f>
        <v>58200</v>
      </c>
      <c r="F2688" s="1">
        <f>IFERROR(__xludf.DUMMYFUNCTION("""COMPUTED_VALUE"""),9491.0)</f>
        <v>9491</v>
      </c>
    </row>
    <row r="2689">
      <c r="A2689" s="2">
        <f>IFERROR(__xludf.DUMMYFUNCTION("""COMPUTED_VALUE"""),44917.64583333333)</f>
        <v>44917.64583</v>
      </c>
      <c r="B2689" s="1">
        <f>IFERROR(__xludf.DUMMYFUNCTION("""COMPUTED_VALUE"""),58700.0)</f>
        <v>58700</v>
      </c>
      <c r="C2689" s="1">
        <f>IFERROR(__xludf.DUMMYFUNCTION("""COMPUTED_VALUE"""),58900.0)</f>
        <v>58900</v>
      </c>
      <c r="D2689" s="1">
        <f>IFERROR(__xludf.DUMMYFUNCTION("""COMPUTED_VALUE"""),58500.0)</f>
        <v>58500</v>
      </c>
      <c r="E2689" s="1">
        <f>IFERROR(__xludf.DUMMYFUNCTION("""COMPUTED_VALUE"""),58800.0)</f>
        <v>58800</v>
      </c>
      <c r="F2689" s="1">
        <f>IFERROR(__xludf.DUMMYFUNCTION("""COMPUTED_VALUE"""),7145.0)</f>
        <v>7145</v>
      </c>
    </row>
    <row r="2690">
      <c r="A2690" s="2">
        <f>IFERROR(__xludf.DUMMYFUNCTION("""COMPUTED_VALUE"""),44918.64583333333)</f>
        <v>44918.64583</v>
      </c>
      <c r="B2690" s="1">
        <f>IFERROR(__xludf.DUMMYFUNCTION("""COMPUTED_VALUE"""),58500.0)</f>
        <v>58500</v>
      </c>
      <c r="C2690" s="1">
        <f>IFERROR(__xludf.DUMMYFUNCTION("""COMPUTED_VALUE"""),59100.0)</f>
        <v>59100</v>
      </c>
      <c r="D2690" s="1">
        <f>IFERROR(__xludf.DUMMYFUNCTION("""COMPUTED_VALUE"""),58300.0)</f>
        <v>58300</v>
      </c>
      <c r="E2690" s="1">
        <f>IFERROR(__xludf.DUMMYFUNCTION("""COMPUTED_VALUE"""),58800.0)</f>
        <v>58800</v>
      </c>
      <c r="F2690" s="1">
        <f>IFERROR(__xludf.DUMMYFUNCTION("""COMPUTED_VALUE"""),14390.0)</f>
        <v>14390</v>
      </c>
    </row>
    <row r="2691">
      <c r="A2691" s="2">
        <f>IFERROR(__xludf.DUMMYFUNCTION("""COMPUTED_VALUE"""),44921.64583333333)</f>
        <v>44921.64583</v>
      </c>
      <c r="B2691" s="1">
        <f>IFERROR(__xludf.DUMMYFUNCTION("""COMPUTED_VALUE"""),58900.0)</f>
        <v>58900</v>
      </c>
      <c r="C2691" s="1">
        <f>IFERROR(__xludf.DUMMYFUNCTION("""COMPUTED_VALUE"""),59500.0)</f>
        <v>59500</v>
      </c>
      <c r="D2691" s="1">
        <f>IFERROR(__xludf.DUMMYFUNCTION("""COMPUTED_VALUE"""),58900.0)</f>
        <v>58900</v>
      </c>
      <c r="E2691" s="1">
        <f>IFERROR(__xludf.DUMMYFUNCTION("""COMPUTED_VALUE"""),59500.0)</f>
        <v>59500</v>
      </c>
      <c r="F2691" s="1">
        <f>IFERROR(__xludf.DUMMYFUNCTION("""COMPUTED_VALUE"""),42836.0)</f>
        <v>42836</v>
      </c>
    </row>
    <row r="2692">
      <c r="A2692" s="2">
        <f>IFERROR(__xludf.DUMMYFUNCTION("""COMPUTED_VALUE"""),44922.64583333333)</f>
        <v>44922.64583</v>
      </c>
      <c r="B2692" s="1">
        <f>IFERROR(__xludf.DUMMYFUNCTION("""COMPUTED_VALUE"""),59600.0)</f>
        <v>59600</v>
      </c>
      <c r="C2692" s="1">
        <f>IFERROR(__xludf.DUMMYFUNCTION("""COMPUTED_VALUE"""),59800.0)</f>
        <v>59800</v>
      </c>
      <c r="D2692" s="1">
        <f>IFERROR(__xludf.DUMMYFUNCTION("""COMPUTED_VALUE"""),59200.0)</f>
        <v>59200</v>
      </c>
      <c r="E2692" s="1">
        <f>IFERROR(__xludf.DUMMYFUNCTION("""COMPUTED_VALUE"""),59300.0)</f>
        <v>59300</v>
      </c>
      <c r="F2692" s="1">
        <f>IFERROR(__xludf.DUMMYFUNCTION("""COMPUTED_VALUE"""),43317.0)</f>
        <v>43317</v>
      </c>
    </row>
    <row r="2693">
      <c r="A2693" s="2">
        <f>IFERROR(__xludf.DUMMYFUNCTION("""COMPUTED_VALUE"""),44923.64583333333)</f>
        <v>44923.64583</v>
      </c>
      <c r="B2693" s="1">
        <f>IFERROR(__xludf.DUMMYFUNCTION("""COMPUTED_VALUE"""),55000.0)</f>
        <v>55000</v>
      </c>
      <c r="C2693" s="1">
        <f>IFERROR(__xludf.DUMMYFUNCTION("""COMPUTED_VALUE"""),56500.0)</f>
        <v>56500</v>
      </c>
      <c r="D2693" s="1">
        <f>IFERROR(__xludf.DUMMYFUNCTION("""COMPUTED_VALUE"""),54800.0)</f>
        <v>54800</v>
      </c>
      <c r="E2693" s="1">
        <f>IFERROR(__xludf.DUMMYFUNCTION("""COMPUTED_VALUE"""),55600.0)</f>
        <v>55600</v>
      </c>
      <c r="F2693" s="1">
        <f>IFERROR(__xludf.DUMMYFUNCTION("""COMPUTED_VALUE"""),29804.0)</f>
        <v>29804</v>
      </c>
    </row>
    <row r="2694">
      <c r="A2694" s="2">
        <f>IFERROR(__xludf.DUMMYFUNCTION("""COMPUTED_VALUE"""),44924.64583333333)</f>
        <v>44924.64583</v>
      </c>
      <c r="B2694" s="1">
        <f>IFERROR(__xludf.DUMMYFUNCTION("""COMPUTED_VALUE"""),55800.0)</f>
        <v>55800</v>
      </c>
      <c r="C2694" s="1">
        <f>IFERROR(__xludf.DUMMYFUNCTION("""COMPUTED_VALUE"""),55800.0)</f>
        <v>55800</v>
      </c>
      <c r="D2694" s="1">
        <f>IFERROR(__xludf.DUMMYFUNCTION("""COMPUTED_VALUE"""),53800.0)</f>
        <v>53800</v>
      </c>
      <c r="E2694" s="1">
        <f>IFERROR(__xludf.DUMMYFUNCTION("""COMPUTED_VALUE"""),53900.0)</f>
        <v>53900</v>
      </c>
      <c r="F2694" s="1">
        <f>IFERROR(__xludf.DUMMYFUNCTION("""COMPUTED_VALUE"""),34498.0)</f>
        <v>34498</v>
      </c>
    </row>
    <row r="2695">
      <c r="A2695" s="2">
        <f>IFERROR(__xludf.DUMMYFUNCTION("""COMPUTED_VALUE"""),44928.64583333333)</f>
        <v>44928.64583</v>
      </c>
      <c r="B2695" s="1">
        <f>IFERROR(__xludf.DUMMYFUNCTION("""COMPUTED_VALUE"""),53900.0)</f>
        <v>53900</v>
      </c>
      <c r="C2695" s="1">
        <f>IFERROR(__xludf.DUMMYFUNCTION("""COMPUTED_VALUE"""),54000.0)</f>
        <v>54000</v>
      </c>
      <c r="D2695" s="1">
        <f>IFERROR(__xludf.DUMMYFUNCTION("""COMPUTED_VALUE"""),51200.0)</f>
        <v>51200</v>
      </c>
      <c r="E2695" s="1">
        <f>IFERROR(__xludf.DUMMYFUNCTION("""COMPUTED_VALUE"""),51700.0)</f>
        <v>51700</v>
      </c>
      <c r="F2695" s="1">
        <f>IFERROR(__xludf.DUMMYFUNCTION("""COMPUTED_VALUE"""),13674.0)</f>
        <v>13674</v>
      </c>
    </row>
    <row r="2696">
      <c r="A2696" s="2">
        <f>IFERROR(__xludf.DUMMYFUNCTION("""COMPUTED_VALUE"""),44929.64583333333)</f>
        <v>44929.64583</v>
      </c>
      <c r="B2696" s="1">
        <f>IFERROR(__xludf.DUMMYFUNCTION("""COMPUTED_VALUE"""),52000.0)</f>
        <v>52000</v>
      </c>
      <c r="C2696" s="1">
        <f>IFERROR(__xludf.DUMMYFUNCTION("""COMPUTED_VALUE"""),52000.0)</f>
        <v>52000</v>
      </c>
      <c r="D2696" s="1">
        <f>IFERROR(__xludf.DUMMYFUNCTION("""COMPUTED_VALUE"""),49550.0)</f>
        <v>49550</v>
      </c>
      <c r="E2696" s="1">
        <f>IFERROR(__xludf.DUMMYFUNCTION("""COMPUTED_VALUE"""),50600.0)</f>
        <v>50600</v>
      </c>
      <c r="F2696" s="1">
        <f>IFERROR(__xludf.DUMMYFUNCTION("""COMPUTED_VALUE"""),16593.0)</f>
        <v>16593</v>
      </c>
    </row>
    <row r="2697">
      <c r="A2697" s="2">
        <f>IFERROR(__xludf.DUMMYFUNCTION("""COMPUTED_VALUE"""),44930.64583333333)</f>
        <v>44930.64583</v>
      </c>
      <c r="B2697" s="1">
        <f>IFERROR(__xludf.DUMMYFUNCTION("""COMPUTED_VALUE"""),50100.0)</f>
        <v>50100</v>
      </c>
      <c r="C2697" s="1">
        <f>IFERROR(__xludf.DUMMYFUNCTION("""COMPUTED_VALUE"""),50500.0)</f>
        <v>50500</v>
      </c>
      <c r="D2697" s="1">
        <f>IFERROR(__xludf.DUMMYFUNCTION("""COMPUTED_VALUE"""),49300.0)</f>
        <v>49300</v>
      </c>
      <c r="E2697" s="1">
        <f>IFERROR(__xludf.DUMMYFUNCTION("""COMPUTED_VALUE"""),50500.0)</f>
        <v>50500</v>
      </c>
      <c r="F2697" s="1">
        <f>IFERROR(__xludf.DUMMYFUNCTION("""COMPUTED_VALUE"""),13682.0)</f>
        <v>13682</v>
      </c>
    </row>
    <row r="2698">
      <c r="A2698" s="2">
        <f>IFERROR(__xludf.DUMMYFUNCTION("""COMPUTED_VALUE"""),44931.64583333333)</f>
        <v>44931.64583</v>
      </c>
      <c r="B2698" s="1">
        <f>IFERROR(__xludf.DUMMYFUNCTION("""COMPUTED_VALUE"""),50400.0)</f>
        <v>50400</v>
      </c>
      <c r="C2698" s="1">
        <f>IFERROR(__xludf.DUMMYFUNCTION("""COMPUTED_VALUE"""),50400.0)</f>
        <v>50400</v>
      </c>
      <c r="D2698" s="1">
        <f>IFERROR(__xludf.DUMMYFUNCTION("""COMPUTED_VALUE"""),49550.0)</f>
        <v>49550</v>
      </c>
      <c r="E2698" s="1">
        <f>IFERROR(__xludf.DUMMYFUNCTION("""COMPUTED_VALUE"""),49950.0)</f>
        <v>49950</v>
      </c>
      <c r="F2698" s="1">
        <f>IFERROR(__xludf.DUMMYFUNCTION("""COMPUTED_VALUE"""),11104.0)</f>
        <v>11104</v>
      </c>
    </row>
    <row r="2699">
      <c r="A2699" s="2">
        <f>IFERROR(__xludf.DUMMYFUNCTION("""COMPUTED_VALUE"""),44932.64583333333)</f>
        <v>44932.64583</v>
      </c>
      <c r="B2699" s="1">
        <f>IFERROR(__xludf.DUMMYFUNCTION("""COMPUTED_VALUE"""),50000.0)</f>
        <v>50000</v>
      </c>
      <c r="C2699" s="1">
        <f>IFERROR(__xludf.DUMMYFUNCTION("""COMPUTED_VALUE"""),51200.0)</f>
        <v>51200</v>
      </c>
      <c r="D2699" s="1">
        <f>IFERROR(__xludf.DUMMYFUNCTION("""COMPUTED_VALUE"""),50000.0)</f>
        <v>50000</v>
      </c>
      <c r="E2699" s="1">
        <f>IFERROR(__xludf.DUMMYFUNCTION("""COMPUTED_VALUE"""),51000.0)</f>
        <v>51000</v>
      </c>
      <c r="F2699" s="1">
        <f>IFERROR(__xludf.DUMMYFUNCTION("""COMPUTED_VALUE"""),10498.0)</f>
        <v>10498</v>
      </c>
    </row>
    <row r="2700">
      <c r="A2700" s="2">
        <f>IFERROR(__xludf.DUMMYFUNCTION("""COMPUTED_VALUE"""),44935.64583333333)</f>
        <v>44935.64583</v>
      </c>
      <c r="B2700" s="1">
        <f>IFERROR(__xludf.DUMMYFUNCTION("""COMPUTED_VALUE"""),51200.0)</f>
        <v>51200</v>
      </c>
      <c r="C2700" s="1">
        <f>IFERROR(__xludf.DUMMYFUNCTION("""COMPUTED_VALUE"""),51700.0)</f>
        <v>51700</v>
      </c>
      <c r="D2700" s="1">
        <f>IFERROR(__xludf.DUMMYFUNCTION("""COMPUTED_VALUE"""),50500.0)</f>
        <v>50500</v>
      </c>
      <c r="E2700" s="1">
        <f>IFERROR(__xludf.DUMMYFUNCTION("""COMPUTED_VALUE"""),51500.0)</f>
        <v>51500</v>
      </c>
      <c r="F2700" s="1">
        <f>IFERROR(__xludf.DUMMYFUNCTION("""COMPUTED_VALUE"""),10657.0)</f>
        <v>10657</v>
      </c>
    </row>
    <row r="2701">
      <c r="A2701" s="2">
        <f>IFERROR(__xludf.DUMMYFUNCTION("""COMPUTED_VALUE"""),44936.64583333333)</f>
        <v>44936.64583</v>
      </c>
      <c r="B2701" s="1">
        <f>IFERROR(__xludf.DUMMYFUNCTION("""COMPUTED_VALUE"""),51600.0)</f>
        <v>51600</v>
      </c>
      <c r="C2701" s="1">
        <f>IFERROR(__xludf.DUMMYFUNCTION("""COMPUTED_VALUE"""),52300.0)</f>
        <v>52300</v>
      </c>
      <c r="D2701" s="1">
        <f>IFERROR(__xludf.DUMMYFUNCTION("""COMPUTED_VALUE"""),51100.0)</f>
        <v>51100</v>
      </c>
      <c r="E2701" s="1">
        <f>IFERROR(__xludf.DUMMYFUNCTION("""COMPUTED_VALUE"""),51600.0)</f>
        <v>51600</v>
      </c>
      <c r="F2701" s="1">
        <f>IFERROR(__xludf.DUMMYFUNCTION("""COMPUTED_VALUE"""),10889.0)</f>
        <v>10889</v>
      </c>
    </row>
    <row r="2702">
      <c r="A2702" s="2">
        <f>IFERROR(__xludf.DUMMYFUNCTION("""COMPUTED_VALUE"""),44937.64583333333)</f>
        <v>44937.64583</v>
      </c>
      <c r="B2702" s="1">
        <f>IFERROR(__xludf.DUMMYFUNCTION("""COMPUTED_VALUE"""),51600.0)</f>
        <v>51600</v>
      </c>
      <c r="C2702" s="1">
        <f>IFERROR(__xludf.DUMMYFUNCTION("""COMPUTED_VALUE"""),51900.0)</f>
        <v>51900</v>
      </c>
      <c r="D2702" s="1">
        <f>IFERROR(__xludf.DUMMYFUNCTION("""COMPUTED_VALUE"""),51300.0)</f>
        <v>51300</v>
      </c>
      <c r="E2702" s="1">
        <f>IFERROR(__xludf.DUMMYFUNCTION("""COMPUTED_VALUE"""),51700.0)</f>
        <v>51700</v>
      </c>
      <c r="F2702" s="1">
        <f>IFERROR(__xludf.DUMMYFUNCTION("""COMPUTED_VALUE"""),4330.0)</f>
        <v>4330</v>
      </c>
    </row>
    <row r="2703">
      <c r="A2703" s="2">
        <f>IFERROR(__xludf.DUMMYFUNCTION("""COMPUTED_VALUE"""),44938.64583333333)</f>
        <v>44938.64583</v>
      </c>
      <c r="B2703" s="1">
        <f>IFERROR(__xludf.DUMMYFUNCTION("""COMPUTED_VALUE"""),51900.0)</f>
        <v>51900</v>
      </c>
      <c r="C2703" s="1">
        <f>IFERROR(__xludf.DUMMYFUNCTION("""COMPUTED_VALUE"""),52500.0)</f>
        <v>52500</v>
      </c>
      <c r="D2703" s="1">
        <f>IFERROR(__xludf.DUMMYFUNCTION("""COMPUTED_VALUE"""),51600.0)</f>
        <v>51600</v>
      </c>
      <c r="E2703" s="1">
        <f>IFERROR(__xludf.DUMMYFUNCTION("""COMPUTED_VALUE"""),52200.0)</f>
        <v>52200</v>
      </c>
      <c r="F2703" s="1">
        <f>IFERROR(__xludf.DUMMYFUNCTION("""COMPUTED_VALUE"""),6112.0)</f>
        <v>6112</v>
      </c>
    </row>
    <row r="2704">
      <c r="A2704" s="2">
        <f>IFERROR(__xludf.DUMMYFUNCTION("""COMPUTED_VALUE"""),44939.64583333333)</f>
        <v>44939.64583</v>
      </c>
      <c r="B2704" s="1">
        <f>IFERROR(__xludf.DUMMYFUNCTION("""COMPUTED_VALUE"""),52600.0)</f>
        <v>52600</v>
      </c>
      <c r="C2704" s="1">
        <f>IFERROR(__xludf.DUMMYFUNCTION("""COMPUTED_VALUE"""),53600.0)</f>
        <v>53600</v>
      </c>
      <c r="D2704" s="1">
        <f>IFERROR(__xludf.DUMMYFUNCTION("""COMPUTED_VALUE"""),52500.0)</f>
        <v>52500</v>
      </c>
      <c r="E2704" s="1">
        <f>IFERROR(__xludf.DUMMYFUNCTION("""COMPUTED_VALUE"""),53400.0)</f>
        <v>53400</v>
      </c>
      <c r="F2704" s="1">
        <f>IFERROR(__xludf.DUMMYFUNCTION("""COMPUTED_VALUE"""),7190.0)</f>
        <v>7190</v>
      </c>
    </row>
    <row r="2705">
      <c r="A2705" s="2">
        <f>IFERROR(__xludf.DUMMYFUNCTION("""COMPUTED_VALUE"""),44942.64583333333)</f>
        <v>44942.64583</v>
      </c>
      <c r="B2705" s="1">
        <f>IFERROR(__xludf.DUMMYFUNCTION("""COMPUTED_VALUE"""),53900.0)</f>
        <v>53900</v>
      </c>
      <c r="C2705" s="1">
        <f>IFERROR(__xludf.DUMMYFUNCTION("""COMPUTED_VALUE"""),54000.0)</f>
        <v>54000</v>
      </c>
      <c r="D2705" s="1">
        <f>IFERROR(__xludf.DUMMYFUNCTION("""COMPUTED_VALUE"""),53400.0)</f>
        <v>53400</v>
      </c>
      <c r="E2705" s="1">
        <f>IFERROR(__xludf.DUMMYFUNCTION("""COMPUTED_VALUE"""),53800.0)</f>
        <v>53800</v>
      </c>
      <c r="F2705" s="1">
        <f>IFERROR(__xludf.DUMMYFUNCTION("""COMPUTED_VALUE"""),4969.0)</f>
        <v>4969</v>
      </c>
    </row>
    <row r="2706">
      <c r="A2706" s="2">
        <f>IFERROR(__xludf.DUMMYFUNCTION("""COMPUTED_VALUE"""),44943.64583333333)</f>
        <v>44943.64583</v>
      </c>
      <c r="B2706" s="1">
        <f>IFERROR(__xludf.DUMMYFUNCTION("""COMPUTED_VALUE"""),53500.0)</f>
        <v>53500</v>
      </c>
      <c r="C2706" s="1">
        <f>IFERROR(__xludf.DUMMYFUNCTION("""COMPUTED_VALUE"""),53500.0)</f>
        <v>53500</v>
      </c>
      <c r="D2706" s="1">
        <f>IFERROR(__xludf.DUMMYFUNCTION("""COMPUTED_VALUE"""),53100.0)</f>
        <v>53100</v>
      </c>
      <c r="E2706" s="1">
        <f>IFERROR(__xludf.DUMMYFUNCTION("""COMPUTED_VALUE"""),53300.0)</f>
        <v>53300</v>
      </c>
      <c r="F2706" s="1">
        <f>IFERROR(__xludf.DUMMYFUNCTION("""COMPUTED_VALUE"""),2936.0)</f>
        <v>2936</v>
      </c>
    </row>
    <row r="2707">
      <c r="A2707" s="2">
        <f>IFERROR(__xludf.DUMMYFUNCTION("""COMPUTED_VALUE"""),44944.64583333333)</f>
        <v>44944.64583</v>
      </c>
      <c r="B2707" s="1">
        <f>IFERROR(__xludf.DUMMYFUNCTION("""COMPUTED_VALUE"""),54100.0)</f>
        <v>54100</v>
      </c>
      <c r="C2707" s="1">
        <f>IFERROR(__xludf.DUMMYFUNCTION("""COMPUTED_VALUE"""),54100.0)</f>
        <v>54100</v>
      </c>
      <c r="D2707" s="1">
        <f>IFERROR(__xludf.DUMMYFUNCTION("""COMPUTED_VALUE"""),53200.0)</f>
        <v>53200</v>
      </c>
      <c r="E2707" s="1">
        <f>IFERROR(__xludf.DUMMYFUNCTION("""COMPUTED_VALUE"""),53200.0)</f>
        <v>53200</v>
      </c>
      <c r="F2707" s="1">
        <f>IFERROR(__xludf.DUMMYFUNCTION("""COMPUTED_VALUE"""),4827.0)</f>
        <v>4827</v>
      </c>
    </row>
    <row r="2708">
      <c r="A2708" s="2">
        <f>IFERROR(__xludf.DUMMYFUNCTION("""COMPUTED_VALUE"""),44945.64583333333)</f>
        <v>44945.64583</v>
      </c>
      <c r="B2708" s="1">
        <f>IFERROR(__xludf.DUMMYFUNCTION("""COMPUTED_VALUE"""),53200.0)</f>
        <v>53200</v>
      </c>
      <c r="C2708" s="1">
        <f>IFERROR(__xludf.DUMMYFUNCTION("""COMPUTED_VALUE"""),54300.0)</f>
        <v>54300</v>
      </c>
      <c r="D2708" s="1">
        <f>IFERROR(__xludf.DUMMYFUNCTION("""COMPUTED_VALUE"""),53000.0)</f>
        <v>53000</v>
      </c>
      <c r="E2708" s="1">
        <f>IFERROR(__xludf.DUMMYFUNCTION("""COMPUTED_VALUE"""),53700.0)</f>
        <v>53700</v>
      </c>
      <c r="F2708" s="1">
        <f>IFERROR(__xludf.DUMMYFUNCTION("""COMPUTED_VALUE"""),6454.0)</f>
        <v>6454</v>
      </c>
    </row>
    <row r="2709">
      <c r="A2709" s="2">
        <f>IFERROR(__xludf.DUMMYFUNCTION("""COMPUTED_VALUE"""),44946.64583333333)</f>
        <v>44946.64583</v>
      </c>
      <c r="B2709" s="1">
        <f>IFERROR(__xludf.DUMMYFUNCTION("""COMPUTED_VALUE"""),54600.0)</f>
        <v>54600</v>
      </c>
      <c r="C2709" s="1">
        <f>IFERROR(__xludf.DUMMYFUNCTION("""COMPUTED_VALUE"""),54900.0)</f>
        <v>54900</v>
      </c>
      <c r="D2709" s="1">
        <f>IFERROR(__xludf.DUMMYFUNCTION("""COMPUTED_VALUE"""),54000.0)</f>
        <v>54000</v>
      </c>
      <c r="E2709" s="1">
        <f>IFERROR(__xludf.DUMMYFUNCTION("""COMPUTED_VALUE"""),54400.0)</f>
        <v>54400</v>
      </c>
      <c r="F2709" s="1">
        <f>IFERROR(__xludf.DUMMYFUNCTION("""COMPUTED_VALUE"""),4245.0)</f>
        <v>4245</v>
      </c>
    </row>
    <row r="2710">
      <c r="A2710" s="2">
        <f>IFERROR(__xludf.DUMMYFUNCTION("""COMPUTED_VALUE"""),44951.64583333333)</f>
        <v>44951.64583</v>
      </c>
      <c r="B2710" s="1">
        <f>IFERROR(__xludf.DUMMYFUNCTION("""COMPUTED_VALUE"""),55000.0)</f>
        <v>55000</v>
      </c>
      <c r="C2710" s="1">
        <f>IFERROR(__xludf.DUMMYFUNCTION("""COMPUTED_VALUE"""),55100.0)</f>
        <v>55100</v>
      </c>
      <c r="D2710" s="1">
        <f>IFERROR(__xludf.DUMMYFUNCTION("""COMPUTED_VALUE"""),54000.0)</f>
        <v>54000</v>
      </c>
      <c r="E2710" s="1">
        <f>IFERROR(__xludf.DUMMYFUNCTION("""COMPUTED_VALUE"""),54600.0)</f>
        <v>54600</v>
      </c>
      <c r="F2710" s="1">
        <f>IFERROR(__xludf.DUMMYFUNCTION("""COMPUTED_VALUE"""),6109.0)</f>
        <v>6109</v>
      </c>
    </row>
    <row r="2711">
      <c r="A2711" s="2">
        <f>IFERROR(__xludf.DUMMYFUNCTION("""COMPUTED_VALUE"""),44952.64583333333)</f>
        <v>44952.64583</v>
      </c>
      <c r="B2711" s="1">
        <f>IFERROR(__xludf.DUMMYFUNCTION("""COMPUTED_VALUE"""),55000.0)</f>
        <v>55000</v>
      </c>
      <c r="C2711" s="1">
        <f>IFERROR(__xludf.DUMMYFUNCTION("""COMPUTED_VALUE"""),55000.0)</f>
        <v>55000</v>
      </c>
      <c r="D2711" s="1">
        <f>IFERROR(__xludf.DUMMYFUNCTION("""COMPUTED_VALUE"""),54100.0)</f>
        <v>54100</v>
      </c>
      <c r="E2711" s="1">
        <f>IFERROR(__xludf.DUMMYFUNCTION("""COMPUTED_VALUE"""),54700.0)</f>
        <v>54700</v>
      </c>
      <c r="F2711" s="1">
        <f>IFERROR(__xludf.DUMMYFUNCTION("""COMPUTED_VALUE"""),5519.0)</f>
        <v>5519</v>
      </c>
    </row>
    <row r="2712">
      <c r="A2712" s="2">
        <f>IFERROR(__xludf.DUMMYFUNCTION("""COMPUTED_VALUE"""),44953.64583333333)</f>
        <v>44953.64583</v>
      </c>
      <c r="B2712" s="1">
        <f>IFERROR(__xludf.DUMMYFUNCTION("""COMPUTED_VALUE"""),55300.0)</f>
        <v>55300</v>
      </c>
      <c r="C2712" s="1">
        <f>IFERROR(__xludf.DUMMYFUNCTION("""COMPUTED_VALUE"""),56200.0)</f>
        <v>56200</v>
      </c>
      <c r="D2712" s="1">
        <f>IFERROR(__xludf.DUMMYFUNCTION("""COMPUTED_VALUE"""),54800.0)</f>
        <v>54800</v>
      </c>
      <c r="E2712" s="1">
        <f>IFERROR(__xludf.DUMMYFUNCTION("""COMPUTED_VALUE"""),55700.0)</f>
        <v>55700</v>
      </c>
      <c r="F2712" s="1">
        <f>IFERROR(__xludf.DUMMYFUNCTION("""COMPUTED_VALUE"""),15145.0)</f>
        <v>15145</v>
      </c>
    </row>
    <row r="2713">
      <c r="A2713" s="2">
        <f>IFERROR(__xludf.DUMMYFUNCTION("""COMPUTED_VALUE"""),44956.64583333333)</f>
        <v>44956.64583</v>
      </c>
      <c r="B2713" s="1">
        <f>IFERROR(__xludf.DUMMYFUNCTION("""COMPUTED_VALUE"""),55500.0)</f>
        <v>55500</v>
      </c>
      <c r="C2713" s="1">
        <f>IFERROR(__xludf.DUMMYFUNCTION("""COMPUTED_VALUE"""),56200.0)</f>
        <v>56200</v>
      </c>
      <c r="D2713" s="1">
        <f>IFERROR(__xludf.DUMMYFUNCTION("""COMPUTED_VALUE"""),55000.0)</f>
        <v>55000</v>
      </c>
      <c r="E2713" s="1">
        <f>IFERROR(__xludf.DUMMYFUNCTION("""COMPUTED_VALUE"""),55600.0)</f>
        <v>55600</v>
      </c>
      <c r="F2713" s="1">
        <f>IFERROR(__xludf.DUMMYFUNCTION("""COMPUTED_VALUE"""),7565.0)</f>
        <v>7565</v>
      </c>
    </row>
    <row r="2714">
      <c r="A2714" s="2">
        <f>IFERROR(__xludf.DUMMYFUNCTION("""COMPUTED_VALUE"""),44957.64583333333)</f>
        <v>44957.64583</v>
      </c>
      <c r="B2714" s="1">
        <f>IFERROR(__xludf.DUMMYFUNCTION("""COMPUTED_VALUE"""),55700.0)</f>
        <v>55700</v>
      </c>
      <c r="C2714" s="1">
        <f>IFERROR(__xludf.DUMMYFUNCTION("""COMPUTED_VALUE"""),55700.0)</f>
        <v>55700</v>
      </c>
      <c r="D2714" s="1">
        <f>IFERROR(__xludf.DUMMYFUNCTION("""COMPUTED_VALUE"""),54100.0)</f>
        <v>54100</v>
      </c>
      <c r="E2714" s="1">
        <f>IFERROR(__xludf.DUMMYFUNCTION("""COMPUTED_VALUE"""),54100.0)</f>
        <v>54100</v>
      </c>
      <c r="F2714" s="1">
        <f>IFERROR(__xludf.DUMMYFUNCTION("""COMPUTED_VALUE"""),6255.0)</f>
        <v>6255</v>
      </c>
    </row>
    <row r="2715">
      <c r="A2715" s="2">
        <f>IFERROR(__xludf.DUMMYFUNCTION("""COMPUTED_VALUE"""),44958.64583333333)</f>
        <v>44958.64583</v>
      </c>
      <c r="B2715" s="1">
        <f>IFERROR(__xludf.DUMMYFUNCTION("""COMPUTED_VALUE"""),54200.0)</f>
        <v>54200</v>
      </c>
      <c r="C2715" s="1">
        <f>IFERROR(__xludf.DUMMYFUNCTION("""COMPUTED_VALUE"""),54700.0)</f>
        <v>54700</v>
      </c>
      <c r="D2715" s="1">
        <f>IFERROR(__xludf.DUMMYFUNCTION("""COMPUTED_VALUE"""),53800.0)</f>
        <v>53800</v>
      </c>
      <c r="E2715" s="1">
        <f>IFERROR(__xludf.DUMMYFUNCTION("""COMPUTED_VALUE"""),53900.0)</f>
        <v>53900</v>
      </c>
      <c r="F2715" s="1">
        <f>IFERROR(__xludf.DUMMYFUNCTION("""COMPUTED_VALUE"""),9114.0)</f>
        <v>9114</v>
      </c>
    </row>
    <row r="2716">
      <c r="A2716" s="2">
        <f>IFERROR(__xludf.DUMMYFUNCTION("""COMPUTED_VALUE"""),44959.64583333333)</f>
        <v>44959.64583</v>
      </c>
      <c r="B2716" s="1">
        <f>IFERROR(__xludf.DUMMYFUNCTION("""COMPUTED_VALUE"""),54000.0)</f>
        <v>54000</v>
      </c>
      <c r="C2716" s="1">
        <f>IFERROR(__xludf.DUMMYFUNCTION("""COMPUTED_VALUE"""),54400.0)</f>
        <v>54400</v>
      </c>
      <c r="D2716" s="1">
        <f>IFERROR(__xludf.DUMMYFUNCTION("""COMPUTED_VALUE"""),53700.0)</f>
        <v>53700</v>
      </c>
      <c r="E2716" s="1">
        <f>IFERROR(__xludf.DUMMYFUNCTION("""COMPUTED_VALUE"""),54000.0)</f>
        <v>54000</v>
      </c>
      <c r="F2716" s="1">
        <f>IFERROR(__xludf.DUMMYFUNCTION("""COMPUTED_VALUE"""),6880.0)</f>
        <v>6880</v>
      </c>
    </row>
    <row r="2717">
      <c r="A2717" s="2">
        <f>IFERROR(__xludf.DUMMYFUNCTION("""COMPUTED_VALUE"""),44960.64583333333)</f>
        <v>44960.64583</v>
      </c>
      <c r="B2717" s="1">
        <f>IFERROR(__xludf.DUMMYFUNCTION("""COMPUTED_VALUE"""),54900.0)</f>
        <v>54900</v>
      </c>
      <c r="C2717" s="1">
        <f>IFERROR(__xludf.DUMMYFUNCTION("""COMPUTED_VALUE"""),54900.0)</f>
        <v>54900</v>
      </c>
      <c r="D2717" s="1">
        <f>IFERROR(__xludf.DUMMYFUNCTION("""COMPUTED_VALUE"""),52900.0)</f>
        <v>52900</v>
      </c>
      <c r="E2717" s="1">
        <f>IFERROR(__xludf.DUMMYFUNCTION("""COMPUTED_VALUE"""),53600.0)</f>
        <v>53600</v>
      </c>
      <c r="F2717" s="1">
        <f>IFERROR(__xludf.DUMMYFUNCTION("""COMPUTED_VALUE"""),14926.0)</f>
        <v>14926</v>
      </c>
    </row>
    <row r="2718">
      <c r="A2718" s="2">
        <f>IFERROR(__xludf.DUMMYFUNCTION("""COMPUTED_VALUE"""),44963.64583333333)</f>
        <v>44963.64583</v>
      </c>
      <c r="B2718" s="1">
        <f>IFERROR(__xludf.DUMMYFUNCTION("""COMPUTED_VALUE"""),53800.0)</f>
        <v>53800</v>
      </c>
      <c r="C2718" s="1">
        <f>IFERROR(__xludf.DUMMYFUNCTION("""COMPUTED_VALUE"""),53800.0)</f>
        <v>53800</v>
      </c>
      <c r="D2718" s="1">
        <f>IFERROR(__xludf.DUMMYFUNCTION("""COMPUTED_VALUE"""),52400.0)</f>
        <v>52400</v>
      </c>
      <c r="E2718" s="1">
        <f>IFERROR(__xludf.DUMMYFUNCTION("""COMPUTED_VALUE"""),52600.0)</f>
        <v>52600</v>
      </c>
      <c r="F2718" s="1">
        <f>IFERROR(__xludf.DUMMYFUNCTION("""COMPUTED_VALUE"""),19798.0)</f>
        <v>19798</v>
      </c>
    </row>
    <row r="2719">
      <c r="A2719" s="2">
        <f>IFERROR(__xludf.DUMMYFUNCTION("""COMPUTED_VALUE"""),44964.64583333333)</f>
        <v>44964.64583</v>
      </c>
      <c r="B2719" s="1">
        <f>IFERROR(__xludf.DUMMYFUNCTION("""COMPUTED_VALUE"""),52600.0)</f>
        <v>52600</v>
      </c>
      <c r="C2719" s="1">
        <f>IFERROR(__xludf.DUMMYFUNCTION("""COMPUTED_VALUE"""),53100.0)</f>
        <v>53100</v>
      </c>
      <c r="D2719" s="1">
        <f>IFERROR(__xludf.DUMMYFUNCTION("""COMPUTED_VALUE"""),51500.0)</f>
        <v>51500</v>
      </c>
      <c r="E2719" s="1">
        <f>IFERROR(__xludf.DUMMYFUNCTION("""COMPUTED_VALUE"""),51600.0)</f>
        <v>51600</v>
      </c>
      <c r="F2719" s="1">
        <f>IFERROR(__xludf.DUMMYFUNCTION("""COMPUTED_VALUE"""),11734.0)</f>
        <v>11734</v>
      </c>
    </row>
    <row r="2720">
      <c r="A2720" s="2">
        <f>IFERROR(__xludf.DUMMYFUNCTION("""COMPUTED_VALUE"""),44965.64583333333)</f>
        <v>44965.64583</v>
      </c>
      <c r="B2720" s="1">
        <f>IFERROR(__xludf.DUMMYFUNCTION("""COMPUTED_VALUE"""),52100.0)</f>
        <v>52100</v>
      </c>
      <c r="C2720" s="1">
        <f>IFERROR(__xludf.DUMMYFUNCTION("""COMPUTED_VALUE"""),52500.0)</f>
        <v>52500</v>
      </c>
      <c r="D2720" s="1">
        <f>IFERROR(__xludf.DUMMYFUNCTION("""COMPUTED_VALUE"""),51800.0)</f>
        <v>51800</v>
      </c>
      <c r="E2720" s="1">
        <f>IFERROR(__xludf.DUMMYFUNCTION("""COMPUTED_VALUE"""),51900.0)</f>
        <v>51900</v>
      </c>
      <c r="F2720" s="1">
        <f>IFERROR(__xludf.DUMMYFUNCTION("""COMPUTED_VALUE"""),8635.0)</f>
        <v>8635</v>
      </c>
    </row>
    <row r="2721">
      <c r="A2721" s="2">
        <f>IFERROR(__xludf.DUMMYFUNCTION("""COMPUTED_VALUE"""),44966.64583333333)</f>
        <v>44966.64583</v>
      </c>
      <c r="B2721" s="1">
        <f>IFERROR(__xludf.DUMMYFUNCTION("""COMPUTED_VALUE"""),51900.0)</f>
        <v>51900</v>
      </c>
      <c r="C2721" s="1">
        <f>IFERROR(__xludf.DUMMYFUNCTION("""COMPUTED_VALUE"""),52400.0)</f>
        <v>52400</v>
      </c>
      <c r="D2721" s="1">
        <f>IFERROR(__xludf.DUMMYFUNCTION("""COMPUTED_VALUE"""),51800.0)</f>
        <v>51800</v>
      </c>
      <c r="E2721" s="1">
        <f>IFERROR(__xludf.DUMMYFUNCTION("""COMPUTED_VALUE"""),52000.0)</f>
        <v>52000</v>
      </c>
      <c r="F2721" s="1">
        <f>IFERROR(__xludf.DUMMYFUNCTION("""COMPUTED_VALUE"""),8513.0)</f>
        <v>8513</v>
      </c>
    </row>
    <row r="2722">
      <c r="A2722" s="2">
        <f>IFERROR(__xludf.DUMMYFUNCTION("""COMPUTED_VALUE"""),44967.64583333333)</f>
        <v>44967.64583</v>
      </c>
      <c r="B2722" s="1">
        <f>IFERROR(__xludf.DUMMYFUNCTION("""COMPUTED_VALUE"""),52300.0)</f>
        <v>52300</v>
      </c>
      <c r="C2722" s="1">
        <f>IFERROR(__xludf.DUMMYFUNCTION("""COMPUTED_VALUE"""),52400.0)</f>
        <v>52400</v>
      </c>
      <c r="D2722" s="1">
        <f>IFERROR(__xludf.DUMMYFUNCTION("""COMPUTED_VALUE"""),51700.0)</f>
        <v>51700</v>
      </c>
      <c r="E2722" s="1">
        <f>IFERROR(__xludf.DUMMYFUNCTION("""COMPUTED_VALUE"""),52400.0)</f>
        <v>52400</v>
      </c>
      <c r="F2722" s="1">
        <f>IFERROR(__xludf.DUMMYFUNCTION("""COMPUTED_VALUE"""),6542.0)</f>
        <v>6542</v>
      </c>
    </row>
    <row r="2723">
      <c r="A2723" s="2">
        <f>IFERROR(__xludf.DUMMYFUNCTION("""COMPUTED_VALUE"""),44970.64583333333)</f>
        <v>44970.64583</v>
      </c>
      <c r="B2723" s="1">
        <f>IFERROR(__xludf.DUMMYFUNCTION("""COMPUTED_VALUE"""),52900.0)</f>
        <v>52900</v>
      </c>
      <c r="C2723" s="1">
        <f>IFERROR(__xludf.DUMMYFUNCTION("""COMPUTED_VALUE"""),54000.0)</f>
        <v>54000</v>
      </c>
      <c r="D2723" s="1">
        <f>IFERROR(__xludf.DUMMYFUNCTION("""COMPUTED_VALUE"""),52300.0)</f>
        <v>52300</v>
      </c>
      <c r="E2723" s="1">
        <f>IFERROR(__xludf.DUMMYFUNCTION("""COMPUTED_VALUE"""),52600.0)</f>
        <v>52600</v>
      </c>
      <c r="F2723" s="1">
        <f>IFERROR(__xludf.DUMMYFUNCTION("""COMPUTED_VALUE"""),15207.0)</f>
        <v>15207</v>
      </c>
    </row>
    <row r="2724">
      <c r="A2724" s="2">
        <f>IFERROR(__xludf.DUMMYFUNCTION("""COMPUTED_VALUE"""),44971.64583333333)</f>
        <v>44971.64583</v>
      </c>
      <c r="B2724" s="1">
        <f>IFERROR(__xludf.DUMMYFUNCTION("""COMPUTED_VALUE"""),52700.0)</f>
        <v>52700</v>
      </c>
      <c r="C2724" s="1">
        <f>IFERROR(__xludf.DUMMYFUNCTION("""COMPUTED_VALUE"""),52700.0)</f>
        <v>52700</v>
      </c>
      <c r="D2724" s="1">
        <f>IFERROR(__xludf.DUMMYFUNCTION("""COMPUTED_VALUE"""),52000.0)</f>
        <v>52000</v>
      </c>
      <c r="E2724" s="1">
        <f>IFERROR(__xludf.DUMMYFUNCTION("""COMPUTED_VALUE"""),52100.0)</f>
        <v>52100</v>
      </c>
      <c r="F2724" s="1">
        <f>IFERROR(__xludf.DUMMYFUNCTION("""COMPUTED_VALUE"""),6610.0)</f>
        <v>6610</v>
      </c>
    </row>
    <row r="2725">
      <c r="A2725" s="2">
        <f>IFERROR(__xludf.DUMMYFUNCTION("""COMPUTED_VALUE"""),44972.64583333333)</f>
        <v>44972.64583</v>
      </c>
      <c r="B2725" s="1">
        <f>IFERROR(__xludf.DUMMYFUNCTION("""COMPUTED_VALUE"""),51900.0)</f>
        <v>51900</v>
      </c>
      <c r="C2725" s="1">
        <f>IFERROR(__xludf.DUMMYFUNCTION("""COMPUTED_VALUE"""),52100.0)</f>
        <v>52100</v>
      </c>
      <c r="D2725" s="1">
        <f>IFERROR(__xludf.DUMMYFUNCTION("""COMPUTED_VALUE"""),50900.0)</f>
        <v>50900</v>
      </c>
      <c r="E2725" s="1">
        <f>IFERROR(__xludf.DUMMYFUNCTION("""COMPUTED_VALUE"""),51100.0)</f>
        <v>51100</v>
      </c>
      <c r="F2725" s="1">
        <f>IFERROR(__xludf.DUMMYFUNCTION("""COMPUTED_VALUE"""),1.0)</f>
        <v>1</v>
      </c>
    </row>
    <row r="2726">
      <c r="A2726" s="2">
        <f>IFERROR(__xludf.DUMMYFUNCTION("""COMPUTED_VALUE"""),44973.64583333333)</f>
        <v>44973.64583</v>
      </c>
      <c r="B2726" s="1">
        <f>IFERROR(__xludf.DUMMYFUNCTION("""COMPUTED_VALUE"""),51400.0)</f>
        <v>51400</v>
      </c>
      <c r="C2726" s="1">
        <f>IFERROR(__xludf.DUMMYFUNCTION("""COMPUTED_VALUE"""),51700.0)</f>
        <v>51700</v>
      </c>
      <c r="D2726" s="1">
        <f>IFERROR(__xludf.DUMMYFUNCTION("""COMPUTED_VALUE"""),51200.0)</f>
        <v>51200</v>
      </c>
      <c r="E2726" s="1">
        <f>IFERROR(__xludf.DUMMYFUNCTION("""COMPUTED_VALUE"""),51300.0)</f>
        <v>51300</v>
      </c>
      <c r="F2726" s="1">
        <f>IFERROR(__xludf.DUMMYFUNCTION("""COMPUTED_VALUE"""),5098.0)</f>
        <v>5098</v>
      </c>
    </row>
    <row r="2727">
      <c r="A2727" s="2">
        <f>IFERROR(__xludf.DUMMYFUNCTION("""COMPUTED_VALUE"""),44974.64583333333)</f>
        <v>44974.64583</v>
      </c>
      <c r="B2727" s="1">
        <f>IFERROR(__xludf.DUMMYFUNCTION("""COMPUTED_VALUE"""),51300.0)</f>
        <v>51300</v>
      </c>
      <c r="C2727" s="1">
        <f>IFERROR(__xludf.DUMMYFUNCTION("""COMPUTED_VALUE"""),51600.0)</f>
        <v>51600</v>
      </c>
      <c r="D2727" s="1">
        <f>IFERROR(__xludf.DUMMYFUNCTION("""COMPUTED_VALUE"""),50700.0)</f>
        <v>50700</v>
      </c>
      <c r="E2727" s="1">
        <f>IFERROR(__xludf.DUMMYFUNCTION("""COMPUTED_VALUE"""),51600.0)</f>
        <v>51600</v>
      </c>
      <c r="F2727" s="1">
        <f>IFERROR(__xludf.DUMMYFUNCTION("""COMPUTED_VALUE"""),4650.0)</f>
        <v>4650</v>
      </c>
    </row>
    <row r="2728">
      <c r="A2728" s="2">
        <f>IFERROR(__xludf.DUMMYFUNCTION("""COMPUTED_VALUE"""),44977.64583333333)</f>
        <v>44977.64583</v>
      </c>
      <c r="B2728" s="1">
        <f>IFERROR(__xludf.DUMMYFUNCTION("""COMPUTED_VALUE"""),51700.0)</f>
        <v>51700</v>
      </c>
      <c r="C2728" s="1">
        <f>IFERROR(__xludf.DUMMYFUNCTION("""COMPUTED_VALUE"""),51800.0)</f>
        <v>51800</v>
      </c>
      <c r="D2728" s="1">
        <f>IFERROR(__xludf.DUMMYFUNCTION("""COMPUTED_VALUE"""),51000.0)</f>
        <v>51000</v>
      </c>
      <c r="E2728" s="1">
        <f>IFERROR(__xludf.DUMMYFUNCTION("""COMPUTED_VALUE"""),51100.0)</f>
        <v>51100</v>
      </c>
      <c r="F2728" s="1">
        <f>IFERROR(__xludf.DUMMYFUNCTION("""COMPUTED_VALUE"""),3485.0)</f>
        <v>3485</v>
      </c>
    </row>
    <row r="2729">
      <c r="A2729" s="2">
        <f>IFERROR(__xludf.DUMMYFUNCTION("""COMPUTED_VALUE"""),44978.64583333333)</f>
        <v>44978.64583</v>
      </c>
      <c r="B2729" s="1">
        <f>IFERROR(__xludf.DUMMYFUNCTION("""COMPUTED_VALUE"""),51500.0)</f>
        <v>51500</v>
      </c>
      <c r="C2729" s="1">
        <f>IFERROR(__xludf.DUMMYFUNCTION("""COMPUTED_VALUE"""),51500.0)</f>
        <v>51500</v>
      </c>
      <c r="D2729" s="1">
        <f>IFERROR(__xludf.DUMMYFUNCTION("""COMPUTED_VALUE"""),51200.0)</f>
        <v>51200</v>
      </c>
      <c r="E2729" s="1">
        <f>IFERROR(__xludf.DUMMYFUNCTION("""COMPUTED_VALUE"""),51400.0)</f>
        <v>51400</v>
      </c>
      <c r="F2729" s="1">
        <f>IFERROR(__xludf.DUMMYFUNCTION("""COMPUTED_VALUE"""),3006.0)</f>
        <v>3006</v>
      </c>
    </row>
    <row r="2730">
      <c r="A2730" s="2">
        <f>IFERROR(__xludf.DUMMYFUNCTION("""COMPUTED_VALUE"""),44979.64583333333)</f>
        <v>44979.64583</v>
      </c>
      <c r="B2730" s="1">
        <f>IFERROR(__xludf.DUMMYFUNCTION("""COMPUTED_VALUE"""),51300.0)</f>
        <v>51300</v>
      </c>
      <c r="C2730" s="1">
        <f>IFERROR(__xludf.DUMMYFUNCTION("""COMPUTED_VALUE"""),51300.0)</f>
        <v>51300</v>
      </c>
      <c r="D2730" s="1">
        <f>IFERROR(__xludf.DUMMYFUNCTION("""COMPUTED_VALUE"""),50800.0)</f>
        <v>50800</v>
      </c>
      <c r="E2730" s="1">
        <f>IFERROR(__xludf.DUMMYFUNCTION("""COMPUTED_VALUE"""),50800.0)</f>
        <v>50800</v>
      </c>
      <c r="F2730" s="1">
        <f>IFERROR(__xludf.DUMMYFUNCTION("""COMPUTED_VALUE"""),5901.0)</f>
        <v>5901</v>
      </c>
    </row>
    <row r="2731">
      <c r="A2731" s="2">
        <f>IFERROR(__xludf.DUMMYFUNCTION("""COMPUTED_VALUE"""),44980.64583333333)</f>
        <v>44980.64583</v>
      </c>
      <c r="B2731" s="1">
        <f>IFERROR(__xludf.DUMMYFUNCTION("""COMPUTED_VALUE"""),50800.0)</f>
        <v>50800</v>
      </c>
      <c r="C2731" s="1">
        <f>IFERROR(__xludf.DUMMYFUNCTION("""COMPUTED_VALUE"""),51200.0)</f>
        <v>51200</v>
      </c>
      <c r="D2731" s="1">
        <f>IFERROR(__xludf.DUMMYFUNCTION("""COMPUTED_VALUE"""),50600.0)</f>
        <v>50600</v>
      </c>
      <c r="E2731" s="1">
        <f>IFERROR(__xludf.DUMMYFUNCTION("""COMPUTED_VALUE"""),50700.0)</f>
        <v>50700</v>
      </c>
      <c r="F2731" s="1">
        <f>IFERROR(__xludf.DUMMYFUNCTION("""COMPUTED_VALUE"""),4046.0)</f>
        <v>4046</v>
      </c>
    </row>
    <row r="2732">
      <c r="A2732" s="2">
        <f>IFERROR(__xludf.DUMMYFUNCTION("""COMPUTED_VALUE"""),44981.64583333333)</f>
        <v>44981.64583</v>
      </c>
      <c r="B2732" s="1">
        <f>IFERROR(__xludf.DUMMYFUNCTION("""COMPUTED_VALUE"""),50900.0)</f>
        <v>50900</v>
      </c>
      <c r="C2732" s="1">
        <f>IFERROR(__xludf.DUMMYFUNCTION("""COMPUTED_VALUE"""),51100.0)</f>
        <v>51100</v>
      </c>
      <c r="D2732" s="1">
        <f>IFERROR(__xludf.DUMMYFUNCTION("""COMPUTED_VALUE"""),50600.0)</f>
        <v>50600</v>
      </c>
      <c r="E2732" s="1">
        <f>IFERROR(__xludf.DUMMYFUNCTION("""COMPUTED_VALUE"""),50800.0)</f>
        <v>50800</v>
      </c>
      <c r="F2732" s="1">
        <f>IFERROR(__xludf.DUMMYFUNCTION("""COMPUTED_VALUE"""),4331.0)</f>
        <v>4331</v>
      </c>
    </row>
    <row r="2733">
      <c r="A2733" s="2">
        <f>IFERROR(__xludf.DUMMYFUNCTION("""COMPUTED_VALUE"""),44984.64583333333)</f>
        <v>44984.64583</v>
      </c>
      <c r="B2733" s="1">
        <f>IFERROR(__xludf.DUMMYFUNCTION("""COMPUTED_VALUE"""),51100.0)</f>
        <v>51100</v>
      </c>
      <c r="C2733" s="1">
        <f>IFERROR(__xludf.DUMMYFUNCTION("""COMPUTED_VALUE"""),51100.0)</f>
        <v>51100</v>
      </c>
      <c r="D2733" s="1">
        <f>IFERROR(__xludf.DUMMYFUNCTION("""COMPUTED_VALUE"""),50000.0)</f>
        <v>50000</v>
      </c>
      <c r="E2733" s="1">
        <f>IFERROR(__xludf.DUMMYFUNCTION("""COMPUTED_VALUE"""),50600.0)</f>
        <v>50600</v>
      </c>
      <c r="F2733" s="1">
        <f>IFERROR(__xludf.DUMMYFUNCTION("""COMPUTED_VALUE"""),13369.0)</f>
        <v>13369</v>
      </c>
    </row>
    <row r="2734">
      <c r="A2734" s="2">
        <f>IFERROR(__xludf.DUMMYFUNCTION("""COMPUTED_VALUE"""),44985.64583333333)</f>
        <v>44985.64583</v>
      </c>
      <c r="B2734" s="1">
        <f>IFERROR(__xludf.DUMMYFUNCTION("""COMPUTED_VALUE"""),50700.0)</f>
        <v>50700</v>
      </c>
      <c r="C2734" s="1">
        <f>IFERROR(__xludf.DUMMYFUNCTION("""COMPUTED_VALUE"""),50700.0)</f>
        <v>50700</v>
      </c>
      <c r="D2734" s="1">
        <f>IFERROR(__xludf.DUMMYFUNCTION("""COMPUTED_VALUE"""),50000.0)</f>
        <v>50000</v>
      </c>
      <c r="E2734" s="1">
        <f>IFERROR(__xludf.DUMMYFUNCTION("""COMPUTED_VALUE"""),50300.0)</f>
        <v>50300</v>
      </c>
      <c r="F2734" s="1">
        <f>IFERROR(__xludf.DUMMYFUNCTION("""COMPUTED_VALUE"""),5156.0)</f>
        <v>5156</v>
      </c>
    </row>
    <row r="2735">
      <c r="A2735" s="2">
        <f>IFERROR(__xludf.DUMMYFUNCTION("""COMPUTED_VALUE"""),44987.64583333333)</f>
        <v>44987.64583</v>
      </c>
      <c r="B2735" s="1">
        <f>IFERROR(__xludf.DUMMYFUNCTION("""COMPUTED_VALUE"""),50500.0)</f>
        <v>50500</v>
      </c>
      <c r="C2735" s="1">
        <f>IFERROR(__xludf.DUMMYFUNCTION("""COMPUTED_VALUE"""),51100.0)</f>
        <v>51100</v>
      </c>
      <c r="D2735" s="1">
        <f>IFERROR(__xludf.DUMMYFUNCTION("""COMPUTED_VALUE"""),50100.0)</f>
        <v>50100</v>
      </c>
      <c r="E2735" s="1">
        <f>IFERROR(__xludf.DUMMYFUNCTION("""COMPUTED_VALUE"""),50700.0)</f>
        <v>50700</v>
      </c>
      <c r="F2735" s="1">
        <f>IFERROR(__xludf.DUMMYFUNCTION("""COMPUTED_VALUE"""),3102.0)</f>
        <v>3102</v>
      </c>
    </row>
    <row r="2736">
      <c r="A2736" s="2">
        <f>IFERROR(__xludf.DUMMYFUNCTION("""COMPUTED_VALUE"""),44988.64583333333)</f>
        <v>44988.64583</v>
      </c>
      <c r="B2736" s="1">
        <f>IFERROR(__xludf.DUMMYFUNCTION("""COMPUTED_VALUE"""),50900.0)</f>
        <v>50900</v>
      </c>
      <c r="C2736" s="1">
        <f>IFERROR(__xludf.DUMMYFUNCTION("""COMPUTED_VALUE"""),51200.0)</f>
        <v>51200</v>
      </c>
      <c r="D2736" s="1">
        <f>IFERROR(__xludf.DUMMYFUNCTION("""COMPUTED_VALUE"""),50200.0)</f>
        <v>50200</v>
      </c>
      <c r="E2736" s="1">
        <f>IFERROR(__xludf.DUMMYFUNCTION("""COMPUTED_VALUE"""),50200.0)</f>
        <v>50200</v>
      </c>
      <c r="F2736" s="1">
        <f>IFERROR(__xludf.DUMMYFUNCTION("""COMPUTED_VALUE"""),5350.0)</f>
        <v>5350</v>
      </c>
    </row>
    <row r="2737">
      <c r="A2737" s="2">
        <f>IFERROR(__xludf.DUMMYFUNCTION("""COMPUTED_VALUE"""),44991.64583333333)</f>
        <v>44991.64583</v>
      </c>
      <c r="B2737" s="1">
        <f>IFERROR(__xludf.DUMMYFUNCTION("""COMPUTED_VALUE"""),50600.0)</f>
        <v>50600</v>
      </c>
      <c r="C2737" s="1">
        <f>IFERROR(__xludf.DUMMYFUNCTION("""COMPUTED_VALUE"""),50800.0)</f>
        <v>50800</v>
      </c>
      <c r="D2737" s="1">
        <f>IFERROR(__xludf.DUMMYFUNCTION("""COMPUTED_VALUE"""),50400.0)</f>
        <v>50400</v>
      </c>
      <c r="E2737" s="1">
        <f>IFERROR(__xludf.DUMMYFUNCTION("""COMPUTED_VALUE"""),50500.0)</f>
        <v>50500</v>
      </c>
      <c r="F2737" s="1">
        <f>IFERROR(__xludf.DUMMYFUNCTION("""COMPUTED_VALUE"""),4375.0)</f>
        <v>4375</v>
      </c>
    </row>
    <row r="2738">
      <c r="A2738" s="2">
        <f>IFERROR(__xludf.DUMMYFUNCTION("""COMPUTED_VALUE"""),44992.64583333333)</f>
        <v>44992.64583</v>
      </c>
      <c r="B2738" s="1">
        <f>IFERROR(__xludf.DUMMYFUNCTION("""COMPUTED_VALUE"""),50900.0)</f>
        <v>50900</v>
      </c>
      <c r="C2738" s="1">
        <f>IFERROR(__xludf.DUMMYFUNCTION("""COMPUTED_VALUE"""),51300.0)</f>
        <v>51300</v>
      </c>
      <c r="D2738" s="1">
        <f>IFERROR(__xludf.DUMMYFUNCTION("""COMPUTED_VALUE"""),50400.0)</f>
        <v>50400</v>
      </c>
      <c r="E2738" s="1">
        <f>IFERROR(__xludf.DUMMYFUNCTION("""COMPUTED_VALUE"""),51200.0)</f>
        <v>51200</v>
      </c>
      <c r="F2738" s="1">
        <f>IFERROR(__xludf.DUMMYFUNCTION("""COMPUTED_VALUE"""),8717.0)</f>
        <v>8717</v>
      </c>
    </row>
    <row r="2739">
      <c r="A2739" s="2">
        <f>IFERROR(__xludf.DUMMYFUNCTION("""COMPUTED_VALUE"""),44993.64583333333)</f>
        <v>44993.64583</v>
      </c>
      <c r="B2739" s="1">
        <f>IFERROR(__xludf.DUMMYFUNCTION("""COMPUTED_VALUE"""),50700.0)</f>
        <v>50700</v>
      </c>
      <c r="C2739" s="1">
        <f>IFERROR(__xludf.DUMMYFUNCTION("""COMPUTED_VALUE"""),50900.0)</f>
        <v>50900</v>
      </c>
      <c r="D2739" s="1">
        <f>IFERROR(__xludf.DUMMYFUNCTION("""COMPUTED_VALUE"""),50100.0)</f>
        <v>50100</v>
      </c>
      <c r="E2739" s="1">
        <f>IFERROR(__xludf.DUMMYFUNCTION("""COMPUTED_VALUE"""),50500.0)</f>
        <v>50500</v>
      </c>
      <c r="F2739" s="1">
        <f>IFERROR(__xludf.DUMMYFUNCTION("""COMPUTED_VALUE"""),17598.0)</f>
        <v>17598</v>
      </c>
    </row>
    <row r="2740">
      <c r="A2740" s="2">
        <f>IFERROR(__xludf.DUMMYFUNCTION("""COMPUTED_VALUE"""),44994.64583333333)</f>
        <v>44994.64583</v>
      </c>
      <c r="B2740" s="1">
        <f>IFERROR(__xludf.DUMMYFUNCTION("""COMPUTED_VALUE"""),50700.0)</f>
        <v>50700</v>
      </c>
      <c r="C2740" s="1">
        <f>IFERROR(__xludf.DUMMYFUNCTION("""COMPUTED_VALUE"""),50700.0)</f>
        <v>50700</v>
      </c>
      <c r="D2740" s="1">
        <f>IFERROR(__xludf.DUMMYFUNCTION("""COMPUTED_VALUE"""),50200.0)</f>
        <v>50200</v>
      </c>
      <c r="E2740" s="1">
        <f>IFERROR(__xludf.DUMMYFUNCTION("""COMPUTED_VALUE"""),50400.0)</f>
        <v>50400</v>
      </c>
      <c r="F2740" s="1">
        <f>IFERROR(__xludf.DUMMYFUNCTION("""COMPUTED_VALUE"""),4603.0)</f>
        <v>4603</v>
      </c>
    </row>
    <row r="2741">
      <c r="A2741" s="2">
        <f>IFERROR(__xludf.DUMMYFUNCTION("""COMPUTED_VALUE"""),44995.64583333333)</f>
        <v>44995.64583</v>
      </c>
      <c r="B2741" s="1">
        <f>IFERROR(__xludf.DUMMYFUNCTION("""COMPUTED_VALUE"""),50200.0)</f>
        <v>50200</v>
      </c>
      <c r="C2741" s="1">
        <f>IFERROR(__xludf.DUMMYFUNCTION("""COMPUTED_VALUE"""),50600.0)</f>
        <v>50600</v>
      </c>
      <c r="D2741" s="1">
        <f>IFERROR(__xludf.DUMMYFUNCTION("""COMPUTED_VALUE"""),50100.0)</f>
        <v>50100</v>
      </c>
      <c r="E2741" s="1">
        <f>IFERROR(__xludf.DUMMYFUNCTION("""COMPUTED_VALUE"""),50600.0)</f>
        <v>50600</v>
      </c>
      <c r="F2741" s="1">
        <f>IFERROR(__xludf.DUMMYFUNCTION("""COMPUTED_VALUE"""),6729.0)</f>
        <v>6729</v>
      </c>
    </row>
    <row r="2742">
      <c r="A2742" s="2">
        <f>IFERROR(__xludf.DUMMYFUNCTION("""COMPUTED_VALUE"""),44998.64583333333)</f>
        <v>44998.64583</v>
      </c>
      <c r="B2742" s="1">
        <f>IFERROR(__xludf.DUMMYFUNCTION("""COMPUTED_VALUE"""),50500.0)</f>
        <v>50500</v>
      </c>
      <c r="C2742" s="1">
        <f>IFERROR(__xludf.DUMMYFUNCTION("""COMPUTED_VALUE"""),50500.0)</f>
        <v>50500</v>
      </c>
      <c r="D2742" s="1">
        <f>IFERROR(__xludf.DUMMYFUNCTION("""COMPUTED_VALUE"""),50000.0)</f>
        <v>50000</v>
      </c>
      <c r="E2742" s="1">
        <f>IFERROR(__xludf.DUMMYFUNCTION("""COMPUTED_VALUE"""),50000.0)</f>
        <v>50000</v>
      </c>
      <c r="F2742" s="1">
        <f>IFERROR(__xludf.DUMMYFUNCTION("""COMPUTED_VALUE"""),9826.0)</f>
        <v>9826</v>
      </c>
    </row>
    <row r="2743">
      <c r="A2743" s="2">
        <f>IFERROR(__xludf.DUMMYFUNCTION("""COMPUTED_VALUE"""),44999.64583333333)</f>
        <v>44999.64583</v>
      </c>
      <c r="B2743" s="1">
        <f>IFERROR(__xludf.DUMMYFUNCTION("""COMPUTED_VALUE"""),50300.0)</f>
        <v>50300</v>
      </c>
      <c r="C2743" s="1">
        <f>IFERROR(__xludf.DUMMYFUNCTION("""COMPUTED_VALUE"""),50300.0)</f>
        <v>50300</v>
      </c>
      <c r="D2743" s="1">
        <f>IFERROR(__xludf.DUMMYFUNCTION("""COMPUTED_VALUE"""),49100.0)</f>
        <v>49100</v>
      </c>
      <c r="E2743" s="1">
        <f>IFERROR(__xludf.DUMMYFUNCTION("""COMPUTED_VALUE"""),49300.0)</f>
        <v>49300</v>
      </c>
      <c r="F2743" s="1">
        <f>IFERROR(__xludf.DUMMYFUNCTION("""COMPUTED_VALUE"""),19880.0)</f>
        <v>19880</v>
      </c>
    </row>
    <row r="2744">
      <c r="A2744" s="2">
        <f>IFERROR(__xludf.DUMMYFUNCTION("""COMPUTED_VALUE"""),45000.64583333333)</f>
        <v>45000.64583</v>
      </c>
      <c r="B2744" s="1">
        <f>IFERROR(__xludf.DUMMYFUNCTION("""COMPUTED_VALUE"""),49850.0)</f>
        <v>49850</v>
      </c>
      <c r="C2744" s="1">
        <f>IFERROR(__xludf.DUMMYFUNCTION("""COMPUTED_VALUE"""),50100.0)</f>
        <v>50100</v>
      </c>
      <c r="D2744" s="1">
        <f>IFERROR(__xludf.DUMMYFUNCTION("""COMPUTED_VALUE"""),49600.0)</f>
        <v>49600</v>
      </c>
      <c r="E2744" s="1">
        <f>IFERROR(__xludf.DUMMYFUNCTION("""COMPUTED_VALUE"""),49900.0)</f>
        <v>49900</v>
      </c>
      <c r="F2744" s="1">
        <f>IFERROR(__xludf.DUMMYFUNCTION("""COMPUTED_VALUE"""),5904.0)</f>
        <v>5904</v>
      </c>
    </row>
    <row r="2745">
      <c r="A2745" s="2">
        <f>IFERROR(__xludf.DUMMYFUNCTION("""COMPUTED_VALUE"""),45001.64583333333)</f>
        <v>45001.64583</v>
      </c>
      <c r="B2745" s="1">
        <f>IFERROR(__xludf.DUMMYFUNCTION("""COMPUTED_VALUE"""),49800.0)</f>
        <v>49800</v>
      </c>
      <c r="C2745" s="1">
        <f>IFERROR(__xludf.DUMMYFUNCTION("""COMPUTED_VALUE"""),49800.0)</f>
        <v>49800</v>
      </c>
      <c r="D2745" s="1">
        <f>IFERROR(__xludf.DUMMYFUNCTION("""COMPUTED_VALUE"""),48600.0)</f>
        <v>48600</v>
      </c>
      <c r="E2745" s="1">
        <f>IFERROR(__xludf.DUMMYFUNCTION("""COMPUTED_VALUE"""),49000.0)</f>
        <v>49000</v>
      </c>
      <c r="F2745" s="1">
        <f>IFERROR(__xludf.DUMMYFUNCTION("""COMPUTED_VALUE"""),22035.0)</f>
        <v>22035</v>
      </c>
    </row>
    <row r="2746">
      <c r="A2746" s="2">
        <f>IFERROR(__xludf.DUMMYFUNCTION("""COMPUTED_VALUE"""),45002.64583333333)</f>
        <v>45002.64583</v>
      </c>
      <c r="B2746" s="1">
        <f>IFERROR(__xludf.DUMMYFUNCTION("""COMPUTED_VALUE"""),49300.0)</f>
        <v>49300</v>
      </c>
      <c r="C2746" s="1">
        <f>IFERROR(__xludf.DUMMYFUNCTION("""COMPUTED_VALUE"""),49600.0)</f>
        <v>49600</v>
      </c>
      <c r="D2746" s="1">
        <f>IFERROR(__xludf.DUMMYFUNCTION("""COMPUTED_VALUE"""),49050.0)</f>
        <v>49050</v>
      </c>
      <c r="E2746" s="1">
        <f>IFERROR(__xludf.DUMMYFUNCTION("""COMPUTED_VALUE"""),49200.0)</f>
        <v>49200</v>
      </c>
      <c r="F2746" s="1">
        <f>IFERROR(__xludf.DUMMYFUNCTION("""COMPUTED_VALUE"""),4104.0)</f>
        <v>4104</v>
      </c>
    </row>
    <row r="2747">
      <c r="A2747" s="2">
        <f>IFERROR(__xludf.DUMMYFUNCTION("""COMPUTED_VALUE"""),45005.64583333333)</f>
        <v>45005.64583</v>
      </c>
      <c r="B2747" s="1">
        <f>IFERROR(__xludf.DUMMYFUNCTION("""COMPUTED_VALUE"""),48650.0)</f>
        <v>48650</v>
      </c>
      <c r="C2747" s="1">
        <f>IFERROR(__xludf.DUMMYFUNCTION("""COMPUTED_VALUE"""),49400.0)</f>
        <v>49400</v>
      </c>
      <c r="D2747" s="1">
        <f>IFERROR(__xludf.DUMMYFUNCTION("""COMPUTED_VALUE"""),48650.0)</f>
        <v>48650</v>
      </c>
      <c r="E2747" s="1">
        <f>IFERROR(__xludf.DUMMYFUNCTION("""COMPUTED_VALUE"""),49200.0)</f>
        <v>49200</v>
      </c>
      <c r="F2747" s="1">
        <f>IFERROR(__xludf.DUMMYFUNCTION("""COMPUTED_VALUE"""),4138.0)</f>
        <v>4138</v>
      </c>
    </row>
    <row r="2748">
      <c r="A2748" s="2">
        <f>IFERROR(__xludf.DUMMYFUNCTION("""COMPUTED_VALUE"""),45006.64583333333)</f>
        <v>45006.64583</v>
      </c>
      <c r="B2748" s="1">
        <f>IFERROR(__xludf.DUMMYFUNCTION("""COMPUTED_VALUE"""),49200.0)</f>
        <v>49200</v>
      </c>
      <c r="C2748" s="1">
        <f>IFERROR(__xludf.DUMMYFUNCTION("""COMPUTED_VALUE"""),49600.0)</f>
        <v>49600</v>
      </c>
      <c r="D2748" s="1">
        <f>IFERROR(__xludf.DUMMYFUNCTION("""COMPUTED_VALUE"""),49150.0)</f>
        <v>49150</v>
      </c>
      <c r="E2748" s="1">
        <f>IFERROR(__xludf.DUMMYFUNCTION("""COMPUTED_VALUE"""),49150.0)</f>
        <v>49150</v>
      </c>
      <c r="F2748" s="1">
        <f>IFERROR(__xludf.DUMMYFUNCTION("""COMPUTED_VALUE"""),4540.0)</f>
        <v>4540</v>
      </c>
    </row>
    <row r="2749">
      <c r="A2749" s="2">
        <f>IFERROR(__xludf.DUMMYFUNCTION("""COMPUTED_VALUE"""),45007.64583333333)</f>
        <v>45007.64583</v>
      </c>
      <c r="B2749" s="1">
        <f>IFERROR(__xludf.DUMMYFUNCTION("""COMPUTED_VALUE"""),49450.0)</f>
        <v>49450</v>
      </c>
      <c r="C2749" s="1">
        <f>IFERROR(__xludf.DUMMYFUNCTION("""COMPUTED_VALUE"""),49550.0)</f>
        <v>49550</v>
      </c>
      <c r="D2749" s="1">
        <f>IFERROR(__xludf.DUMMYFUNCTION("""COMPUTED_VALUE"""),49300.0)</f>
        <v>49300</v>
      </c>
      <c r="E2749" s="1">
        <f>IFERROR(__xludf.DUMMYFUNCTION("""COMPUTED_VALUE"""),49400.0)</f>
        <v>49400</v>
      </c>
      <c r="F2749" s="1">
        <f>IFERROR(__xludf.DUMMYFUNCTION("""COMPUTED_VALUE"""),2978.0)</f>
        <v>2978</v>
      </c>
    </row>
    <row r="2750">
      <c r="A2750" s="2">
        <f>IFERROR(__xludf.DUMMYFUNCTION("""COMPUTED_VALUE"""),45008.64583333333)</f>
        <v>45008.64583</v>
      </c>
      <c r="B2750" s="1">
        <f>IFERROR(__xludf.DUMMYFUNCTION("""COMPUTED_VALUE"""),48800.0)</f>
        <v>48800</v>
      </c>
      <c r="C2750" s="1">
        <f>IFERROR(__xludf.DUMMYFUNCTION("""COMPUTED_VALUE"""),49650.0)</f>
        <v>49650</v>
      </c>
      <c r="D2750" s="1">
        <f>IFERROR(__xludf.DUMMYFUNCTION("""COMPUTED_VALUE"""),48800.0)</f>
        <v>48800</v>
      </c>
      <c r="E2750" s="1">
        <f>IFERROR(__xludf.DUMMYFUNCTION("""COMPUTED_VALUE"""),49100.0)</f>
        <v>49100</v>
      </c>
      <c r="F2750" s="1">
        <f>IFERROR(__xludf.DUMMYFUNCTION("""COMPUTED_VALUE"""),6483.0)</f>
        <v>6483</v>
      </c>
    </row>
    <row r="2751">
      <c r="A2751" s="2">
        <f>IFERROR(__xludf.DUMMYFUNCTION("""COMPUTED_VALUE"""),45009.64583333333)</f>
        <v>45009.64583</v>
      </c>
      <c r="B2751" s="1">
        <f>IFERROR(__xludf.DUMMYFUNCTION("""COMPUTED_VALUE"""),49100.0)</f>
        <v>49100</v>
      </c>
      <c r="C2751" s="1">
        <f>IFERROR(__xludf.DUMMYFUNCTION("""COMPUTED_VALUE"""),49200.0)</f>
        <v>49200</v>
      </c>
      <c r="D2751" s="1">
        <f>IFERROR(__xludf.DUMMYFUNCTION("""COMPUTED_VALUE"""),48750.0)</f>
        <v>48750</v>
      </c>
      <c r="E2751" s="1">
        <f>IFERROR(__xludf.DUMMYFUNCTION("""COMPUTED_VALUE"""),49050.0)</f>
        <v>49050</v>
      </c>
      <c r="F2751" s="1">
        <f>IFERROR(__xludf.DUMMYFUNCTION("""COMPUTED_VALUE"""),7545.0)</f>
        <v>7545</v>
      </c>
    </row>
    <row r="2752">
      <c r="A2752" s="2">
        <f>IFERROR(__xludf.DUMMYFUNCTION("""COMPUTED_VALUE"""),45012.64583333333)</f>
        <v>45012.64583</v>
      </c>
      <c r="B2752" s="1">
        <f>IFERROR(__xludf.DUMMYFUNCTION("""COMPUTED_VALUE"""),49000.0)</f>
        <v>49000</v>
      </c>
      <c r="C2752" s="1">
        <f>IFERROR(__xludf.DUMMYFUNCTION("""COMPUTED_VALUE"""),49050.0)</f>
        <v>49050</v>
      </c>
      <c r="D2752" s="1">
        <f>IFERROR(__xludf.DUMMYFUNCTION("""COMPUTED_VALUE"""),48300.0)</f>
        <v>48300</v>
      </c>
      <c r="E2752" s="1">
        <f>IFERROR(__xludf.DUMMYFUNCTION("""COMPUTED_VALUE"""),48850.0)</f>
        <v>48850</v>
      </c>
      <c r="F2752" s="1">
        <f>IFERROR(__xludf.DUMMYFUNCTION("""COMPUTED_VALUE"""),12118.0)</f>
        <v>12118</v>
      </c>
    </row>
    <row r="2753">
      <c r="A2753" s="2">
        <f>IFERROR(__xludf.DUMMYFUNCTION("""COMPUTED_VALUE"""),45013.64583333333)</f>
        <v>45013.64583</v>
      </c>
      <c r="B2753" s="1">
        <f>IFERROR(__xludf.DUMMYFUNCTION("""COMPUTED_VALUE"""),49100.0)</f>
        <v>49100</v>
      </c>
      <c r="C2753" s="1">
        <f>IFERROR(__xludf.DUMMYFUNCTION("""COMPUTED_VALUE"""),49700.0)</f>
        <v>49700</v>
      </c>
      <c r="D2753" s="1">
        <f>IFERROR(__xludf.DUMMYFUNCTION("""COMPUTED_VALUE"""),49100.0)</f>
        <v>49100</v>
      </c>
      <c r="E2753" s="1">
        <f>IFERROR(__xludf.DUMMYFUNCTION("""COMPUTED_VALUE"""),49600.0)</f>
        <v>49600</v>
      </c>
      <c r="F2753" s="1">
        <f>IFERROR(__xludf.DUMMYFUNCTION("""COMPUTED_VALUE"""),5920.0)</f>
        <v>5920</v>
      </c>
    </row>
    <row r="2754">
      <c r="A2754" s="2">
        <f>IFERROR(__xludf.DUMMYFUNCTION("""COMPUTED_VALUE"""),45014.64583333333)</f>
        <v>45014.64583</v>
      </c>
      <c r="B2754" s="1">
        <f>IFERROR(__xludf.DUMMYFUNCTION("""COMPUTED_VALUE"""),49950.0)</f>
        <v>49950</v>
      </c>
      <c r="C2754" s="1">
        <f>IFERROR(__xludf.DUMMYFUNCTION("""COMPUTED_VALUE"""),50000.0)</f>
        <v>50000</v>
      </c>
      <c r="D2754" s="1">
        <f>IFERROR(__xludf.DUMMYFUNCTION("""COMPUTED_VALUE"""),49600.0)</f>
        <v>49600</v>
      </c>
      <c r="E2754" s="1">
        <f>IFERROR(__xludf.DUMMYFUNCTION("""COMPUTED_VALUE"""),49950.0)</f>
        <v>49950</v>
      </c>
      <c r="F2754" s="1">
        <f>IFERROR(__xludf.DUMMYFUNCTION("""COMPUTED_VALUE"""),5175.0)</f>
        <v>5175</v>
      </c>
    </row>
    <row r="2755">
      <c r="A2755" s="2">
        <f>IFERROR(__xludf.DUMMYFUNCTION("""COMPUTED_VALUE"""),45015.64583333333)</f>
        <v>45015.64583</v>
      </c>
      <c r="B2755" s="1">
        <f>IFERROR(__xludf.DUMMYFUNCTION("""COMPUTED_VALUE"""),49950.0)</f>
        <v>49950</v>
      </c>
      <c r="C2755" s="1">
        <f>IFERROR(__xludf.DUMMYFUNCTION("""COMPUTED_VALUE"""),50700.0)</f>
        <v>50700</v>
      </c>
      <c r="D2755" s="1">
        <f>IFERROR(__xludf.DUMMYFUNCTION("""COMPUTED_VALUE"""),49750.0)</f>
        <v>49750</v>
      </c>
      <c r="E2755" s="1">
        <f>IFERROR(__xludf.DUMMYFUNCTION("""COMPUTED_VALUE"""),50500.0)</f>
        <v>50500</v>
      </c>
      <c r="F2755" s="1">
        <f>IFERROR(__xludf.DUMMYFUNCTION("""COMPUTED_VALUE"""),9082.0)</f>
        <v>9082</v>
      </c>
    </row>
    <row r="2756">
      <c r="A2756" s="2">
        <f>IFERROR(__xludf.DUMMYFUNCTION("""COMPUTED_VALUE"""),45016.64583333333)</f>
        <v>45016.64583</v>
      </c>
      <c r="B2756" s="1">
        <f>IFERROR(__xludf.DUMMYFUNCTION("""COMPUTED_VALUE"""),50600.0)</f>
        <v>50600</v>
      </c>
      <c r="C2756" s="1">
        <f>IFERROR(__xludf.DUMMYFUNCTION("""COMPUTED_VALUE"""),51100.0)</f>
        <v>51100</v>
      </c>
      <c r="D2756" s="1">
        <f>IFERROR(__xludf.DUMMYFUNCTION("""COMPUTED_VALUE"""),50500.0)</f>
        <v>50500</v>
      </c>
      <c r="E2756" s="1">
        <f>IFERROR(__xludf.DUMMYFUNCTION("""COMPUTED_VALUE"""),50700.0)</f>
        <v>50700</v>
      </c>
      <c r="F2756" s="1">
        <f>IFERROR(__xludf.DUMMYFUNCTION("""COMPUTED_VALUE"""),8027.0)</f>
        <v>8027</v>
      </c>
    </row>
    <row r="2757">
      <c r="A2757" s="2">
        <f>IFERROR(__xludf.DUMMYFUNCTION("""COMPUTED_VALUE"""),45019.64583333333)</f>
        <v>45019.64583</v>
      </c>
      <c r="B2757" s="1">
        <f>IFERROR(__xludf.DUMMYFUNCTION("""COMPUTED_VALUE"""),51700.0)</f>
        <v>51700</v>
      </c>
      <c r="C2757" s="1">
        <f>IFERROR(__xludf.DUMMYFUNCTION("""COMPUTED_VALUE"""),52700.0)</f>
        <v>52700</v>
      </c>
      <c r="D2757" s="1">
        <f>IFERROR(__xludf.DUMMYFUNCTION("""COMPUTED_VALUE"""),50800.0)</f>
        <v>50800</v>
      </c>
      <c r="E2757" s="1">
        <f>IFERROR(__xludf.DUMMYFUNCTION("""COMPUTED_VALUE"""),51300.0)</f>
        <v>51300</v>
      </c>
      <c r="F2757" s="1">
        <f>IFERROR(__xludf.DUMMYFUNCTION("""COMPUTED_VALUE"""),13523.0)</f>
        <v>13523</v>
      </c>
    </row>
    <row r="2758">
      <c r="A2758" s="2">
        <f>IFERROR(__xludf.DUMMYFUNCTION("""COMPUTED_VALUE"""),45020.64583333333)</f>
        <v>45020.64583</v>
      </c>
      <c r="B2758" s="1">
        <f>IFERROR(__xludf.DUMMYFUNCTION("""COMPUTED_VALUE"""),52200.0)</f>
        <v>52200</v>
      </c>
      <c r="C2758" s="1">
        <f>IFERROR(__xludf.DUMMYFUNCTION("""COMPUTED_VALUE"""),52400.0)</f>
        <v>52400</v>
      </c>
      <c r="D2758" s="1">
        <f>IFERROR(__xludf.DUMMYFUNCTION("""COMPUTED_VALUE"""),51300.0)</f>
        <v>51300</v>
      </c>
      <c r="E2758" s="1">
        <f>IFERROR(__xludf.DUMMYFUNCTION("""COMPUTED_VALUE"""),51500.0)</f>
        <v>51500</v>
      </c>
      <c r="F2758" s="1">
        <f>IFERROR(__xludf.DUMMYFUNCTION("""COMPUTED_VALUE"""),9520.0)</f>
        <v>9520</v>
      </c>
    </row>
    <row r="2759">
      <c r="A2759" s="2">
        <f>IFERROR(__xludf.DUMMYFUNCTION("""COMPUTED_VALUE"""),45021.64583333333)</f>
        <v>45021.64583</v>
      </c>
      <c r="B2759" s="1">
        <f>IFERROR(__xludf.DUMMYFUNCTION("""COMPUTED_VALUE"""),51500.0)</f>
        <v>51500</v>
      </c>
      <c r="C2759" s="1">
        <f>IFERROR(__xludf.DUMMYFUNCTION("""COMPUTED_VALUE"""),51600.0)</f>
        <v>51600</v>
      </c>
      <c r="D2759" s="1">
        <f>IFERROR(__xludf.DUMMYFUNCTION("""COMPUTED_VALUE"""),51200.0)</f>
        <v>51200</v>
      </c>
      <c r="E2759" s="1">
        <f>IFERROR(__xludf.DUMMYFUNCTION("""COMPUTED_VALUE"""),51300.0)</f>
        <v>51300</v>
      </c>
      <c r="F2759" s="1">
        <f>IFERROR(__xludf.DUMMYFUNCTION("""COMPUTED_VALUE"""),4238.0)</f>
        <v>4238</v>
      </c>
    </row>
    <row r="2760">
      <c r="A2760" s="2">
        <f>IFERROR(__xludf.DUMMYFUNCTION("""COMPUTED_VALUE"""),45022.64583333333)</f>
        <v>45022.64583</v>
      </c>
      <c r="B2760" s="1">
        <f>IFERROR(__xludf.DUMMYFUNCTION("""COMPUTED_VALUE"""),51900.0)</f>
        <v>51900</v>
      </c>
      <c r="C2760" s="1">
        <f>IFERROR(__xludf.DUMMYFUNCTION("""COMPUTED_VALUE"""),51900.0)</f>
        <v>51900</v>
      </c>
      <c r="D2760" s="1">
        <f>IFERROR(__xludf.DUMMYFUNCTION("""COMPUTED_VALUE"""),50300.0)</f>
        <v>50300</v>
      </c>
      <c r="E2760" s="1">
        <f>IFERROR(__xludf.DUMMYFUNCTION("""COMPUTED_VALUE"""),50700.0)</f>
        <v>50700</v>
      </c>
      <c r="F2760" s="1">
        <f>IFERROR(__xludf.DUMMYFUNCTION("""COMPUTED_VALUE"""),8397.0)</f>
        <v>8397</v>
      </c>
    </row>
    <row r="2761">
      <c r="A2761" s="2">
        <f>IFERROR(__xludf.DUMMYFUNCTION("""COMPUTED_VALUE"""),45023.64583333333)</f>
        <v>45023.64583</v>
      </c>
      <c r="B2761" s="1">
        <f>IFERROR(__xludf.DUMMYFUNCTION("""COMPUTED_VALUE"""),51000.0)</f>
        <v>51000</v>
      </c>
      <c r="C2761" s="1">
        <f>IFERROR(__xludf.DUMMYFUNCTION("""COMPUTED_VALUE"""),51000.0)</f>
        <v>51000</v>
      </c>
      <c r="D2761" s="1">
        <f>IFERROR(__xludf.DUMMYFUNCTION("""COMPUTED_VALUE"""),50400.0)</f>
        <v>50400</v>
      </c>
      <c r="E2761" s="1">
        <f>IFERROR(__xludf.DUMMYFUNCTION("""COMPUTED_VALUE"""),50600.0)</f>
        <v>50600</v>
      </c>
      <c r="F2761" s="1">
        <f>IFERROR(__xludf.DUMMYFUNCTION("""COMPUTED_VALUE"""),7819.0)</f>
        <v>7819</v>
      </c>
    </row>
    <row r="2762">
      <c r="A2762" s="2">
        <f>IFERROR(__xludf.DUMMYFUNCTION("""COMPUTED_VALUE"""),45026.64583333333)</f>
        <v>45026.64583</v>
      </c>
      <c r="B2762" s="1">
        <f>IFERROR(__xludf.DUMMYFUNCTION("""COMPUTED_VALUE"""),50600.0)</f>
        <v>50600</v>
      </c>
      <c r="C2762" s="1">
        <f>IFERROR(__xludf.DUMMYFUNCTION("""COMPUTED_VALUE"""),51400.0)</f>
        <v>51400</v>
      </c>
      <c r="D2762" s="1">
        <f>IFERROR(__xludf.DUMMYFUNCTION("""COMPUTED_VALUE"""),50300.0)</f>
        <v>50300</v>
      </c>
      <c r="E2762" s="1">
        <f>IFERROR(__xludf.DUMMYFUNCTION("""COMPUTED_VALUE"""),50700.0)</f>
        <v>50700</v>
      </c>
      <c r="F2762" s="1">
        <f>IFERROR(__xludf.DUMMYFUNCTION("""COMPUTED_VALUE"""),9096.0)</f>
        <v>9096</v>
      </c>
    </row>
    <row r="2763">
      <c r="A2763" s="2">
        <f>IFERROR(__xludf.DUMMYFUNCTION("""COMPUTED_VALUE"""),45027.64583333333)</f>
        <v>45027.64583</v>
      </c>
      <c r="B2763" s="1">
        <f>IFERROR(__xludf.DUMMYFUNCTION("""COMPUTED_VALUE"""),50700.0)</f>
        <v>50700</v>
      </c>
      <c r="C2763" s="1">
        <f>IFERROR(__xludf.DUMMYFUNCTION("""COMPUTED_VALUE"""),51100.0)</f>
        <v>51100</v>
      </c>
      <c r="D2763" s="1">
        <f>IFERROR(__xludf.DUMMYFUNCTION("""COMPUTED_VALUE"""),50500.0)</f>
        <v>50500</v>
      </c>
      <c r="E2763" s="1">
        <f>IFERROR(__xludf.DUMMYFUNCTION("""COMPUTED_VALUE"""),50800.0)</f>
        <v>50800</v>
      </c>
      <c r="F2763" s="1">
        <f>IFERROR(__xludf.DUMMYFUNCTION("""COMPUTED_VALUE"""),6997.0)</f>
        <v>6997</v>
      </c>
    </row>
    <row r="2764">
      <c r="A2764" s="2">
        <f>IFERROR(__xludf.DUMMYFUNCTION("""COMPUTED_VALUE"""),45028.64583333333)</f>
        <v>45028.64583</v>
      </c>
      <c r="B2764" s="1">
        <f>IFERROR(__xludf.DUMMYFUNCTION("""COMPUTED_VALUE"""),50800.0)</f>
        <v>50800</v>
      </c>
      <c r="C2764" s="1">
        <f>IFERROR(__xludf.DUMMYFUNCTION("""COMPUTED_VALUE"""),51600.0)</f>
        <v>51600</v>
      </c>
      <c r="D2764" s="1">
        <f>IFERROR(__xludf.DUMMYFUNCTION("""COMPUTED_VALUE"""),50800.0)</f>
        <v>50800</v>
      </c>
      <c r="E2764" s="1">
        <f>IFERROR(__xludf.DUMMYFUNCTION("""COMPUTED_VALUE"""),51500.0)</f>
        <v>51500</v>
      </c>
      <c r="F2764" s="1">
        <f>IFERROR(__xludf.DUMMYFUNCTION("""COMPUTED_VALUE"""),7088.0)</f>
        <v>7088</v>
      </c>
    </row>
    <row r="2765">
      <c r="A2765" s="2">
        <f>IFERROR(__xludf.DUMMYFUNCTION("""COMPUTED_VALUE"""),45029.64583333333)</f>
        <v>45029.64583</v>
      </c>
      <c r="B2765" s="1">
        <f>IFERROR(__xludf.DUMMYFUNCTION("""COMPUTED_VALUE"""),51700.0)</f>
        <v>51700</v>
      </c>
      <c r="C2765" s="1">
        <f>IFERROR(__xludf.DUMMYFUNCTION("""COMPUTED_VALUE"""),51800.0)</f>
        <v>51800</v>
      </c>
      <c r="D2765" s="1">
        <f>IFERROR(__xludf.DUMMYFUNCTION("""COMPUTED_VALUE"""),51100.0)</f>
        <v>51100</v>
      </c>
      <c r="E2765" s="1">
        <f>IFERROR(__xludf.DUMMYFUNCTION("""COMPUTED_VALUE"""),51600.0)</f>
        <v>51600</v>
      </c>
      <c r="F2765" s="1">
        <f>IFERROR(__xludf.DUMMYFUNCTION("""COMPUTED_VALUE"""),10645.0)</f>
        <v>10645</v>
      </c>
    </row>
    <row r="2766">
      <c r="A2766" s="2">
        <f>IFERROR(__xludf.DUMMYFUNCTION("""COMPUTED_VALUE"""),45030.64583333333)</f>
        <v>45030.64583</v>
      </c>
      <c r="B2766" s="1">
        <f>IFERROR(__xludf.DUMMYFUNCTION("""COMPUTED_VALUE"""),51800.0)</f>
        <v>51800</v>
      </c>
      <c r="C2766" s="1">
        <f>IFERROR(__xludf.DUMMYFUNCTION("""COMPUTED_VALUE"""),52300.0)</f>
        <v>52300</v>
      </c>
      <c r="D2766" s="1">
        <f>IFERROR(__xludf.DUMMYFUNCTION("""COMPUTED_VALUE"""),51400.0)</f>
        <v>51400</v>
      </c>
      <c r="E2766" s="1">
        <f>IFERROR(__xludf.DUMMYFUNCTION("""COMPUTED_VALUE"""),52000.0)</f>
        <v>52000</v>
      </c>
      <c r="F2766" s="1">
        <f>IFERROR(__xludf.DUMMYFUNCTION("""COMPUTED_VALUE"""),20883.0)</f>
        <v>20883</v>
      </c>
    </row>
    <row r="2767">
      <c r="A2767" s="2">
        <f>IFERROR(__xludf.DUMMYFUNCTION("""COMPUTED_VALUE"""),45033.64583333333)</f>
        <v>45033.64583</v>
      </c>
      <c r="B2767" s="1">
        <f>IFERROR(__xludf.DUMMYFUNCTION("""COMPUTED_VALUE"""),52000.0)</f>
        <v>52000</v>
      </c>
      <c r="C2767" s="1">
        <f>IFERROR(__xludf.DUMMYFUNCTION("""COMPUTED_VALUE"""),52900.0)</f>
        <v>52900</v>
      </c>
      <c r="D2767" s="1">
        <f>IFERROR(__xludf.DUMMYFUNCTION("""COMPUTED_VALUE"""),51800.0)</f>
        <v>51800</v>
      </c>
      <c r="E2767" s="1">
        <f>IFERROR(__xludf.DUMMYFUNCTION("""COMPUTED_VALUE"""),52800.0)</f>
        <v>52800</v>
      </c>
      <c r="F2767" s="1">
        <f>IFERROR(__xludf.DUMMYFUNCTION("""COMPUTED_VALUE"""),15318.0)</f>
        <v>15318</v>
      </c>
    </row>
    <row r="2768">
      <c r="A2768" s="2">
        <f>IFERROR(__xludf.DUMMYFUNCTION("""COMPUTED_VALUE"""),45034.64583333333)</f>
        <v>45034.64583</v>
      </c>
      <c r="B2768" s="1">
        <f>IFERROR(__xludf.DUMMYFUNCTION("""COMPUTED_VALUE"""),53300.0)</f>
        <v>53300</v>
      </c>
      <c r="C2768" s="1">
        <f>IFERROR(__xludf.DUMMYFUNCTION("""COMPUTED_VALUE"""),53300.0)</f>
        <v>53300</v>
      </c>
      <c r="D2768" s="1">
        <f>IFERROR(__xludf.DUMMYFUNCTION("""COMPUTED_VALUE"""),52000.0)</f>
        <v>52000</v>
      </c>
      <c r="E2768" s="1">
        <f>IFERROR(__xludf.DUMMYFUNCTION("""COMPUTED_VALUE"""),52400.0)</f>
        <v>52400</v>
      </c>
      <c r="F2768" s="1">
        <f>IFERROR(__xludf.DUMMYFUNCTION("""COMPUTED_VALUE"""),8442.0)</f>
        <v>8442</v>
      </c>
    </row>
    <row r="2769">
      <c r="A2769" s="2">
        <f>IFERROR(__xludf.DUMMYFUNCTION("""COMPUTED_VALUE"""),45035.64583333333)</f>
        <v>45035.64583</v>
      </c>
      <c r="B2769" s="1">
        <f>IFERROR(__xludf.DUMMYFUNCTION("""COMPUTED_VALUE"""),52500.0)</f>
        <v>52500</v>
      </c>
      <c r="C2769" s="1">
        <f>IFERROR(__xludf.DUMMYFUNCTION("""COMPUTED_VALUE"""),52500.0)</f>
        <v>52500</v>
      </c>
      <c r="D2769" s="1">
        <f>IFERROR(__xludf.DUMMYFUNCTION("""COMPUTED_VALUE"""),52000.0)</f>
        <v>52000</v>
      </c>
      <c r="E2769" s="1">
        <f>IFERROR(__xludf.DUMMYFUNCTION("""COMPUTED_VALUE"""),52200.0)</f>
        <v>52200</v>
      </c>
      <c r="F2769" s="1">
        <f>IFERROR(__xludf.DUMMYFUNCTION("""COMPUTED_VALUE"""),11998.0)</f>
        <v>11998</v>
      </c>
    </row>
    <row r="2770">
      <c r="A2770" s="2">
        <f>IFERROR(__xludf.DUMMYFUNCTION("""COMPUTED_VALUE"""),45036.64583333333)</f>
        <v>45036.64583</v>
      </c>
      <c r="B2770" s="1">
        <f>IFERROR(__xludf.DUMMYFUNCTION("""COMPUTED_VALUE"""),52200.0)</f>
        <v>52200</v>
      </c>
      <c r="C2770" s="1">
        <f>IFERROR(__xludf.DUMMYFUNCTION("""COMPUTED_VALUE"""),52400.0)</f>
        <v>52400</v>
      </c>
      <c r="D2770" s="1">
        <f>IFERROR(__xludf.DUMMYFUNCTION("""COMPUTED_VALUE"""),52000.0)</f>
        <v>52000</v>
      </c>
      <c r="E2770" s="1">
        <f>IFERROR(__xludf.DUMMYFUNCTION("""COMPUTED_VALUE"""),52000.0)</f>
        <v>52000</v>
      </c>
      <c r="F2770" s="1">
        <f>IFERROR(__xludf.DUMMYFUNCTION("""COMPUTED_VALUE"""),11135.0)</f>
        <v>11135</v>
      </c>
    </row>
    <row r="2771">
      <c r="A2771" s="2">
        <f>IFERROR(__xludf.DUMMYFUNCTION("""COMPUTED_VALUE"""),45037.64583333333)</f>
        <v>45037.64583</v>
      </c>
      <c r="B2771" s="1">
        <f>IFERROR(__xludf.DUMMYFUNCTION("""COMPUTED_VALUE"""),52200.0)</f>
        <v>52200</v>
      </c>
      <c r="C2771" s="1">
        <f>IFERROR(__xludf.DUMMYFUNCTION("""COMPUTED_VALUE"""),52200.0)</f>
        <v>52200</v>
      </c>
      <c r="D2771" s="1">
        <f>IFERROR(__xludf.DUMMYFUNCTION("""COMPUTED_VALUE"""),50900.0)</f>
        <v>50900</v>
      </c>
      <c r="E2771" s="1">
        <f>IFERROR(__xludf.DUMMYFUNCTION("""COMPUTED_VALUE"""),51800.0)</f>
        <v>51800</v>
      </c>
      <c r="F2771" s="1">
        <f>IFERROR(__xludf.DUMMYFUNCTION("""COMPUTED_VALUE"""),11229.0)</f>
        <v>11229</v>
      </c>
    </row>
    <row r="2772">
      <c r="A2772" s="2">
        <f>IFERROR(__xludf.DUMMYFUNCTION("""COMPUTED_VALUE"""),45040.64583333333)</f>
        <v>45040.64583</v>
      </c>
      <c r="B2772" s="1">
        <f>IFERROR(__xludf.DUMMYFUNCTION("""COMPUTED_VALUE"""),51800.0)</f>
        <v>51800</v>
      </c>
      <c r="C2772" s="1">
        <f>IFERROR(__xludf.DUMMYFUNCTION("""COMPUTED_VALUE"""),51900.0)</f>
        <v>51900</v>
      </c>
      <c r="D2772" s="1">
        <f>IFERROR(__xludf.DUMMYFUNCTION("""COMPUTED_VALUE"""),51200.0)</f>
        <v>51200</v>
      </c>
      <c r="E2772" s="1">
        <f>IFERROR(__xludf.DUMMYFUNCTION("""COMPUTED_VALUE"""),51700.0)</f>
        <v>51700</v>
      </c>
      <c r="F2772" s="1">
        <f>IFERROR(__xludf.DUMMYFUNCTION("""COMPUTED_VALUE"""),7570.0)</f>
        <v>7570</v>
      </c>
    </row>
    <row r="2773">
      <c r="A2773" s="2">
        <f>IFERROR(__xludf.DUMMYFUNCTION("""COMPUTED_VALUE"""),45041.64583333333)</f>
        <v>45041.64583</v>
      </c>
      <c r="B2773" s="1">
        <f>IFERROR(__xludf.DUMMYFUNCTION("""COMPUTED_VALUE"""),51200.0)</f>
        <v>51200</v>
      </c>
      <c r="C2773" s="1">
        <f>IFERROR(__xludf.DUMMYFUNCTION("""COMPUTED_VALUE"""),51800.0)</f>
        <v>51800</v>
      </c>
      <c r="D2773" s="1">
        <f>IFERROR(__xludf.DUMMYFUNCTION("""COMPUTED_VALUE"""),50900.0)</f>
        <v>50900</v>
      </c>
      <c r="E2773" s="1">
        <f>IFERROR(__xludf.DUMMYFUNCTION("""COMPUTED_VALUE"""),51600.0)</f>
        <v>51600</v>
      </c>
      <c r="F2773" s="1">
        <f>IFERROR(__xludf.DUMMYFUNCTION("""COMPUTED_VALUE"""),11315.0)</f>
        <v>11315</v>
      </c>
    </row>
    <row r="2774">
      <c r="A2774" s="2">
        <f>IFERROR(__xludf.DUMMYFUNCTION("""COMPUTED_VALUE"""),45042.64583333333)</f>
        <v>45042.64583</v>
      </c>
      <c r="B2774" s="1">
        <f>IFERROR(__xludf.DUMMYFUNCTION("""COMPUTED_VALUE"""),51100.0)</f>
        <v>51100</v>
      </c>
      <c r="C2774" s="1">
        <f>IFERROR(__xludf.DUMMYFUNCTION("""COMPUTED_VALUE"""),51300.0)</f>
        <v>51300</v>
      </c>
      <c r="D2774" s="1">
        <f>IFERROR(__xludf.DUMMYFUNCTION("""COMPUTED_VALUE"""),50300.0)</f>
        <v>50300</v>
      </c>
      <c r="E2774" s="1">
        <f>IFERROR(__xludf.DUMMYFUNCTION("""COMPUTED_VALUE"""),50600.0)</f>
        <v>50600</v>
      </c>
      <c r="F2774" s="1">
        <f>IFERROR(__xludf.DUMMYFUNCTION("""COMPUTED_VALUE"""),15588.0)</f>
        <v>15588</v>
      </c>
    </row>
    <row r="2775">
      <c r="A2775" s="2">
        <f>IFERROR(__xludf.DUMMYFUNCTION("""COMPUTED_VALUE"""),45043.64583333333)</f>
        <v>45043.64583</v>
      </c>
      <c r="B2775" s="1">
        <f>IFERROR(__xludf.DUMMYFUNCTION("""COMPUTED_VALUE"""),50600.0)</f>
        <v>50600</v>
      </c>
      <c r="C2775" s="1">
        <f>IFERROR(__xludf.DUMMYFUNCTION("""COMPUTED_VALUE"""),50600.0)</f>
        <v>50600</v>
      </c>
      <c r="D2775" s="1">
        <f>IFERROR(__xludf.DUMMYFUNCTION("""COMPUTED_VALUE"""),49000.0)</f>
        <v>49000</v>
      </c>
      <c r="E2775" s="1">
        <f>IFERROR(__xludf.DUMMYFUNCTION("""COMPUTED_VALUE"""),49450.0)</f>
        <v>49450</v>
      </c>
      <c r="F2775" s="1">
        <f>IFERROR(__xludf.DUMMYFUNCTION("""COMPUTED_VALUE"""),35646.0)</f>
        <v>35646</v>
      </c>
    </row>
    <row r="2776">
      <c r="A2776" s="2">
        <f>IFERROR(__xludf.DUMMYFUNCTION("""COMPUTED_VALUE"""),45044.64583333333)</f>
        <v>45044.64583</v>
      </c>
      <c r="B2776" s="1">
        <f>IFERROR(__xludf.DUMMYFUNCTION("""COMPUTED_VALUE"""),49550.0)</f>
        <v>49550</v>
      </c>
      <c r="C2776" s="1">
        <f>IFERROR(__xludf.DUMMYFUNCTION("""COMPUTED_VALUE"""),50600.0)</f>
        <v>50600</v>
      </c>
      <c r="D2776" s="1">
        <f>IFERROR(__xludf.DUMMYFUNCTION("""COMPUTED_VALUE"""),49500.0)</f>
        <v>49500</v>
      </c>
      <c r="E2776" s="1">
        <f>IFERROR(__xludf.DUMMYFUNCTION("""COMPUTED_VALUE"""),50400.0)</f>
        <v>50400</v>
      </c>
      <c r="F2776" s="1">
        <f>IFERROR(__xludf.DUMMYFUNCTION("""COMPUTED_VALUE"""),13863.0)</f>
        <v>13863</v>
      </c>
    </row>
    <row r="2777">
      <c r="A2777" s="2">
        <f>IFERROR(__xludf.DUMMYFUNCTION("""COMPUTED_VALUE"""),45048.64583333333)</f>
        <v>45048.64583</v>
      </c>
      <c r="B2777" s="1">
        <f>IFERROR(__xludf.DUMMYFUNCTION("""COMPUTED_VALUE"""),50400.0)</f>
        <v>50400</v>
      </c>
      <c r="C2777" s="1">
        <f>IFERROR(__xludf.DUMMYFUNCTION("""COMPUTED_VALUE"""),50900.0)</f>
        <v>50900</v>
      </c>
      <c r="D2777" s="1">
        <f>IFERROR(__xludf.DUMMYFUNCTION("""COMPUTED_VALUE"""),50300.0)</f>
        <v>50300</v>
      </c>
      <c r="E2777" s="1">
        <f>IFERROR(__xludf.DUMMYFUNCTION("""COMPUTED_VALUE"""),50700.0)</f>
        <v>50700</v>
      </c>
      <c r="F2777" s="1">
        <f>IFERROR(__xludf.DUMMYFUNCTION("""COMPUTED_VALUE"""),9286.0)</f>
        <v>9286</v>
      </c>
    </row>
    <row r="2778">
      <c r="A2778" s="2">
        <f>IFERROR(__xludf.DUMMYFUNCTION("""COMPUTED_VALUE"""),45049.64583333333)</f>
        <v>45049.64583</v>
      </c>
      <c r="B2778" s="1">
        <f>IFERROR(__xludf.DUMMYFUNCTION("""COMPUTED_VALUE"""),49650.0)</f>
        <v>49650</v>
      </c>
      <c r="C2778" s="1">
        <f>IFERROR(__xludf.DUMMYFUNCTION("""COMPUTED_VALUE"""),50300.0)</f>
        <v>50300</v>
      </c>
      <c r="D2778" s="1">
        <f>IFERROR(__xludf.DUMMYFUNCTION("""COMPUTED_VALUE"""),49650.0)</f>
        <v>49650</v>
      </c>
      <c r="E2778" s="1">
        <f>IFERROR(__xludf.DUMMYFUNCTION("""COMPUTED_VALUE"""),50100.0)</f>
        <v>50100</v>
      </c>
      <c r="F2778" s="1">
        <f>IFERROR(__xludf.DUMMYFUNCTION("""COMPUTED_VALUE"""),9497.0)</f>
        <v>9497</v>
      </c>
    </row>
    <row r="2779">
      <c r="A2779" s="2">
        <f>IFERROR(__xludf.DUMMYFUNCTION("""COMPUTED_VALUE"""),45050.64583333333)</f>
        <v>45050.64583</v>
      </c>
      <c r="B2779" s="1">
        <f>IFERROR(__xludf.DUMMYFUNCTION("""COMPUTED_VALUE"""),49750.0)</f>
        <v>49750</v>
      </c>
      <c r="C2779" s="1">
        <f>IFERROR(__xludf.DUMMYFUNCTION("""COMPUTED_VALUE"""),50600.0)</f>
        <v>50600</v>
      </c>
      <c r="D2779" s="1">
        <f>IFERROR(__xludf.DUMMYFUNCTION("""COMPUTED_VALUE"""),49750.0)</f>
        <v>49750</v>
      </c>
      <c r="E2779" s="1">
        <f>IFERROR(__xludf.DUMMYFUNCTION("""COMPUTED_VALUE"""),50100.0)</f>
        <v>50100</v>
      </c>
      <c r="F2779" s="1">
        <f>IFERROR(__xludf.DUMMYFUNCTION("""COMPUTED_VALUE"""),8575.0)</f>
        <v>8575</v>
      </c>
    </row>
    <row r="2780">
      <c r="A2780" s="2">
        <f>IFERROR(__xludf.DUMMYFUNCTION("""COMPUTED_VALUE"""),45054.64583333333)</f>
        <v>45054.64583</v>
      </c>
      <c r="B2780" s="1">
        <f>IFERROR(__xludf.DUMMYFUNCTION("""COMPUTED_VALUE"""),50200.0)</f>
        <v>50200</v>
      </c>
      <c r="C2780" s="1">
        <f>IFERROR(__xludf.DUMMYFUNCTION("""COMPUTED_VALUE"""),51300.0)</f>
        <v>51300</v>
      </c>
      <c r="D2780" s="1">
        <f>IFERROR(__xludf.DUMMYFUNCTION("""COMPUTED_VALUE"""),50200.0)</f>
        <v>50200</v>
      </c>
      <c r="E2780" s="1">
        <f>IFERROR(__xludf.DUMMYFUNCTION("""COMPUTED_VALUE"""),50900.0)</f>
        <v>50900</v>
      </c>
      <c r="F2780" s="1">
        <f>IFERROR(__xludf.DUMMYFUNCTION("""COMPUTED_VALUE"""),11524.0)</f>
        <v>11524</v>
      </c>
    </row>
    <row r="2781">
      <c r="A2781" s="2">
        <f>IFERROR(__xludf.DUMMYFUNCTION("""COMPUTED_VALUE"""),45055.64583333333)</f>
        <v>45055.64583</v>
      </c>
      <c r="B2781" s="1">
        <f>IFERROR(__xludf.DUMMYFUNCTION("""COMPUTED_VALUE"""),50900.0)</f>
        <v>50900</v>
      </c>
      <c r="C2781" s="1">
        <f>IFERROR(__xludf.DUMMYFUNCTION("""COMPUTED_VALUE"""),51400.0)</f>
        <v>51400</v>
      </c>
      <c r="D2781" s="1">
        <f>IFERROR(__xludf.DUMMYFUNCTION("""COMPUTED_VALUE"""),50600.0)</f>
        <v>50600</v>
      </c>
      <c r="E2781" s="1">
        <f>IFERROR(__xludf.DUMMYFUNCTION("""COMPUTED_VALUE"""),51400.0)</f>
        <v>51400</v>
      </c>
      <c r="F2781" s="1">
        <f>IFERROR(__xludf.DUMMYFUNCTION("""COMPUTED_VALUE"""),14816.0)</f>
        <v>14816</v>
      </c>
    </row>
    <row r="2782">
      <c r="A2782" s="2">
        <f>IFERROR(__xludf.DUMMYFUNCTION("""COMPUTED_VALUE"""),45056.64583333333)</f>
        <v>45056.64583</v>
      </c>
      <c r="B2782" s="1">
        <f>IFERROR(__xludf.DUMMYFUNCTION("""COMPUTED_VALUE"""),51300.0)</f>
        <v>51300</v>
      </c>
      <c r="C2782" s="1">
        <f>IFERROR(__xludf.DUMMYFUNCTION("""COMPUTED_VALUE"""),51500.0)</f>
        <v>51500</v>
      </c>
      <c r="D2782" s="1">
        <f>IFERROR(__xludf.DUMMYFUNCTION("""COMPUTED_VALUE"""),51100.0)</f>
        <v>51100</v>
      </c>
      <c r="E2782" s="1">
        <f>IFERROR(__xludf.DUMMYFUNCTION("""COMPUTED_VALUE"""),51100.0)</f>
        <v>51100</v>
      </c>
      <c r="F2782" s="1">
        <f>IFERROR(__xludf.DUMMYFUNCTION("""COMPUTED_VALUE"""),11434.0)</f>
        <v>11434</v>
      </c>
    </row>
    <row r="2783">
      <c r="A2783" s="2">
        <f>IFERROR(__xludf.DUMMYFUNCTION("""COMPUTED_VALUE"""),45057.64583333333)</f>
        <v>45057.64583</v>
      </c>
      <c r="B2783" s="1">
        <f>IFERROR(__xludf.DUMMYFUNCTION("""COMPUTED_VALUE"""),51000.0)</f>
        <v>51000</v>
      </c>
      <c r="C2783" s="1">
        <f>IFERROR(__xludf.DUMMYFUNCTION("""COMPUTED_VALUE"""),51900.0)</f>
        <v>51900</v>
      </c>
      <c r="D2783" s="1">
        <f>IFERROR(__xludf.DUMMYFUNCTION("""COMPUTED_VALUE"""),51000.0)</f>
        <v>51000</v>
      </c>
      <c r="E2783" s="1">
        <f>IFERROR(__xludf.DUMMYFUNCTION("""COMPUTED_VALUE"""),51800.0)</f>
        <v>51800</v>
      </c>
      <c r="F2783" s="1">
        <f>IFERROR(__xludf.DUMMYFUNCTION("""COMPUTED_VALUE"""),9695.0)</f>
        <v>9695</v>
      </c>
    </row>
    <row r="2784">
      <c r="A2784" s="2">
        <f>IFERROR(__xludf.DUMMYFUNCTION("""COMPUTED_VALUE"""),45058.64583333333)</f>
        <v>45058.64583</v>
      </c>
      <c r="B2784" s="1">
        <f>IFERROR(__xludf.DUMMYFUNCTION("""COMPUTED_VALUE"""),51900.0)</f>
        <v>51900</v>
      </c>
      <c r="C2784" s="1">
        <f>IFERROR(__xludf.DUMMYFUNCTION("""COMPUTED_VALUE"""),52000.0)</f>
        <v>52000</v>
      </c>
      <c r="D2784" s="1">
        <f>IFERROR(__xludf.DUMMYFUNCTION("""COMPUTED_VALUE"""),51300.0)</f>
        <v>51300</v>
      </c>
      <c r="E2784" s="1">
        <f>IFERROR(__xludf.DUMMYFUNCTION("""COMPUTED_VALUE"""),51600.0)</f>
        <v>51600</v>
      </c>
      <c r="F2784" s="1">
        <f>IFERROR(__xludf.DUMMYFUNCTION("""COMPUTED_VALUE"""),3507.0)</f>
        <v>3507</v>
      </c>
    </row>
    <row r="2785">
      <c r="A2785" s="2">
        <f>IFERROR(__xludf.DUMMYFUNCTION("""COMPUTED_VALUE"""),45061.64583333333)</f>
        <v>45061.64583</v>
      </c>
      <c r="B2785" s="1">
        <f>IFERROR(__xludf.DUMMYFUNCTION("""COMPUTED_VALUE"""),51600.0)</f>
        <v>51600</v>
      </c>
      <c r="C2785" s="1">
        <f>IFERROR(__xludf.DUMMYFUNCTION("""COMPUTED_VALUE"""),51700.0)</f>
        <v>51700</v>
      </c>
      <c r="D2785" s="1">
        <f>IFERROR(__xludf.DUMMYFUNCTION("""COMPUTED_VALUE"""),51000.0)</f>
        <v>51000</v>
      </c>
      <c r="E2785" s="1">
        <f>IFERROR(__xludf.DUMMYFUNCTION("""COMPUTED_VALUE"""),51600.0)</f>
        <v>51600</v>
      </c>
      <c r="F2785" s="1">
        <f>IFERROR(__xludf.DUMMYFUNCTION("""COMPUTED_VALUE"""),8614.0)</f>
        <v>8614</v>
      </c>
    </row>
    <row r="2786">
      <c r="A2786" s="2">
        <f>IFERROR(__xludf.DUMMYFUNCTION("""COMPUTED_VALUE"""),45062.64583333333)</f>
        <v>45062.64583</v>
      </c>
      <c r="B2786" s="1">
        <f>IFERROR(__xludf.DUMMYFUNCTION("""COMPUTED_VALUE"""),51800.0)</f>
        <v>51800</v>
      </c>
      <c r="C2786" s="1">
        <f>IFERROR(__xludf.DUMMYFUNCTION("""COMPUTED_VALUE"""),52000.0)</f>
        <v>52000</v>
      </c>
      <c r="D2786" s="1">
        <f>IFERROR(__xludf.DUMMYFUNCTION("""COMPUTED_VALUE"""),51400.0)</f>
        <v>51400</v>
      </c>
      <c r="E2786" s="1">
        <f>IFERROR(__xludf.DUMMYFUNCTION("""COMPUTED_VALUE"""),52000.0)</f>
        <v>52000</v>
      </c>
      <c r="F2786" s="1">
        <f>IFERROR(__xludf.DUMMYFUNCTION("""COMPUTED_VALUE"""),13820.0)</f>
        <v>13820</v>
      </c>
    </row>
    <row r="2787">
      <c r="A2787" s="2">
        <f>IFERROR(__xludf.DUMMYFUNCTION("""COMPUTED_VALUE"""),45063.64583333333)</f>
        <v>45063.64583</v>
      </c>
      <c r="B2787" s="1">
        <f>IFERROR(__xludf.DUMMYFUNCTION("""COMPUTED_VALUE"""),52000.0)</f>
        <v>52000</v>
      </c>
      <c r="C2787" s="1">
        <f>IFERROR(__xludf.DUMMYFUNCTION("""COMPUTED_VALUE"""),52300.0)</f>
        <v>52300</v>
      </c>
      <c r="D2787" s="1">
        <f>IFERROR(__xludf.DUMMYFUNCTION("""COMPUTED_VALUE"""),51700.0)</f>
        <v>51700</v>
      </c>
      <c r="E2787" s="1">
        <f>IFERROR(__xludf.DUMMYFUNCTION("""COMPUTED_VALUE"""),51800.0)</f>
        <v>51800</v>
      </c>
      <c r="F2787" s="1">
        <f>IFERROR(__xludf.DUMMYFUNCTION("""COMPUTED_VALUE"""),13331.0)</f>
        <v>13331</v>
      </c>
    </row>
    <row r="2788">
      <c r="A2788" s="2">
        <f>IFERROR(__xludf.DUMMYFUNCTION("""COMPUTED_VALUE"""),45064.64583333333)</f>
        <v>45064.64583</v>
      </c>
      <c r="B2788" s="1">
        <f>IFERROR(__xludf.DUMMYFUNCTION("""COMPUTED_VALUE"""),52000.0)</f>
        <v>52000</v>
      </c>
      <c r="C2788" s="1">
        <f>IFERROR(__xludf.DUMMYFUNCTION("""COMPUTED_VALUE"""),52400.0)</f>
        <v>52400</v>
      </c>
      <c r="D2788" s="1">
        <f>IFERROR(__xludf.DUMMYFUNCTION("""COMPUTED_VALUE"""),51200.0)</f>
        <v>51200</v>
      </c>
      <c r="E2788" s="1">
        <f>IFERROR(__xludf.DUMMYFUNCTION("""COMPUTED_VALUE"""),52400.0)</f>
        <v>52400</v>
      </c>
      <c r="F2788" s="1">
        <f>IFERROR(__xludf.DUMMYFUNCTION("""COMPUTED_VALUE"""),16175.0)</f>
        <v>16175</v>
      </c>
    </row>
    <row r="2789">
      <c r="A2789" s="2">
        <f>IFERROR(__xludf.DUMMYFUNCTION("""COMPUTED_VALUE"""),45065.64583333333)</f>
        <v>45065.64583</v>
      </c>
      <c r="B2789" s="1">
        <f>IFERROR(__xludf.DUMMYFUNCTION("""COMPUTED_VALUE"""),52400.0)</f>
        <v>52400</v>
      </c>
      <c r="C2789" s="1">
        <f>IFERROR(__xludf.DUMMYFUNCTION("""COMPUTED_VALUE"""),52700.0)</f>
        <v>52700</v>
      </c>
      <c r="D2789" s="1">
        <f>IFERROR(__xludf.DUMMYFUNCTION("""COMPUTED_VALUE"""),52200.0)</f>
        <v>52200</v>
      </c>
      <c r="E2789" s="1">
        <f>IFERROR(__xludf.DUMMYFUNCTION("""COMPUTED_VALUE"""),52700.0)</f>
        <v>52700</v>
      </c>
      <c r="F2789" s="1">
        <f>IFERROR(__xludf.DUMMYFUNCTION("""COMPUTED_VALUE"""),9345.0)</f>
        <v>9345</v>
      </c>
    </row>
    <row r="2790">
      <c r="A2790" s="2">
        <f>IFERROR(__xludf.DUMMYFUNCTION("""COMPUTED_VALUE"""),45068.64583333333)</f>
        <v>45068.64583</v>
      </c>
      <c r="B2790" s="1">
        <f>IFERROR(__xludf.DUMMYFUNCTION("""COMPUTED_VALUE"""),52800.0)</f>
        <v>52800</v>
      </c>
      <c r="C2790" s="1">
        <f>IFERROR(__xludf.DUMMYFUNCTION("""COMPUTED_VALUE"""),53200.0)</f>
        <v>53200</v>
      </c>
      <c r="D2790" s="1">
        <f>IFERROR(__xludf.DUMMYFUNCTION("""COMPUTED_VALUE"""),52500.0)</f>
        <v>52500</v>
      </c>
      <c r="E2790" s="1">
        <f>IFERROR(__xludf.DUMMYFUNCTION("""COMPUTED_VALUE"""),53000.0)</f>
        <v>53000</v>
      </c>
      <c r="F2790" s="1">
        <f>IFERROR(__xludf.DUMMYFUNCTION("""COMPUTED_VALUE"""),13904.0)</f>
        <v>13904</v>
      </c>
    </row>
    <row r="2791">
      <c r="A2791" s="2">
        <f>IFERROR(__xludf.DUMMYFUNCTION("""COMPUTED_VALUE"""),45069.64583333333)</f>
        <v>45069.64583</v>
      </c>
      <c r="B2791" s="1">
        <f>IFERROR(__xludf.DUMMYFUNCTION("""COMPUTED_VALUE"""),53300.0)</f>
        <v>53300</v>
      </c>
      <c r="C2791" s="1">
        <f>IFERROR(__xludf.DUMMYFUNCTION("""COMPUTED_VALUE"""),53400.0)</f>
        <v>53400</v>
      </c>
      <c r="D2791" s="1">
        <f>IFERROR(__xludf.DUMMYFUNCTION("""COMPUTED_VALUE"""),53000.0)</f>
        <v>53000</v>
      </c>
      <c r="E2791" s="1">
        <f>IFERROR(__xludf.DUMMYFUNCTION("""COMPUTED_VALUE"""),53300.0)</f>
        <v>53300</v>
      </c>
      <c r="F2791" s="1">
        <f>IFERROR(__xludf.DUMMYFUNCTION("""COMPUTED_VALUE"""),8580.0)</f>
        <v>8580</v>
      </c>
    </row>
    <row r="2792">
      <c r="A2792" s="2">
        <f>IFERROR(__xludf.DUMMYFUNCTION("""COMPUTED_VALUE"""),45070.64583333333)</f>
        <v>45070.64583</v>
      </c>
      <c r="B2792" s="1">
        <f>IFERROR(__xludf.DUMMYFUNCTION("""COMPUTED_VALUE"""),52700.0)</f>
        <v>52700</v>
      </c>
      <c r="C2792" s="1">
        <f>IFERROR(__xludf.DUMMYFUNCTION("""COMPUTED_VALUE"""),53800.0)</f>
        <v>53800</v>
      </c>
      <c r="D2792" s="1">
        <f>IFERROR(__xludf.DUMMYFUNCTION("""COMPUTED_VALUE"""),52700.0)</f>
        <v>52700</v>
      </c>
      <c r="E2792" s="1">
        <f>IFERROR(__xludf.DUMMYFUNCTION("""COMPUTED_VALUE"""),53600.0)</f>
        <v>53600</v>
      </c>
      <c r="F2792" s="1">
        <f>IFERROR(__xludf.DUMMYFUNCTION("""COMPUTED_VALUE"""),12986.0)</f>
        <v>12986</v>
      </c>
    </row>
    <row r="2793">
      <c r="A2793" s="2">
        <f>IFERROR(__xludf.DUMMYFUNCTION("""COMPUTED_VALUE"""),45071.64583333333)</f>
        <v>45071.64583</v>
      </c>
      <c r="B2793" s="1">
        <f>IFERROR(__xludf.DUMMYFUNCTION("""COMPUTED_VALUE"""),53600.0)</f>
        <v>53600</v>
      </c>
      <c r="C2793" s="1">
        <f>IFERROR(__xludf.DUMMYFUNCTION("""COMPUTED_VALUE"""),53800.0)</f>
        <v>53800</v>
      </c>
      <c r="D2793" s="1">
        <f>IFERROR(__xludf.DUMMYFUNCTION("""COMPUTED_VALUE"""),53100.0)</f>
        <v>53100</v>
      </c>
      <c r="E2793" s="1">
        <f>IFERROR(__xludf.DUMMYFUNCTION("""COMPUTED_VALUE"""),53500.0)</f>
        <v>53500</v>
      </c>
      <c r="F2793" s="1">
        <f>IFERROR(__xludf.DUMMYFUNCTION("""COMPUTED_VALUE"""),7980.0)</f>
        <v>7980</v>
      </c>
    </row>
    <row r="2794">
      <c r="A2794" s="2">
        <f>IFERROR(__xludf.DUMMYFUNCTION("""COMPUTED_VALUE"""),45072.64583333333)</f>
        <v>45072.64583</v>
      </c>
      <c r="B2794" s="1">
        <f>IFERROR(__xludf.DUMMYFUNCTION("""COMPUTED_VALUE"""),53500.0)</f>
        <v>53500</v>
      </c>
      <c r="C2794" s="1">
        <f>IFERROR(__xludf.DUMMYFUNCTION("""COMPUTED_VALUE"""),53500.0)</f>
        <v>53500</v>
      </c>
      <c r="D2794" s="1">
        <f>IFERROR(__xludf.DUMMYFUNCTION("""COMPUTED_VALUE"""),52600.0)</f>
        <v>52600</v>
      </c>
      <c r="E2794" s="1">
        <f>IFERROR(__xludf.DUMMYFUNCTION("""COMPUTED_VALUE"""),53300.0)</f>
        <v>53300</v>
      </c>
      <c r="F2794" s="1">
        <f>IFERROR(__xludf.DUMMYFUNCTION("""COMPUTED_VALUE"""),10593.0)</f>
        <v>10593</v>
      </c>
    </row>
    <row r="2795">
      <c r="A2795" s="2">
        <f>IFERROR(__xludf.DUMMYFUNCTION("""COMPUTED_VALUE"""),45076.64583333333)</f>
        <v>45076.64583</v>
      </c>
      <c r="B2795" s="1">
        <f>IFERROR(__xludf.DUMMYFUNCTION("""COMPUTED_VALUE"""),53300.0)</f>
        <v>53300</v>
      </c>
      <c r="C2795" s="1">
        <f>IFERROR(__xludf.DUMMYFUNCTION("""COMPUTED_VALUE"""),53300.0)</f>
        <v>53300</v>
      </c>
      <c r="D2795" s="1">
        <f>IFERROR(__xludf.DUMMYFUNCTION("""COMPUTED_VALUE"""),52600.0)</f>
        <v>52600</v>
      </c>
      <c r="E2795" s="1">
        <f>IFERROR(__xludf.DUMMYFUNCTION("""COMPUTED_VALUE"""),52800.0)</f>
        <v>52800</v>
      </c>
      <c r="F2795" s="1">
        <f>IFERROR(__xludf.DUMMYFUNCTION("""COMPUTED_VALUE"""),9684.0)</f>
        <v>9684</v>
      </c>
    </row>
    <row r="2796">
      <c r="A2796" s="2">
        <f>IFERROR(__xludf.DUMMYFUNCTION("""COMPUTED_VALUE"""),45077.64583333333)</f>
        <v>45077.64583</v>
      </c>
      <c r="B2796" s="1">
        <f>IFERROR(__xludf.DUMMYFUNCTION("""COMPUTED_VALUE"""),53200.0)</f>
        <v>53200</v>
      </c>
      <c r="C2796" s="1">
        <f>IFERROR(__xludf.DUMMYFUNCTION("""COMPUTED_VALUE"""),53400.0)</f>
        <v>53400</v>
      </c>
      <c r="D2796" s="1">
        <f>IFERROR(__xludf.DUMMYFUNCTION("""COMPUTED_VALUE"""),52800.0)</f>
        <v>52800</v>
      </c>
      <c r="E2796" s="1">
        <f>IFERROR(__xludf.DUMMYFUNCTION("""COMPUTED_VALUE"""),52800.0)</f>
        <v>52800</v>
      </c>
      <c r="F2796" s="1">
        <f>IFERROR(__xludf.DUMMYFUNCTION("""COMPUTED_VALUE"""),14668.0)</f>
        <v>14668</v>
      </c>
    </row>
    <row r="2797">
      <c r="A2797" s="2">
        <f>IFERROR(__xludf.DUMMYFUNCTION("""COMPUTED_VALUE"""),45078.64583333333)</f>
        <v>45078.64583</v>
      </c>
      <c r="B2797" s="1">
        <f>IFERROR(__xludf.DUMMYFUNCTION("""COMPUTED_VALUE"""),53000.0)</f>
        <v>53000</v>
      </c>
      <c r="C2797" s="1">
        <f>IFERROR(__xludf.DUMMYFUNCTION("""COMPUTED_VALUE"""),53300.0)</f>
        <v>53300</v>
      </c>
      <c r="D2797" s="1">
        <f>IFERROR(__xludf.DUMMYFUNCTION("""COMPUTED_VALUE"""),52900.0)</f>
        <v>52900</v>
      </c>
      <c r="E2797" s="1">
        <f>IFERROR(__xludf.DUMMYFUNCTION("""COMPUTED_VALUE"""),53300.0)</f>
        <v>53300</v>
      </c>
      <c r="F2797" s="1">
        <f>IFERROR(__xludf.DUMMYFUNCTION("""COMPUTED_VALUE"""),9271.0)</f>
        <v>9271</v>
      </c>
    </row>
    <row r="2798">
      <c r="A2798" s="2">
        <f>IFERROR(__xludf.DUMMYFUNCTION("""COMPUTED_VALUE"""),45079.64583333333)</f>
        <v>45079.64583</v>
      </c>
      <c r="B2798" s="1">
        <f>IFERROR(__xludf.DUMMYFUNCTION("""COMPUTED_VALUE"""),53300.0)</f>
        <v>53300</v>
      </c>
      <c r="C2798" s="1">
        <f>IFERROR(__xludf.DUMMYFUNCTION("""COMPUTED_VALUE"""),54000.0)</f>
        <v>54000</v>
      </c>
      <c r="D2798" s="1">
        <f>IFERROR(__xludf.DUMMYFUNCTION("""COMPUTED_VALUE"""),53300.0)</f>
        <v>53300</v>
      </c>
      <c r="E2798" s="1">
        <f>IFERROR(__xludf.DUMMYFUNCTION("""COMPUTED_VALUE"""),53800.0)</f>
        <v>53800</v>
      </c>
      <c r="F2798" s="1">
        <f>IFERROR(__xludf.DUMMYFUNCTION("""COMPUTED_VALUE"""),12478.0)</f>
        <v>12478</v>
      </c>
    </row>
    <row r="2799">
      <c r="A2799" s="2">
        <f>IFERROR(__xludf.DUMMYFUNCTION("""COMPUTED_VALUE"""),45082.64583333333)</f>
        <v>45082.64583</v>
      </c>
      <c r="B2799" s="1">
        <f>IFERROR(__xludf.DUMMYFUNCTION("""COMPUTED_VALUE"""),54000.0)</f>
        <v>54000</v>
      </c>
      <c r="C2799" s="1">
        <f>IFERROR(__xludf.DUMMYFUNCTION("""COMPUTED_VALUE"""),55200.0)</f>
        <v>55200</v>
      </c>
      <c r="D2799" s="1">
        <f>IFERROR(__xludf.DUMMYFUNCTION("""COMPUTED_VALUE"""),53900.0)</f>
        <v>53900</v>
      </c>
      <c r="E2799" s="1">
        <f>IFERROR(__xludf.DUMMYFUNCTION("""COMPUTED_VALUE"""),54500.0)</f>
        <v>54500</v>
      </c>
      <c r="F2799" s="1">
        <f>IFERROR(__xludf.DUMMYFUNCTION("""COMPUTED_VALUE"""),26328.0)</f>
        <v>26328</v>
      </c>
    </row>
    <row r="2800">
      <c r="A2800" s="2">
        <f>IFERROR(__xludf.DUMMYFUNCTION("""COMPUTED_VALUE"""),45084.64583333333)</f>
        <v>45084.64583</v>
      </c>
      <c r="B2800" s="1">
        <f>IFERROR(__xludf.DUMMYFUNCTION("""COMPUTED_VALUE"""),54800.0)</f>
        <v>54800</v>
      </c>
      <c r="C2800" s="1">
        <f>IFERROR(__xludf.DUMMYFUNCTION("""COMPUTED_VALUE"""),55200.0)</f>
        <v>55200</v>
      </c>
      <c r="D2800" s="1">
        <f>IFERROR(__xludf.DUMMYFUNCTION("""COMPUTED_VALUE"""),54100.0)</f>
        <v>54100</v>
      </c>
      <c r="E2800" s="1">
        <f>IFERROR(__xludf.DUMMYFUNCTION("""COMPUTED_VALUE"""),54800.0)</f>
        <v>54800</v>
      </c>
      <c r="F2800" s="1">
        <f>IFERROR(__xludf.DUMMYFUNCTION("""COMPUTED_VALUE"""),6962.0)</f>
        <v>6962</v>
      </c>
    </row>
    <row r="2801">
      <c r="A2801" s="2">
        <f>IFERROR(__xludf.DUMMYFUNCTION("""COMPUTED_VALUE"""),45085.64583333333)</f>
        <v>45085.64583</v>
      </c>
      <c r="B2801" s="1">
        <f>IFERROR(__xludf.DUMMYFUNCTION("""COMPUTED_VALUE"""),54800.0)</f>
        <v>54800</v>
      </c>
      <c r="C2801" s="1">
        <f>IFERROR(__xludf.DUMMYFUNCTION("""COMPUTED_VALUE"""),55000.0)</f>
        <v>55000</v>
      </c>
      <c r="D2801" s="1">
        <f>IFERROR(__xludf.DUMMYFUNCTION("""COMPUTED_VALUE"""),54100.0)</f>
        <v>54100</v>
      </c>
      <c r="E2801" s="1">
        <f>IFERROR(__xludf.DUMMYFUNCTION("""COMPUTED_VALUE"""),54700.0)</f>
        <v>54700</v>
      </c>
      <c r="F2801" s="1">
        <f>IFERROR(__xludf.DUMMYFUNCTION("""COMPUTED_VALUE"""),11385.0)</f>
        <v>11385</v>
      </c>
    </row>
    <row r="2802">
      <c r="A2802" s="2">
        <f>IFERROR(__xludf.DUMMYFUNCTION("""COMPUTED_VALUE"""),45086.64583333333)</f>
        <v>45086.64583</v>
      </c>
      <c r="B2802" s="1">
        <f>IFERROR(__xludf.DUMMYFUNCTION("""COMPUTED_VALUE"""),54700.0)</f>
        <v>54700</v>
      </c>
      <c r="C2802" s="1">
        <f>IFERROR(__xludf.DUMMYFUNCTION("""COMPUTED_VALUE"""),55000.0)</f>
        <v>55000</v>
      </c>
      <c r="D2802" s="1">
        <f>IFERROR(__xludf.DUMMYFUNCTION("""COMPUTED_VALUE"""),53600.0)</f>
        <v>53600</v>
      </c>
      <c r="E2802" s="1">
        <f>IFERROR(__xludf.DUMMYFUNCTION("""COMPUTED_VALUE"""),54200.0)</f>
        <v>54200</v>
      </c>
      <c r="F2802" s="1">
        <f>IFERROR(__xludf.DUMMYFUNCTION("""COMPUTED_VALUE"""),20761.0)</f>
        <v>20761</v>
      </c>
    </row>
    <row r="2803">
      <c r="A2803" s="2">
        <f>IFERROR(__xludf.DUMMYFUNCTION("""COMPUTED_VALUE"""),45089.64583333333)</f>
        <v>45089.64583</v>
      </c>
      <c r="B2803" s="1">
        <f>IFERROR(__xludf.DUMMYFUNCTION("""COMPUTED_VALUE"""),54600.0)</f>
        <v>54600</v>
      </c>
      <c r="C2803" s="1">
        <f>IFERROR(__xludf.DUMMYFUNCTION("""COMPUTED_VALUE"""),54700.0)</f>
        <v>54700</v>
      </c>
      <c r="D2803" s="1">
        <f>IFERROR(__xludf.DUMMYFUNCTION("""COMPUTED_VALUE"""),54000.0)</f>
        <v>54000</v>
      </c>
      <c r="E2803" s="1">
        <f>IFERROR(__xludf.DUMMYFUNCTION("""COMPUTED_VALUE"""),54000.0)</f>
        <v>54000</v>
      </c>
      <c r="F2803" s="1">
        <f>IFERROR(__xludf.DUMMYFUNCTION("""COMPUTED_VALUE"""),9966.0)</f>
        <v>9966</v>
      </c>
    </row>
    <row r="2804">
      <c r="A2804" s="2">
        <f>IFERROR(__xludf.DUMMYFUNCTION("""COMPUTED_VALUE"""),45090.64583333333)</f>
        <v>45090.64583</v>
      </c>
      <c r="B2804" s="1">
        <f>IFERROR(__xludf.DUMMYFUNCTION("""COMPUTED_VALUE"""),53900.0)</f>
        <v>53900</v>
      </c>
      <c r="C2804" s="1">
        <f>IFERROR(__xludf.DUMMYFUNCTION("""COMPUTED_VALUE"""),54000.0)</f>
        <v>54000</v>
      </c>
      <c r="D2804" s="1">
        <f>IFERROR(__xludf.DUMMYFUNCTION("""COMPUTED_VALUE"""),52700.0)</f>
        <v>52700</v>
      </c>
      <c r="E2804" s="1">
        <f>IFERROR(__xludf.DUMMYFUNCTION("""COMPUTED_VALUE"""),52900.0)</f>
        <v>52900</v>
      </c>
      <c r="F2804" s="1">
        <f>IFERROR(__xludf.DUMMYFUNCTION("""COMPUTED_VALUE"""),18356.0)</f>
        <v>18356</v>
      </c>
    </row>
    <row r="2805">
      <c r="A2805" s="2">
        <f>IFERROR(__xludf.DUMMYFUNCTION("""COMPUTED_VALUE"""),45091.64583333333)</f>
        <v>45091.64583</v>
      </c>
      <c r="B2805" s="1">
        <f>IFERROR(__xludf.DUMMYFUNCTION("""COMPUTED_VALUE"""),53100.0)</f>
        <v>53100</v>
      </c>
      <c r="C2805" s="1">
        <f>IFERROR(__xludf.DUMMYFUNCTION("""COMPUTED_VALUE"""),53700.0)</f>
        <v>53700</v>
      </c>
      <c r="D2805" s="1">
        <f>IFERROR(__xludf.DUMMYFUNCTION("""COMPUTED_VALUE"""),52900.0)</f>
        <v>52900</v>
      </c>
      <c r="E2805" s="1">
        <f>IFERROR(__xludf.DUMMYFUNCTION("""COMPUTED_VALUE"""),53000.0)</f>
        <v>53000</v>
      </c>
      <c r="F2805" s="1">
        <f>IFERROR(__xludf.DUMMYFUNCTION("""COMPUTED_VALUE"""),9529.0)</f>
        <v>9529</v>
      </c>
    </row>
    <row r="2806">
      <c r="A2806" s="2">
        <f>IFERROR(__xludf.DUMMYFUNCTION("""COMPUTED_VALUE"""),45092.64583333333)</f>
        <v>45092.64583</v>
      </c>
      <c r="B2806" s="1">
        <f>IFERROR(__xludf.DUMMYFUNCTION("""COMPUTED_VALUE"""),52900.0)</f>
        <v>52900</v>
      </c>
      <c r="C2806" s="1">
        <f>IFERROR(__xludf.DUMMYFUNCTION("""COMPUTED_VALUE"""),53200.0)</f>
        <v>53200</v>
      </c>
      <c r="D2806" s="1">
        <f>IFERROR(__xludf.DUMMYFUNCTION("""COMPUTED_VALUE"""),52400.0)</f>
        <v>52400</v>
      </c>
      <c r="E2806" s="1">
        <f>IFERROR(__xludf.DUMMYFUNCTION("""COMPUTED_VALUE"""),52600.0)</f>
        <v>52600</v>
      </c>
      <c r="F2806" s="1">
        <f>IFERROR(__xludf.DUMMYFUNCTION("""COMPUTED_VALUE"""),7088.0)</f>
        <v>7088</v>
      </c>
    </row>
    <row r="2807">
      <c r="A2807" s="2">
        <f>IFERROR(__xludf.DUMMYFUNCTION("""COMPUTED_VALUE"""),45093.64583333333)</f>
        <v>45093.64583</v>
      </c>
      <c r="B2807" s="1">
        <f>IFERROR(__xludf.DUMMYFUNCTION("""COMPUTED_VALUE"""),52800.0)</f>
        <v>52800</v>
      </c>
      <c r="C2807" s="1">
        <f>IFERROR(__xludf.DUMMYFUNCTION("""COMPUTED_VALUE"""),53500.0)</f>
        <v>53500</v>
      </c>
      <c r="D2807" s="1">
        <f>IFERROR(__xludf.DUMMYFUNCTION("""COMPUTED_VALUE"""),52800.0)</f>
        <v>52800</v>
      </c>
      <c r="E2807" s="1">
        <f>IFERROR(__xludf.DUMMYFUNCTION("""COMPUTED_VALUE"""),52900.0)</f>
        <v>52900</v>
      </c>
      <c r="F2807" s="1">
        <f>IFERROR(__xludf.DUMMYFUNCTION("""COMPUTED_VALUE"""),8137.0)</f>
        <v>8137</v>
      </c>
    </row>
    <row r="2808">
      <c r="A2808" s="2">
        <f>IFERROR(__xludf.DUMMYFUNCTION("""COMPUTED_VALUE"""),45096.64583333333)</f>
        <v>45096.64583</v>
      </c>
      <c r="B2808" s="1">
        <f>IFERROR(__xludf.DUMMYFUNCTION("""COMPUTED_VALUE"""),53300.0)</f>
        <v>53300</v>
      </c>
      <c r="C2808" s="1">
        <f>IFERROR(__xludf.DUMMYFUNCTION("""COMPUTED_VALUE"""),53400.0)</f>
        <v>53400</v>
      </c>
      <c r="D2808" s="1">
        <f>IFERROR(__xludf.DUMMYFUNCTION("""COMPUTED_VALUE"""),52800.0)</f>
        <v>52800</v>
      </c>
      <c r="E2808" s="1">
        <f>IFERROR(__xludf.DUMMYFUNCTION("""COMPUTED_VALUE"""),53200.0)</f>
        <v>53200</v>
      </c>
      <c r="F2808" s="1">
        <f>IFERROR(__xludf.DUMMYFUNCTION("""COMPUTED_VALUE"""),6915.0)</f>
        <v>6915</v>
      </c>
    </row>
    <row r="2809">
      <c r="A2809" s="2">
        <f>IFERROR(__xludf.DUMMYFUNCTION("""COMPUTED_VALUE"""),45097.64583333333)</f>
        <v>45097.64583</v>
      </c>
      <c r="B2809" s="1">
        <f>IFERROR(__xludf.DUMMYFUNCTION("""COMPUTED_VALUE"""),53200.0)</f>
        <v>53200</v>
      </c>
      <c r="C2809" s="1">
        <f>IFERROR(__xludf.DUMMYFUNCTION("""COMPUTED_VALUE"""),53600.0)</f>
        <v>53600</v>
      </c>
      <c r="D2809" s="1">
        <f>IFERROR(__xludf.DUMMYFUNCTION("""COMPUTED_VALUE"""),52500.0)</f>
        <v>52500</v>
      </c>
      <c r="E2809" s="1">
        <f>IFERROR(__xludf.DUMMYFUNCTION("""COMPUTED_VALUE"""),53000.0)</f>
        <v>53000</v>
      </c>
      <c r="F2809" s="1">
        <f>IFERROR(__xludf.DUMMYFUNCTION("""COMPUTED_VALUE"""),13632.0)</f>
        <v>13632</v>
      </c>
    </row>
    <row r="2810">
      <c r="A2810" s="2">
        <f>IFERROR(__xludf.DUMMYFUNCTION("""COMPUTED_VALUE"""),45098.64583333333)</f>
        <v>45098.64583</v>
      </c>
      <c r="B2810" s="1">
        <f>IFERROR(__xludf.DUMMYFUNCTION("""COMPUTED_VALUE"""),53000.0)</f>
        <v>53000</v>
      </c>
      <c r="C2810" s="1">
        <f>IFERROR(__xludf.DUMMYFUNCTION("""COMPUTED_VALUE"""),53000.0)</f>
        <v>53000</v>
      </c>
      <c r="D2810" s="1">
        <f>IFERROR(__xludf.DUMMYFUNCTION("""COMPUTED_VALUE"""),52000.0)</f>
        <v>52000</v>
      </c>
      <c r="E2810" s="1">
        <f>IFERROR(__xludf.DUMMYFUNCTION("""COMPUTED_VALUE"""),52000.0)</f>
        <v>52000</v>
      </c>
      <c r="F2810" s="1">
        <f>IFERROR(__xludf.DUMMYFUNCTION("""COMPUTED_VALUE"""),9641.0)</f>
        <v>9641</v>
      </c>
    </row>
    <row r="2811">
      <c r="A2811" s="2">
        <f>IFERROR(__xludf.DUMMYFUNCTION("""COMPUTED_VALUE"""),45099.64583333333)</f>
        <v>45099.64583</v>
      </c>
      <c r="B2811" s="1">
        <f>IFERROR(__xludf.DUMMYFUNCTION("""COMPUTED_VALUE"""),52600.0)</f>
        <v>52600</v>
      </c>
      <c r="C2811" s="1">
        <f>IFERROR(__xludf.DUMMYFUNCTION("""COMPUTED_VALUE"""),52600.0)</f>
        <v>52600</v>
      </c>
      <c r="D2811" s="1">
        <f>IFERROR(__xludf.DUMMYFUNCTION("""COMPUTED_VALUE"""),51500.0)</f>
        <v>51500</v>
      </c>
      <c r="E2811" s="1">
        <f>IFERROR(__xludf.DUMMYFUNCTION("""COMPUTED_VALUE"""),51500.0)</f>
        <v>51500</v>
      </c>
      <c r="F2811" s="1">
        <f>IFERROR(__xludf.DUMMYFUNCTION("""COMPUTED_VALUE"""),14803.0)</f>
        <v>14803</v>
      </c>
    </row>
    <row r="2812">
      <c r="A2812" s="2">
        <f>IFERROR(__xludf.DUMMYFUNCTION("""COMPUTED_VALUE"""),45100.64583333333)</f>
        <v>45100.64583</v>
      </c>
      <c r="B2812" s="1">
        <f>IFERROR(__xludf.DUMMYFUNCTION("""COMPUTED_VALUE"""),52200.0)</f>
        <v>52200</v>
      </c>
      <c r="C2812" s="1">
        <f>IFERROR(__xludf.DUMMYFUNCTION("""COMPUTED_VALUE"""),52200.0)</f>
        <v>52200</v>
      </c>
      <c r="D2812" s="1">
        <f>IFERROR(__xludf.DUMMYFUNCTION("""COMPUTED_VALUE"""),51000.0)</f>
        <v>51000</v>
      </c>
      <c r="E2812" s="1">
        <f>IFERROR(__xludf.DUMMYFUNCTION("""COMPUTED_VALUE"""),51400.0)</f>
        <v>51400</v>
      </c>
      <c r="F2812" s="1">
        <f>IFERROR(__xludf.DUMMYFUNCTION("""COMPUTED_VALUE"""),17434.0)</f>
        <v>17434</v>
      </c>
    </row>
    <row r="2813">
      <c r="A2813" s="2">
        <f>IFERROR(__xludf.DUMMYFUNCTION("""COMPUTED_VALUE"""),45103.64583333333)</f>
        <v>45103.64583</v>
      </c>
      <c r="B2813" s="1">
        <f>IFERROR(__xludf.DUMMYFUNCTION("""COMPUTED_VALUE"""),51800.0)</f>
        <v>51800</v>
      </c>
      <c r="C2813" s="1">
        <f>IFERROR(__xludf.DUMMYFUNCTION("""COMPUTED_VALUE"""),52200.0)</f>
        <v>52200</v>
      </c>
      <c r="D2813" s="1">
        <f>IFERROR(__xludf.DUMMYFUNCTION("""COMPUTED_VALUE"""),51500.0)</f>
        <v>51500</v>
      </c>
      <c r="E2813" s="1">
        <f>IFERROR(__xludf.DUMMYFUNCTION("""COMPUTED_VALUE"""),52000.0)</f>
        <v>52000</v>
      </c>
      <c r="F2813" s="1">
        <f>IFERROR(__xludf.DUMMYFUNCTION("""COMPUTED_VALUE"""),14325.0)</f>
        <v>14325</v>
      </c>
    </row>
    <row r="2814">
      <c r="A2814" s="2">
        <f>IFERROR(__xludf.DUMMYFUNCTION("""COMPUTED_VALUE"""),45104.64583333333)</f>
        <v>45104.64583</v>
      </c>
      <c r="B2814" s="1">
        <f>IFERROR(__xludf.DUMMYFUNCTION("""COMPUTED_VALUE"""),52200.0)</f>
        <v>52200</v>
      </c>
      <c r="C2814" s="1">
        <f>IFERROR(__xludf.DUMMYFUNCTION("""COMPUTED_VALUE"""),52200.0)</f>
        <v>52200</v>
      </c>
      <c r="D2814" s="1">
        <f>IFERROR(__xludf.DUMMYFUNCTION("""COMPUTED_VALUE"""),51900.0)</f>
        <v>51900</v>
      </c>
      <c r="E2814" s="1">
        <f>IFERROR(__xludf.DUMMYFUNCTION("""COMPUTED_VALUE"""),52100.0)</f>
        <v>52100</v>
      </c>
      <c r="F2814" s="1">
        <f>IFERROR(__xludf.DUMMYFUNCTION("""COMPUTED_VALUE"""),10871.0)</f>
        <v>10871</v>
      </c>
    </row>
    <row r="2815">
      <c r="A2815" s="2">
        <f>IFERROR(__xludf.DUMMYFUNCTION("""COMPUTED_VALUE"""),45105.64583333333)</f>
        <v>45105.64583</v>
      </c>
      <c r="B2815" s="1">
        <f>IFERROR(__xludf.DUMMYFUNCTION("""COMPUTED_VALUE"""),52200.0)</f>
        <v>52200</v>
      </c>
      <c r="C2815" s="1">
        <f>IFERROR(__xludf.DUMMYFUNCTION("""COMPUTED_VALUE"""),52700.0)</f>
        <v>52700</v>
      </c>
      <c r="D2815" s="1">
        <f>IFERROR(__xludf.DUMMYFUNCTION("""COMPUTED_VALUE"""),51800.0)</f>
        <v>51800</v>
      </c>
      <c r="E2815" s="1">
        <f>IFERROR(__xludf.DUMMYFUNCTION("""COMPUTED_VALUE"""),52100.0)</f>
        <v>52100</v>
      </c>
      <c r="F2815" s="1">
        <f>IFERROR(__xludf.DUMMYFUNCTION("""COMPUTED_VALUE"""),24296.0)</f>
        <v>24296</v>
      </c>
    </row>
    <row r="2816">
      <c r="A2816" s="2">
        <f>IFERROR(__xludf.DUMMYFUNCTION("""COMPUTED_VALUE"""),45106.64583333333)</f>
        <v>45106.64583</v>
      </c>
      <c r="B2816" s="1">
        <f>IFERROR(__xludf.DUMMYFUNCTION("""COMPUTED_VALUE"""),51200.0)</f>
        <v>51200</v>
      </c>
      <c r="C2816" s="1">
        <f>IFERROR(__xludf.DUMMYFUNCTION("""COMPUTED_VALUE"""),51300.0)</f>
        <v>51300</v>
      </c>
      <c r="D2816" s="1">
        <f>IFERROR(__xludf.DUMMYFUNCTION("""COMPUTED_VALUE"""),50000.0)</f>
        <v>50000</v>
      </c>
      <c r="E2816" s="1">
        <f>IFERROR(__xludf.DUMMYFUNCTION("""COMPUTED_VALUE"""),50100.0)</f>
        <v>50100</v>
      </c>
      <c r="F2816" s="1">
        <f>IFERROR(__xludf.DUMMYFUNCTION("""COMPUTED_VALUE"""),26979.0)</f>
        <v>26979</v>
      </c>
    </row>
    <row r="2817">
      <c r="A2817" s="2">
        <f>IFERROR(__xludf.DUMMYFUNCTION("""COMPUTED_VALUE"""),45107.64583333333)</f>
        <v>45107.64583</v>
      </c>
      <c r="B2817" s="1">
        <f>IFERROR(__xludf.DUMMYFUNCTION("""COMPUTED_VALUE"""),50500.0)</f>
        <v>50500</v>
      </c>
      <c r="C2817" s="1">
        <f>IFERROR(__xludf.DUMMYFUNCTION("""COMPUTED_VALUE"""),50500.0)</f>
        <v>50500</v>
      </c>
      <c r="D2817" s="1">
        <f>IFERROR(__xludf.DUMMYFUNCTION("""COMPUTED_VALUE"""),49600.0)</f>
        <v>49600</v>
      </c>
      <c r="E2817" s="1">
        <f>IFERROR(__xludf.DUMMYFUNCTION("""COMPUTED_VALUE"""),50300.0)</f>
        <v>50300</v>
      </c>
      <c r="F2817" s="1">
        <f>IFERROR(__xludf.DUMMYFUNCTION("""COMPUTED_VALUE"""),9654.0)</f>
        <v>9654</v>
      </c>
    </row>
    <row r="2818">
      <c r="A2818" s="2">
        <f>IFERROR(__xludf.DUMMYFUNCTION("""COMPUTED_VALUE"""),45110.64583333333)</f>
        <v>45110.64583</v>
      </c>
      <c r="B2818" s="1">
        <f>IFERROR(__xludf.DUMMYFUNCTION("""COMPUTED_VALUE"""),50600.0)</f>
        <v>50600</v>
      </c>
      <c r="C2818" s="1">
        <f>IFERROR(__xludf.DUMMYFUNCTION("""COMPUTED_VALUE"""),50600.0)</f>
        <v>50600</v>
      </c>
      <c r="D2818" s="1">
        <f>IFERROR(__xludf.DUMMYFUNCTION("""COMPUTED_VALUE"""),49950.0)</f>
        <v>49950</v>
      </c>
      <c r="E2818" s="1">
        <f>IFERROR(__xludf.DUMMYFUNCTION("""COMPUTED_VALUE"""),50000.0)</f>
        <v>50000</v>
      </c>
      <c r="F2818" s="1">
        <f>IFERROR(__xludf.DUMMYFUNCTION("""COMPUTED_VALUE"""),9118.0)</f>
        <v>9118</v>
      </c>
    </row>
    <row r="2819">
      <c r="A2819" s="2">
        <f>IFERROR(__xludf.DUMMYFUNCTION("""COMPUTED_VALUE"""),45111.64583333333)</f>
        <v>45111.64583</v>
      </c>
      <c r="B2819" s="1">
        <f>IFERROR(__xludf.DUMMYFUNCTION("""COMPUTED_VALUE"""),50000.0)</f>
        <v>50000</v>
      </c>
      <c r="C2819" s="1">
        <f>IFERROR(__xludf.DUMMYFUNCTION("""COMPUTED_VALUE"""),50400.0)</f>
        <v>50400</v>
      </c>
      <c r="D2819" s="1">
        <f>IFERROR(__xludf.DUMMYFUNCTION("""COMPUTED_VALUE"""),49200.0)</f>
        <v>49200</v>
      </c>
      <c r="E2819" s="1">
        <f>IFERROR(__xludf.DUMMYFUNCTION("""COMPUTED_VALUE"""),49350.0)</f>
        <v>49350</v>
      </c>
      <c r="F2819" s="1">
        <f>IFERROR(__xludf.DUMMYFUNCTION("""COMPUTED_VALUE"""),23470.0)</f>
        <v>23470</v>
      </c>
    </row>
    <row r="2820">
      <c r="A2820" s="2">
        <f>IFERROR(__xludf.DUMMYFUNCTION("""COMPUTED_VALUE"""),45112.64583333333)</f>
        <v>45112.64583</v>
      </c>
      <c r="B2820" s="1">
        <f>IFERROR(__xludf.DUMMYFUNCTION("""COMPUTED_VALUE"""),49400.0)</f>
        <v>49400</v>
      </c>
      <c r="C2820" s="1">
        <f>IFERROR(__xludf.DUMMYFUNCTION("""COMPUTED_VALUE"""),49500.0)</f>
        <v>49500</v>
      </c>
      <c r="D2820" s="1">
        <f>IFERROR(__xludf.DUMMYFUNCTION("""COMPUTED_VALUE"""),48750.0)</f>
        <v>48750</v>
      </c>
      <c r="E2820" s="1">
        <f>IFERROR(__xludf.DUMMYFUNCTION("""COMPUTED_VALUE"""),48850.0)</f>
        <v>48850</v>
      </c>
      <c r="F2820" s="1">
        <f>IFERROR(__xludf.DUMMYFUNCTION("""COMPUTED_VALUE"""),15620.0)</f>
        <v>15620</v>
      </c>
    </row>
    <row r="2821">
      <c r="A2821" s="2">
        <f>IFERROR(__xludf.DUMMYFUNCTION("""COMPUTED_VALUE"""),45113.64583333333)</f>
        <v>45113.64583</v>
      </c>
      <c r="B2821" s="1">
        <f>IFERROR(__xludf.DUMMYFUNCTION("""COMPUTED_VALUE"""),49300.0)</f>
        <v>49300</v>
      </c>
      <c r="C2821" s="1">
        <f>IFERROR(__xludf.DUMMYFUNCTION("""COMPUTED_VALUE"""),49300.0)</f>
        <v>49300</v>
      </c>
      <c r="D2821" s="1">
        <f>IFERROR(__xludf.DUMMYFUNCTION("""COMPUTED_VALUE"""),48100.0)</f>
        <v>48100</v>
      </c>
      <c r="E2821" s="1">
        <f>IFERROR(__xludf.DUMMYFUNCTION("""COMPUTED_VALUE"""),48150.0)</f>
        <v>48150</v>
      </c>
      <c r="F2821" s="1">
        <f>IFERROR(__xludf.DUMMYFUNCTION("""COMPUTED_VALUE"""),21719.0)</f>
        <v>21719</v>
      </c>
    </row>
    <row r="2822">
      <c r="A2822" s="2">
        <f>IFERROR(__xludf.DUMMYFUNCTION("""COMPUTED_VALUE"""),45114.64583333333)</f>
        <v>45114.64583</v>
      </c>
      <c r="B2822" s="1">
        <f>IFERROR(__xludf.DUMMYFUNCTION("""COMPUTED_VALUE"""),48200.0)</f>
        <v>48200</v>
      </c>
      <c r="C2822" s="1">
        <f>IFERROR(__xludf.DUMMYFUNCTION("""COMPUTED_VALUE"""),48400.0)</f>
        <v>48400</v>
      </c>
      <c r="D2822" s="1">
        <f>IFERROR(__xludf.DUMMYFUNCTION("""COMPUTED_VALUE"""),46700.0)</f>
        <v>46700</v>
      </c>
      <c r="E2822" s="1">
        <f>IFERROR(__xludf.DUMMYFUNCTION("""COMPUTED_VALUE"""),47000.0)</f>
        <v>47000</v>
      </c>
      <c r="F2822" s="1">
        <f>IFERROR(__xludf.DUMMYFUNCTION("""COMPUTED_VALUE"""),25802.0)</f>
        <v>25802</v>
      </c>
    </row>
    <row r="2823">
      <c r="A2823" s="2">
        <f>IFERROR(__xludf.DUMMYFUNCTION("""COMPUTED_VALUE"""),45117.64583333333)</f>
        <v>45117.64583</v>
      </c>
      <c r="B2823" s="1">
        <f>IFERROR(__xludf.DUMMYFUNCTION("""COMPUTED_VALUE"""),46250.0)</f>
        <v>46250</v>
      </c>
      <c r="C2823" s="1">
        <f>IFERROR(__xludf.DUMMYFUNCTION("""COMPUTED_VALUE"""),47750.0)</f>
        <v>47750</v>
      </c>
      <c r="D2823" s="1">
        <f>IFERROR(__xludf.DUMMYFUNCTION("""COMPUTED_VALUE"""),46250.0)</f>
        <v>46250</v>
      </c>
      <c r="E2823" s="1">
        <f>IFERROR(__xludf.DUMMYFUNCTION("""COMPUTED_VALUE"""),47750.0)</f>
        <v>47750</v>
      </c>
      <c r="F2823" s="1">
        <f>IFERROR(__xludf.DUMMYFUNCTION("""COMPUTED_VALUE"""),11268.0)</f>
        <v>11268</v>
      </c>
    </row>
    <row r="2824">
      <c r="A2824" s="2">
        <f>IFERROR(__xludf.DUMMYFUNCTION("""COMPUTED_VALUE"""),45118.64583333333)</f>
        <v>45118.64583</v>
      </c>
      <c r="B2824" s="1">
        <f>IFERROR(__xludf.DUMMYFUNCTION("""COMPUTED_VALUE"""),47750.0)</f>
        <v>47750</v>
      </c>
      <c r="C2824" s="1">
        <f>IFERROR(__xludf.DUMMYFUNCTION("""COMPUTED_VALUE"""),48000.0)</f>
        <v>48000</v>
      </c>
      <c r="D2824" s="1">
        <f>IFERROR(__xludf.DUMMYFUNCTION("""COMPUTED_VALUE"""),47400.0)</f>
        <v>47400</v>
      </c>
      <c r="E2824" s="1">
        <f>IFERROR(__xludf.DUMMYFUNCTION("""COMPUTED_VALUE"""),47650.0)</f>
        <v>47650</v>
      </c>
      <c r="F2824" s="1">
        <f>IFERROR(__xludf.DUMMYFUNCTION("""COMPUTED_VALUE"""),9669.0)</f>
        <v>9669</v>
      </c>
    </row>
    <row r="2825">
      <c r="A2825" s="2">
        <f>IFERROR(__xludf.DUMMYFUNCTION("""COMPUTED_VALUE"""),45119.64583333333)</f>
        <v>45119.64583</v>
      </c>
      <c r="B2825" s="1">
        <f>IFERROR(__xludf.DUMMYFUNCTION("""COMPUTED_VALUE"""),47650.0)</f>
        <v>47650</v>
      </c>
      <c r="C2825" s="1">
        <f>IFERROR(__xludf.DUMMYFUNCTION("""COMPUTED_VALUE"""),48250.0)</f>
        <v>48250</v>
      </c>
      <c r="D2825" s="1">
        <f>IFERROR(__xludf.DUMMYFUNCTION("""COMPUTED_VALUE"""),47550.0)</f>
        <v>47550</v>
      </c>
      <c r="E2825" s="1">
        <f>IFERROR(__xludf.DUMMYFUNCTION("""COMPUTED_VALUE"""),47950.0)</f>
        <v>47950</v>
      </c>
      <c r="F2825" s="1">
        <f>IFERROR(__xludf.DUMMYFUNCTION("""COMPUTED_VALUE"""),11873.0)</f>
        <v>11873</v>
      </c>
    </row>
    <row r="2826">
      <c r="A2826" s="2">
        <f>IFERROR(__xludf.DUMMYFUNCTION("""COMPUTED_VALUE"""),45120.64583333333)</f>
        <v>45120.64583</v>
      </c>
      <c r="B2826" s="1">
        <f>IFERROR(__xludf.DUMMYFUNCTION("""COMPUTED_VALUE"""),48600.0)</f>
        <v>48600</v>
      </c>
      <c r="C2826" s="1">
        <f>IFERROR(__xludf.DUMMYFUNCTION("""COMPUTED_VALUE"""),48600.0)</f>
        <v>48600</v>
      </c>
      <c r="D2826" s="1">
        <f>IFERROR(__xludf.DUMMYFUNCTION("""COMPUTED_VALUE"""),47900.0)</f>
        <v>47900</v>
      </c>
      <c r="E2826" s="1">
        <f>IFERROR(__xludf.DUMMYFUNCTION("""COMPUTED_VALUE"""),48300.0)</f>
        <v>48300</v>
      </c>
      <c r="F2826" s="1">
        <f>IFERROR(__xludf.DUMMYFUNCTION("""COMPUTED_VALUE"""),9110.0)</f>
        <v>9110</v>
      </c>
    </row>
    <row r="2827">
      <c r="A2827" s="2">
        <f>IFERROR(__xludf.DUMMYFUNCTION("""COMPUTED_VALUE"""),45121.64583333333)</f>
        <v>45121.64583</v>
      </c>
      <c r="B2827" s="1">
        <f>IFERROR(__xludf.DUMMYFUNCTION("""COMPUTED_VALUE"""),48400.0)</f>
        <v>48400</v>
      </c>
      <c r="C2827" s="1">
        <f>IFERROR(__xludf.DUMMYFUNCTION("""COMPUTED_VALUE"""),49500.0)</f>
        <v>49500</v>
      </c>
      <c r="D2827" s="1">
        <f>IFERROR(__xludf.DUMMYFUNCTION("""COMPUTED_VALUE"""),48200.0)</f>
        <v>48200</v>
      </c>
      <c r="E2827" s="1">
        <f>IFERROR(__xludf.DUMMYFUNCTION("""COMPUTED_VALUE"""),49500.0)</f>
        <v>49500</v>
      </c>
      <c r="F2827" s="1">
        <f>IFERROR(__xludf.DUMMYFUNCTION("""COMPUTED_VALUE"""),10332.0)</f>
        <v>10332</v>
      </c>
    </row>
    <row r="2828">
      <c r="A2828" s="2">
        <f>IFERROR(__xludf.DUMMYFUNCTION("""COMPUTED_VALUE"""),45124.64583333333)</f>
        <v>45124.64583</v>
      </c>
      <c r="B2828" s="1">
        <f>IFERROR(__xludf.DUMMYFUNCTION("""COMPUTED_VALUE"""),49000.0)</f>
        <v>49000</v>
      </c>
      <c r="C2828" s="1">
        <f>IFERROR(__xludf.DUMMYFUNCTION("""COMPUTED_VALUE"""),49600.0)</f>
        <v>49600</v>
      </c>
      <c r="D2828" s="1">
        <f>IFERROR(__xludf.DUMMYFUNCTION("""COMPUTED_VALUE"""),48500.0)</f>
        <v>48500</v>
      </c>
      <c r="E2828" s="1">
        <f>IFERROR(__xludf.DUMMYFUNCTION("""COMPUTED_VALUE"""),49500.0)</f>
        <v>49500</v>
      </c>
      <c r="F2828" s="1">
        <f>IFERROR(__xludf.DUMMYFUNCTION("""COMPUTED_VALUE"""),11834.0)</f>
        <v>11834</v>
      </c>
    </row>
    <row r="2829">
      <c r="A2829" s="2">
        <f>IFERROR(__xludf.DUMMYFUNCTION("""COMPUTED_VALUE"""),45125.64583333333)</f>
        <v>45125.64583</v>
      </c>
      <c r="B2829" s="1">
        <f>IFERROR(__xludf.DUMMYFUNCTION("""COMPUTED_VALUE"""),49450.0)</f>
        <v>49450</v>
      </c>
      <c r="C2829" s="1">
        <f>IFERROR(__xludf.DUMMYFUNCTION("""COMPUTED_VALUE"""),49550.0)</f>
        <v>49550</v>
      </c>
      <c r="D2829" s="1">
        <f>IFERROR(__xludf.DUMMYFUNCTION("""COMPUTED_VALUE"""),48850.0)</f>
        <v>48850</v>
      </c>
      <c r="E2829" s="1">
        <f>IFERROR(__xludf.DUMMYFUNCTION("""COMPUTED_VALUE"""),48900.0)</f>
        <v>48900</v>
      </c>
      <c r="F2829" s="1">
        <f>IFERROR(__xludf.DUMMYFUNCTION("""COMPUTED_VALUE"""),7972.0)</f>
        <v>7972</v>
      </c>
    </row>
    <row r="2830">
      <c r="A2830" s="2">
        <f>IFERROR(__xludf.DUMMYFUNCTION("""COMPUTED_VALUE"""),45126.64583333333)</f>
        <v>45126.64583</v>
      </c>
      <c r="B2830" s="1">
        <f>IFERROR(__xludf.DUMMYFUNCTION("""COMPUTED_VALUE"""),49300.0)</f>
        <v>49300</v>
      </c>
      <c r="C2830" s="1">
        <f>IFERROR(__xludf.DUMMYFUNCTION("""COMPUTED_VALUE"""),49350.0)</f>
        <v>49350</v>
      </c>
      <c r="D2830" s="1">
        <f>IFERROR(__xludf.DUMMYFUNCTION("""COMPUTED_VALUE"""),48700.0)</f>
        <v>48700</v>
      </c>
      <c r="E2830" s="1">
        <f>IFERROR(__xludf.DUMMYFUNCTION("""COMPUTED_VALUE"""),49050.0)</f>
        <v>49050</v>
      </c>
      <c r="F2830" s="1">
        <f>IFERROR(__xludf.DUMMYFUNCTION("""COMPUTED_VALUE"""),8191.0)</f>
        <v>8191</v>
      </c>
    </row>
    <row r="2831">
      <c r="A2831" s="2">
        <f>IFERROR(__xludf.DUMMYFUNCTION("""COMPUTED_VALUE"""),45127.64583333333)</f>
        <v>45127.64583</v>
      </c>
      <c r="B2831" s="1">
        <f>IFERROR(__xludf.DUMMYFUNCTION("""COMPUTED_VALUE"""),49050.0)</f>
        <v>49050</v>
      </c>
      <c r="C2831" s="1">
        <f>IFERROR(__xludf.DUMMYFUNCTION("""COMPUTED_VALUE"""),49250.0)</f>
        <v>49250</v>
      </c>
      <c r="D2831" s="1">
        <f>IFERROR(__xludf.DUMMYFUNCTION("""COMPUTED_VALUE"""),48700.0)</f>
        <v>48700</v>
      </c>
      <c r="E2831" s="1">
        <f>IFERROR(__xludf.DUMMYFUNCTION("""COMPUTED_VALUE"""),48750.0)</f>
        <v>48750</v>
      </c>
      <c r="F2831" s="1">
        <f>IFERROR(__xludf.DUMMYFUNCTION("""COMPUTED_VALUE"""),9225.0)</f>
        <v>9225</v>
      </c>
    </row>
    <row r="2832">
      <c r="A2832" s="2">
        <f>IFERROR(__xludf.DUMMYFUNCTION("""COMPUTED_VALUE"""),45128.64583333333)</f>
        <v>45128.64583</v>
      </c>
      <c r="B2832" s="1">
        <f>IFERROR(__xludf.DUMMYFUNCTION("""COMPUTED_VALUE"""),48750.0)</f>
        <v>48750</v>
      </c>
      <c r="C2832" s="1">
        <f>IFERROR(__xludf.DUMMYFUNCTION("""COMPUTED_VALUE"""),49000.0)</f>
        <v>49000</v>
      </c>
      <c r="D2832" s="1">
        <f>IFERROR(__xludf.DUMMYFUNCTION("""COMPUTED_VALUE"""),48200.0)</f>
        <v>48200</v>
      </c>
      <c r="E2832" s="1">
        <f>IFERROR(__xludf.DUMMYFUNCTION("""COMPUTED_VALUE"""),48550.0)</f>
        <v>48550</v>
      </c>
      <c r="F2832" s="1">
        <f>IFERROR(__xludf.DUMMYFUNCTION("""COMPUTED_VALUE"""),9569.0)</f>
        <v>9569</v>
      </c>
    </row>
    <row r="2833">
      <c r="A2833" s="2">
        <f>IFERROR(__xludf.DUMMYFUNCTION("""COMPUTED_VALUE"""),45131.64583333333)</f>
        <v>45131.64583</v>
      </c>
      <c r="B2833" s="1">
        <f>IFERROR(__xludf.DUMMYFUNCTION("""COMPUTED_VALUE"""),48950.0)</f>
        <v>48950</v>
      </c>
      <c r="C2833" s="1">
        <f>IFERROR(__xludf.DUMMYFUNCTION("""COMPUTED_VALUE"""),49450.0)</f>
        <v>49450</v>
      </c>
      <c r="D2833" s="1">
        <f>IFERROR(__xludf.DUMMYFUNCTION("""COMPUTED_VALUE"""),48600.0)</f>
        <v>48600</v>
      </c>
      <c r="E2833" s="1">
        <f>IFERROR(__xludf.DUMMYFUNCTION("""COMPUTED_VALUE"""),49150.0)</f>
        <v>49150</v>
      </c>
      <c r="F2833" s="1">
        <f>IFERROR(__xludf.DUMMYFUNCTION("""COMPUTED_VALUE"""),14285.0)</f>
        <v>14285</v>
      </c>
    </row>
    <row r="2834">
      <c r="A2834" s="2">
        <f>IFERROR(__xludf.DUMMYFUNCTION("""COMPUTED_VALUE"""),45132.64583333333)</f>
        <v>45132.64583</v>
      </c>
      <c r="B2834" s="1">
        <f>IFERROR(__xludf.DUMMYFUNCTION("""COMPUTED_VALUE"""),49350.0)</f>
        <v>49350</v>
      </c>
      <c r="C2834" s="1">
        <f>IFERROR(__xludf.DUMMYFUNCTION("""COMPUTED_VALUE"""),50200.0)</f>
        <v>50200</v>
      </c>
      <c r="D2834" s="1">
        <f>IFERROR(__xludf.DUMMYFUNCTION("""COMPUTED_VALUE"""),49150.0)</f>
        <v>49150</v>
      </c>
      <c r="E2834" s="1">
        <f>IFERROR(__xludf.DUMMYFUNCTION("""COMPUTED_VALUE"""),49400.0)</f>
        <v>49400</v>
      </c>
      <c r="F2834" s="1">
        <f>IFERROR(__xludf.DUMMYFUNCTION("""COMPUTED_VALUE"""),16796.0)</f>
        <v>16796</v>
      </c>
    </row>
    <row r="2835">
      <c r="A2835" s="2">
        <f>IFERROR(__xludf.DUMMYFUNCTION("""COMPUTED_VALUE"""),45133.64583333333)</f>
        <v>45133.64583</v>
      </c>
      <c r="B2835" s="1">
        <f>IFERROR(__xludf.DUMMYFUNCTION("""COMPUTED_VALUE"""),49500.0)</f>
        <v>49500</v>
      </c>
      <c r="C2835" s="1">
        <f>IFERROR(__xludf.DUMMYFUNCTION("""COMPUTED_VALUE"""),49500.0)</f>
        <v>49500</v>
      </c>
      <c r="D2835" s="1">
        <f>IFERROR(__xludf.DUMMYFUNCTION("""COMPUTED_VALUE"""),48200.0)</f>
        <v>48200</v>
      </c>
      <c r="E2835" s="1">
        <f>IFERROR(__xludf.DUMMYFUNCTION("""COMPUTED_VALUE"""),48500.0)</f>
        <v>48500</v>
      </c>
      <c r="F2835" s="1">
        <f>IFERROR(__xludf.DUMMYFUNCTION("""COMPUTED_VALUE"""),14249.0)</f>
        <v>14249</v>
      </c>
    </row>
    <row r="2836">
      <c r="A2836" s="2">
        <f>IFERROR(__xludf.DUMMYFUNCTION("""COMPUTED_VALUE"""),45134.64583333333)</f>
        <v>45134.64583</v>
      </c>
      <c r="B2836" s="1">
        <f>IFERROR(__xludf.DUMMYFUNCTION("""COMPUTED_VALUE"""),48500.0)</f>
        <v>48500</v>
      </c>
      <c r="C2836" s="1">
        <f>IFERROR(__xludf.DUMMYFUNCTION("""COMPUTED_VALUE"""),49550.0)</f>
        <v>49550</v>
      </c>
      <c r="D2836" s="1">
        <f>IFERROR(__xludf.DUMMYFUNCTION("""COMPUTED_VALUE"""),48500.0)</f>
        <v>48500</v>
      </c>
      <c r="E2836" s="1">
        <f>IFERROR(__xludf.DUMMYFUNCTION("""COMPUTED_VALUE"""),49400.0)</f>
        <v>49400</v>
      </c>
      <c r="F2836" s="1">
        <f>IFERROR(__xludf.DUMMYFUNCTION("""COMPUTED_VALUE"""),11634.0)</f>
        <v>11634</v>
      </c>
    </row>
    <row r="2837">
      <c r="A2837" s="2">
        <f>IFERROR(__xludf.DUMMYFUNCTION("""COMPUTED_VALUE"""),45135.64583333333)</f>
        <v>45135.64583</v>
      </c>
      <c r="B2837" s="1">
        <f>IFERROR(__xludf.DUMMYFUNCTION("""COMPUTED_VALUE"""),49000.0)</f>
        <v>49000</v>
      </c>
      <c r="C2837" s="1">
        <f>IFERROR(__xludf.DUMMYFUNCTION("""COMPUTED_VALUE"""),49400.0)</f>
        <v>49400</v>
      </c>
      <c r="D2837" s="1">
        <f>IFERROR(__xludf.DUMMYFUNCTION("""COMPUTED_VALUE"""),48850.0)</f>
        <v>48850</v>
      </c>
      <c r="E2837" s="1">
        <f>IFERROR(__xludf.DUMMYFUNCTION("""COMPUTED_VALUE"""),49050.0)</f>
        <v>49050</v>
      </c>
      <c r="F2837" s="1">
        <f>IFERROR(__xludf.DUMMYFUNCTION("""COMPUTED_VALUE"""),6560.0)</f>
        <v>6560</v>
      </c>
    </row>
    <row r="2838">
      <c r="A2838" s="2">
        <f>IFERROR(__xludf.DUMMYFUNCTION("""COMPUTED_VALUE"""),45138.64583333333)</f>
        <v>45138.64583</v>
      </c>
      <c r="B2838" s="1">
        <f>IFERROR(__xludf.DUMMYFUNCTION("""COMPUTED_VALUE"""),49050.0)</f>
        <v>49050</v>
      </c>
      <c r="C2838" s="1">
        <f>IFERROR(__xludf.DUMMYFUNCTION("""COMPUTED_VALUE"""),50600.0)</f>
        <v>50600</v>
      </c>
      <c r="D2838" s="1">
        <f>IFERROR(__xludf.DUMMYFUNCTION("""COMPUTED_VALUE"""),49050.0)</f>
        <v>49050</v>
      </c>
      <c r="E2838" s="1">
        <f>IFERROR(__xludf.DUMMYFUNCTION("""COMPUTED_VALUE"""),50600.0)</f>
        <v>50600</v>
      </c>
      <c r="F2838" s="1">
        <f>IFERROR(__xludf.DUMMYFUNCTION("""COMPUTED_VALUE"""),16850.0)</f>
        <v>16850</v>
      </c>
    </row>
    <row r="2839">
      <c r="A2839" s="2">
        <f>IFERROR(__xludf.DUMMYFUNCTION("""COMPUTED_VALUE"""),45139.64583333333)</f>
        <v>45139.64583</v>
      </c>
      <c r="B2839" s="1">
        <f>IFERROR(__xludf.DUMMYFUNCTION("""COMPUTED_VALUE"""),50600.0)</f>
        <v>50600</v>
      </c>
      <c r="C2839" s="1">
        <f>IFERROR(__xludf.DUMMYFUNCTION("""COMPUTED_VALUE"""),50800.0)</f>
        <v>50800</v>
      </c>
      <c r="D2839" s="1">
        <f>IFERROR(__xludf.DUMMYFUNCTION("""COMPUTED_VALUE"""),50100.0)</f>
        <v>50100</v>
      </c>
      <c r="E2839" s="1">
        <f>IFERROR(__xludf.DUMMYFUNCTION("""COMPUTED_VALUE"""),50600.0)</f>
        <v>50600</v>
      </c>
      <c r="F2839" s="1">
        <f>IFERROR(__xludf.DUMMYFUNCTION("""COMPUTED_VALUE"""),10895.0)</f>
        <v>10895</v>
      </c>
    </row>
    <row r="2840">
      <c r="A2840" s="2">
        <f>IFERROR(__xludf.DUMMYFUNCTION("""COMPUTED_VALUE"""),45140.64583333333)</f>
        <v>45140.64583</v>
      </c>
      <c r="B2840" s="1">
        <f>IFERROR(__xludf.DUMMYFUNCTION("""COMPUTED_VALUE"""),50200.0)</f>
        <v>50200</v>
      </c>
      <c r="C2840" s="1">
        <f>IFERROR(__xludf.DUMMYFUNCTION("""COMPUTED_VALUE"""),51500.0)</f>
        <v>51500</v>
      </c>
      <c r="D2840" s="1">
        <f>IFERROR(__xludf.DUMMYFUNCTION("""COMPUTED_VALUE"""),50000.0)</f>
        <v>50000</v>
      </c>
      <c r="E2840" s="1">
        <f>IFERROR(__xludf.DUMMYFUNCTION("""COMPUTED_VALUE"""),50300.0)</f>
        <v>50300</v>
      </c>
      <c r="F2840" s="1">
        <f>IFERROR(__xludf.DUMMYFUNCTION("""COMPUTED_VALUE"""),12214.0)</f>
        <v>12214</v>
      </c>
    </row>
    <row r="2841">
      <c r="A2841" s="2">
        <f>IFERROR(__xludf.DUMMYFUNCTION("""COMPUTED_VALUE"""),45141.64583333333)</f>
        <v>45141.64583</v>
      </c>
      <c r="B2841" s="1">
        <f>IFERROR(__xludf.DUMMYFUNCTION("""COMPUTED_VALUE"""),50100.0)</f>
        <v>50100</v>
      </c>
      <c r="C2841" s="1">
        <f>IFERROR(__xludf.DUMMYFUNCTION("""COMPUTED_VALUE"""),50900.0)</f>
        <v>50900</v>
      </c>
      <c r="D2841" s="1">
        <f>IFERROR(__xludf.DUMMYFUNCTION("""COMPUTED_VALUE"""),49350.0)</f>
        <v>49350</v>
      </c>
      <c r="E2841" s="1">
        <f>IFERROR(__xludf.DUMMYFUNCTION("""COMPUTED_VALUE"""),50600.0)</f>
        <v>50600</v>
      </c>
      <c r="F2841" s="1">
        <f>IFERROR(__xludf.DUMMYFUNCTION("""COMPUTED_VALUE"""),18460.0)</f>
        <v>18460</v>
      </c>
    </row>
    <row r="2842">
      <c r="A2842" s="2">
        <f>IFERROR(__xludf.DUMMYFUNCTION("""COMPUTED_VALUE"""),45142.64583333333)</f>
        <v>45142.64583</v>
      </c>
      <c r="B2842" s="1">
        <f>IFERROR(__xludf.DUMMYFUNCTION("""COMPUTED_VALUE"""),51000.0)</f>
        <v>51000</v>
      </c>
      <c r="C2842" s="1">
        <f>IFERROR(__xludf.DUMMYFUNCTION("""COMPUTED_VALUE"""),51000.0)</f>
        <v>51000</v>
      </c>
      <c r="D2842" s="1">
        <f>IFERROR(__xludf.DUMMYFUNCTION("""COMPUTED_VALUE"""),49950.0)</f>
        <v>49950</v>
      </c>
      <c r="E2842" s="1">
        <f>IFERROR(__xludf.DUMMYFUNCTION("""COMPUTED_VALUE"""),50000.0)</f>
        <v>50000</v>
      </c>
      <c r="F2842" s="1">
        <f>IFERROR(__xludf.DUMMYFUNCTION("""COMPUTED_VALUE"""),15807.0)</f>
        <v>15807</v>
      </c>
    </row>
    <row r="2843">
      <c r="A2843" s="2">
        <f>IFERROR(__xludf.DUMMYFUNCTION("""COMPUTED_VALUE"""),45145.64583333333)</f>
        <v>45145.64583</v>
      </c>
      <c r="B2843" s="1">
        <f>IFERROR(__xludf.DUMMYFUNCTION("""COMPUTED_VALUE"""),50600.0)</f>
        <v>50600</v>
      </c>
      <c r="C2843" s="1">
        <f>IFERROR(__xludf.DUMMYFUNCTION("""COMPUTED_VALUE"""),51500.0)</f>
        <v>51500</v>
      </c>
      <c r="D2843" s="1">
        <f>IFERROR(__xludf.DUMMYFUNCTION("""COMPUTED_VALUE"""),50100.0)</f>
        <v>50100</v>
      </c>
      <c r="E2843" s="1">
        <f>IFERROR(__xludf.DUMMYFUNCTION("""COMPUTED_VALUE"""),51100.0)</f>
        <v>51100</v>
      </c>
      <c r="F2843" s="1">
        <f>IFERROR(__xludf.DUMMYFUNCTION("""COMPUTED_VALUE"""),20543.0)</f>
        <v>20543</v>
      </c>
    </row>
    <row r="2844">
      <c r="A2844" s="2">
        <f>IFERROR(__xludf.DUMMYFUNCTION("""COMPUTED_VALUE"""),45146.64583333333)</f>
        <v>45146.64583</v>
      </c>
      <c r="B2844" s="1">
        <f>IFERROR(__xludf.DUMMYFUNCTION("""COMPUTED_VALUE"""),50900.0)</f>
        <v>50900</v>
      </c>
      <c r="C2844" s="1">
        <f>IFERROR(__xludf.DUMMYFUNCTION("""COMPUTED_VALUE"""),51600.0)</f>
        <v>51600</v>
      </c>
      <c r="D2844" s="1">
        <f>IFERROR(__xludf.DUMMYFUNCTION("""COMPUTED_VALUE"""),50500.0)</f>
        <v>50500</v>
      </c>
      <c r="E2844" s="1">
        <f>IFERROR(__xludf.DUMMYFUNCTION("""COMPUTED_VALUE"""),50600.0)</f>
        <v>50600</v>
      </c>
      <c r="F2844" s="1">
        <f>IFERROR(__xludf.DUMMYFUNCTION("""COMPUTED_VALUE"""),12567.0)</f>
        <v>12567</v>
      </c>
    </row>
    <row r="2845">
      <c r="A2845" s="2">
        <f>IFERROR(__xludf.DUMMYFUNCTION("""COMPUTED_VALUE"""),45147.64583333333)</f>
        <v>45147.64583</v>
      </c>
      <c r="B2845" s="1">
        <f>IFERROR(__xludf.DUMMYFUNCTION("""COMPUTED_VALUE"""),51200.0)</f>
        <v>51200</v>
      </c>
      <c r="C2845" s="1">
        <f>IFERROR(__xludf.DUMMYFUNCTION("""COMPUTED_VALUE"""),51200.0)</f>
        <v>51200</v>
      </c>
      <c r="D2845" s="1">
        <f>IFERROR(__xludf.DUMMYFUNCTION("""COMPUTED_VALUE"""),50300.0)</f>
        <v>50300</v>
      </c>
      <c r="E2845" s="1">
        <f>IFERROR(__xludf.DUMMYFUNCTION("""COMPUTED_VALUE"""),50700.0)</f>
        <v>50700</v>
      </c>
      <c r="F2845" s="1">
        <f>IFERROR(__xludf.DUMMYFUNCTION("""COMPUTED_VALUE"""),7178.0)</f>
        <v>7178</v>
      </c>
    </row>
    <row r="2846">
      <c r="A2846" s="2">
        <f>IFERROR(__xludf.DUMMYFUNCTION("""COMPUTED_VALUE"""),45148.64583333333)</f>
        <v>45148.64583</v>
      </c>
      <c r="B2846" s="1">
        <f>IFERROR(__xludf.DUMMYFUNCTION("""COMPUTED_VALUE"""),51300.0)</f>
        <v>51300</v>
      </c>
      <c r="C2846" s="1">
        <f>IFERROR(__xludf.DUMMYFUNCTION("""COMPUTED_VALUE"""),52000.0)</f>
        <v>52000</v>
      </c>
      <c r="D2846" s="1">
        <f>IFERROR(__xludf.DUMMYFUNCTION("""COMPUTED_VALUE"""),50500.0)</f>
        <v>50500</v>
      </c>
      <c r="E2846" s="1">
        <f>IFERROR(__xludf.DUMMYFUNCTION("""COMPUTED_VALUE"""),51000.0)</f>
        <v>51000</v>
      </c>
      <c r="F2846" s="1">
        <f>IFERROR(__xludf.DUMMYFUNCTION("""COMPUTED_VALUE"""),15453.0)</f>
        <v>15453</v>
      </c>
    </row>
    <row r="2847">
      <c r="A2847" s="2">
        <f>IFERROR(__xludf.DUMMYFUNCTION("""COMPUTED_VALUE"""),45149.64583333333)</f>
        <v>45149.64583</v>
      </c>
      <c r="B2847" s="1">
        <f>IFERROR(__xludf.DUMMYFUNCTION("""COMPUTED_VALUE"""),51000.0)</f>
        <v>51000</v>
      </c>
      <c r="C2847" s="1">
        <f>IFERROR(__xludf.DUMMYFUNCTION("""COMPUTED_VALUE"""),51000.0)</f>
        <v>51000</v>
      </c>
      <c r="D2847" s="1">
        <f>IFERROR(__xludf.DUMMYFUNCTION("""COMPUTED_VALUE"""),50200.0)</f>
        <v>50200</v>
      </c>
      <c r="E2847" s="1">
        <f>IFERROR(__xludf.DUMMYFUNCTION("""COMPUTED_VALUE"""),50700.0)</f>
        <v>50700</v>
      </c>
      <c r="F2847" s="1">
        <f>IFERROR(__xludf.DUMMYFUNCTION("""COMPUTED_VALUE"""),10824.0)</f>
        <v>10824</v>
      </c>
    </row>
    <row r="2848">
      <c r="A2848" s="2">
        <f>IFERROR(__xludf.DUMMYFUNCTION("""COMPUTED_VALUE"""),45152.64583333333)</f>
        <v>45152.64583</v>
      </c>
      <c r="B2848" s="1">
        <f>IFERROR(__xludf.DUMMYFUNCTION("""COMPUTED_VALUE"""),50600.0)</f>
        <v>50600</v>
      </c>
      <c r="C2848" s="1">
        <f>IFERROR(__xludf.DUMMYFUNCTION("""COMPUTED_VALUE"""),50800.0)</f>
        <v>50800</v>
      </c>
      <c r="D2848" s="1">
        <f>IFERROR(__xludf.DUMMYFUNCTION("""COMPUTED_VALUE"""),50000.0)</f>
        <v>50000</v>
      </c>
      <c r="E2848" s="1">
        <f>IFERROR(__xludf.DUMMYFUNCTION("""COMPUTED_VALUE"""),50300.0)</f>
        <v>50300</v>
      </c>
      <c r="F2848" s="1">
        <f>IFERROR(__xludf.DUMMYFUNCTION("""COMPUTED_VALUE"""),8573.0)</f>
        <v>8573</v>
      </c>
    </row>
    <row r="2849">
      <c r="A2849" s="2">
        <f>IFERROR(__xludf.DUMMYFUNCTION("""COMPUTED_VALUE"""),45154.64583333333)</f>
        <v>45154.64583</v>
      </c>
      <c r="B2849" s="1">
        <f>IFERROR(__xludf.DUMMYFUNCTION("""COMPUTED_VALUE"""),49800.0)</f>
        <v>49800</v>
      </c>
      <c r="C2849" s="1">
        <f>IFERROR(__xludf.DUMMYFUNCTION("""COMPUTED_VALUE"""),49900.0)</f>
        <v>49900</v>
      </c>
      <c r="D2849" s="1">
        <f>IFERROR(__xludf.DUMMYFUNCTION("""COMPUTED_VALUE"""),49050.0)</f>
        <v>49050</v>
      </c>
      <c r="E2849" s="1">
        <f>IFERROR(__xludf.DUMMYFUNCTION("""COMPUTED_VALUE"""),49400.0)</f>
        <v>49400</v>
      </c>
      <c r="F2849" s="1">
        <f>IFERROR(__xludf.DUMMYFUNCTION("""COMPUTED_VALUE"""),18071.0)</f>
        <v>18071</v>
      </c>
    </row>
    <row r="2850">
      <c r="A2850" s="2">
        <f>IFERROR(__xludf.DUMMYFUNCTION("""COMPUTED_VALUE"""),45155.64583333333)</f>
        <v>45155.64583</v>
      </c>
      <c r="B2850" s="1">
        <f>IFERROR(__xludf.DUMMYFUNCTION("""COMPUTED_VALUE"""),49250.0)</f>
        <v>49250</v>
      </c>
      <c r="C2850" s="1">
        <f>IFERROR(__xludf.DUMMYFUNCTION("""COMPUTED_VALUE"""),49400.0)</f>
        <v>49400</v>
      </c>
      <c r="D2850" s="1">
        <f>IFERROR(__xludf.DUMMYFUNCTION("""COMPUTED_VALUE"""),48200.0)</f>
        <v>48200</v>
      </c>
      <c r="E2850" s="1">
        <f>IFERROR(__xludf.DUMMYFUNCTION("""COMPUTED_VALUE"""),48800.0)</f>
        <v>48800</v>
      </c>
      <c r="F2850" s="1">
        <f>IFERROR(__xludf.DUMMYFUNCTION("""COMPUTED_VALUE"""),11439.0)</f>
        <v>11439</v>
      </c>
    </row>
    <row r="2851">
      <c r="A2851" s="2">
        <f>IFERROR(__xludf.DUMMYFUNCTION("""COMPUTED_VALUE"""),45156.64583333333)</f>
        <v>45156.64583</v>
      </c>
      <c r="B2851" s="1">
        <f>IFERROR(__xludf.DUMMYFUNCTION("""COMPUTED_VALUE"""),48850.0)</f>
        <v>48850</v>
      </c>
      <c r="C2851" s="1">
        <f>IFERROR(__xludf.DUMMYFUNCTION("""COMPUTED_VALUE"""),50400.0)</f>
        <v>50400</v>
      </c>
      <c r="D2851" s="1">
        <f>IFERROR(__xludf.DUMMYFUNCTION("""COMPUTED_VALUE"""),48650.0)</f>
        <v>48650</v>
      </c>
      <c r="E2851" s="1">
        <f>IFERROR(__xludf.DUMMYFUNCTION("""COMPUTED_VALUE"""),49700.0)</f>
        <v>49700</v>
      </c>
      <c r="F2851" s="1">
        <f>IFERROR(__xludf.DUMMYFUNCTION("""COMPUTED_VALUE"""),12102.0)</f>
        <v>12102</v>
      </c>
    </row>
    <row r="2852">
      <c r="A2852" s="2">
        <f>IFERROR(__xludf.DUMMYFUNCTION("""COMPUTED_VALUE"""),45159.64583333333)</f>
        <v>45159.64583</v>
      </c>
      <c r="B2852" s="1">
        <f>IFERROR(__xludf.DUMMYFUNCTION("""COMPUTED_VALUE"""),49950.0)</f>
        <v>49950</v>
      </c>
      <c r="C2852" s="1">
        <f>IFERROR(__xludf.DUMMYFUNCTION("""COMPUTED_VALUE"""),50400.0)</f>
        <v>50400</v>
      </c>
      <c r="D2852" s="1">
        <f>IFERROR(__xludf.DUMMYFUNCTION("""COMPUTED_VALUE"""),49200.0)</f>
        <v>49200</v>
      </c>
      <c r="E2852" s="1">
        <f>IFERROR(__xludf.DUMMYFUNCTION("""COMPUTED_VALUE"""),50000.0)</f>
        <v>50000</v>
      </c>
      <c r="F2852" s="1">
        <f>IFERROR(__xludf.DUMMYFUNCTION("""COMPUTED_VALUE"""),11038.0)</f>
        <v>11038</v>
      </c>
    </row>
    <row r="2853">
      <c r="A2853" s="2">
        <f>IFERROR(__xludf.DUMMYFUNCTION("""COMPUTED_VALUE"""),45160.64583333333)</f>
        <v>45160.64583</v>
      </c>
      <c r="B2853" s="1">
        <f>IFERROR(__xludf.DUMMYFUNCTION("""COMPUTED_VALUE"""),50400.0)</f>
        <v>50400</v>
      </c>
      <c r="C2853" s="1">
        <f>IFERROR(__xludf.DUMMYFUNCTION("""COMPUTED_VALUE"""),50400.0)</f>
        <v>50400</v>
      </c>
      <c r="D2853" s="1">
        <f>IFERROR(__xludf.DUMMYFUNCTION("""COMPUTED_VALUE"""),49650.0)</f>
        <v>49650</v>
      </c>
      <c r="E2853" s="1">
        <f>IFERROR(__xludf.DUMMYFUNCTION("""COMPUTED_VALUE"""),49800.0)</f>
        <v>49800</v>
      </c>
      <c r="F2853" s="1">
        <f>IFERROR(__xludf.DUMMYFUNCTION("""COMPUTED_VALUE"""),3254.0)</f>
        <v>3254</v>
      </c>
    </row>
    <row r="2854">
      <c r="A2854" s="2">
        <f>IFERROR(__xludf.DUMMYFUNCTION("""COMPUTED_VALUE"""),45161.64583333333)</f>
        <v>45161.64583</v>
      </c>
      <c r="B2854" s="1">
        <f>IFERROR(__xludf.DUMMYFUNCTION("""COMPUTED_VALUE"""),49700.0)</f>
        <v>49700</v>
      </c>
      <c r="C2854" s="1">
        <f>IFERROR(__xludf.DUMMYFUNCTION("""COMPUTED_VALUE"""),50000.0)</f>
        <v>50000</v>
      </c>
      <c r="D2854" s="1">
        <f>IFERROR(__xludf.DUMMYFUNCTION("""COMPUTED_VALUE"""),49600.0)</f>
        <v>49600</v>
      </c>
      <c r="E2854" s="1">
        <f>IFERROR(__xludf.DUMMYFUNCTION("""COMPUTED_VALUE"""),49600.0)</f>
        <v>49600</v>
      </c>
      <c r="F2854" s="1">
        <f>IFERROR(__xludf.DUMMYFUNCTION("""COMPUTED_VALUE"""),3939.0)</f>
        <v>3939</v>
      </c>
    </row>
    <row r="2855">
      <c r="A2855" s="2">
        <f>IFERROR(__xludf.DUMMYFUNCTION("""COMPUTED_VALUE"""),45162.64583333333)</f>
        <v>45162.64583</v>
      </c>
      <c r="B2855" s="1">
        <f>IFERROR(__xludf.DUMMYFUNCTION("""COMPUTED_VALUE"""),50000.0)</f>
        <v>50000</v>
      </c>
      <c r="C2855" s="1">
        <f>IFERROR(__xludf.DUMMYFUNCTION("""COMPUTED_VALUE"""),50000.0)</f>
        <v>50000</v>
      </c>
      <c r="D2855" s="1">
        <f>IFERROR(__xludf.DUMMYFUNCTION("""COMPUTED_VALUE"""),49050.0)</f>
        <v>49050</v>
      </c>
      <c r="E2855" s="1">
        <f>IFERROR(__xludf.DUMMYFUNCTION("""COMPUTED_VALUE"""),49050.0)</f>
        <v>49050</v>
      </c>
      <c r="F2855" s="1">
        <f>IFERROR(__xludf.DUMMYFUNCTION("""COMPUTED_VALUE"""),6633.0)</f>
        <v>6633</v>
      </c>
    </row>
    <row r="2856">
      <c r="A2856" s="2">
        <f>IFERROR(__xludf.DUMMYFUNCTION("""COMPUTED_VALUE"""),45163.64583333333)</f>
        <v>45163.64583</v>
      </c>
      <c r="B2856" s="1">
        <f>IFERROR(__xludf.DUMMYFUNCTION("""COMPUTED_VALUE"""),49050.0)</f>
        <v>49050</v>
      </c>
      <c r="C2856" s="1">
        <f>IFERROR(__xludf.DUMMYFUNCTION("""COMPUTED_VALUE"""),49950.0)</f>
        <v>49950</v>
      </c>
      <c r="D2856" s="1">
        <f>IFERROR(__xludf.DUMMYFUNCTION("""COMPUTED_VALUE"""),48800.0)</f>
        <v>48800</v>
      </c>
      <c r="E2856" s="1">
        <f>IFERROR(__xludf.DUMMYFUNCTION("""COMPUTED_VALUE"""),49550.0)</f>
        <v>49550</v>
      </c>
      <c r="F2856" s="1">
        <f>IFERROR(__xludf.DUMMYFUNCTION("""COMPUTED_VALUE"""),8557.0)</f>
        <v>8557</v>
      </c>
    </row>
    <row r="2857">
      <c r="A2857" s="2">
        <f>IFERROR(__xludf.DUMMYFUNCTION("""COMPUTED_VALUE"""),45166.64583333333)</f>
        <v>45166.64583</v>
      </c>
      <c r="B2857" s="1">
        <f>IFERROR(__xludf.DUMMYFUNCTION("""COMPUTED_VALUE"""),49700.0)</f>
        <v>49700</v>
      </c>
      <c r="C2857" s="1">
        <f>IFERROR(__xludf.DUMMYFUNCTION("""COMPUTED_VALUE"""),50700.0)</f>
        <v>50700</v>
      </c>
      <c r="D2857" s="1">
        <f>IFERROR(__xludf.DUMMYFUNCTION("""COMPUTED_VALUE"""),49700.0)</f>
        <v>49700</v>
      </c>
      <c r="E2857" s="1">
        <f>IFERROR(__xludf.DUMMYFUNCTION("""COMPUTED_VALUE"""),50500.0)</f>
        <v>50500</v>
      </c>
      <c r="F2857" s="1">
        <f>IFERROR(__xludf.DUMMYFUNCTION("""COMPUTED_VALUE"""),17596.0)</f>
        <v>17596</v>
      </c>
    </row>
    <row r="2858">
      <c r="A2858" s="2">
        <f>IFERROR(__xludf.DUMMYFUNCTION("""COMPUTED_VALUE"""),45167.64583333333)</f>
        <v>45167.64583</v>
      </c>
      <c r="B2858" s="1">
        <f>IFERROR(__xludf.DUMMYFUNCTION("""COMPUTED_VALUE"""),50900.0)</f>
        <v>50900</v>
      </c>
      <c r="C2858" s="1">
        <f>IFERROR(__xludf.DUMMYFUNCTION("""COMPUTED_VALUE"""),50900.0)</f>
        <v>50900</v>
      </c>
      <c r="D2858" s="1">
        <f>IFERROR(__xludf.DUMMYFUNCTION("""COMPUTED_VALUE"""),50100.0)</f>
        <v>50100</v>
      </c>
      <c r="E2858" s="1">
        <f>IFERROR(__xludf.DUMMYFUNCTION("""COMPUTED_VALUE"""),50400.0)</f>
        <v>50400</v>
      </c>
      <c r="F2858" s="1">
        <f>IFERROR(__xludf.DUMMYFUNCTION("""COMPUTED_VALUE"""),4691.0)</f>
        <v>4691</v>
      </c>
    </row>
    <row r="2859">
      <c r="A2859" s="2">
        <f>IFERROR(__xludf.DUMMYFUNCTION("""COMPUTED_VALUE"""),45168.64583333333)</f>
        <v>45168.64583</v>
      </c>
      <c r="B2859" s="1">
        <f>IFERROR(__xludf.DUMMYFUNCTION("""COMPUTED_VALUE"""),50700.0)</f>
        <v>50700</v>
      </c>
      <c r="C2859" s="1">
        <f>IFERROR(__xludf.DUMMYFUNCTION("""COMPUTED_VALUE"""),50700.0)</f>
        <v>50700</v>
      </c>
      <c r="D2859" s="1">
        <f>IFERROR(__xludf.DUMMYFUNCTION("""COMPUTED_VALUE"""),49950.0)</f>
        <v>49950</v>
      </c>
      <c r="E2859" s="1">
        <f>IFERROR(__xludf.DUMMYFUNCTION("""COMPUTED_VALUE"""),50100.0)</f>
        <v>50100</v>
      </c>
      <c r="F2859" s="1">
        <f>IFERROR(__xludf.DUMMYFUNCTION("""COMPUTED_VALUE"""),8403.0)</f>
        <v>8403</v>
      </c>
    </row>
    <row r="2860">
      <c r="A2860" s="2">
        <f>IFERROR(__xludf.DUMMYFUNCTION("""COMPUTED_VALUE"""),45169.64583333333)</f>
        <v>45169.64583</v>
      </c>
      <c r="B2860" s="1">
        <f>IFERROR(__xludf.DUMMYFUNCTION("""COMPUTED_VALUE"""),50100.0)</f>
        <v>50100</v>
      </c>
      <c r="C2860" s="1">
        <f>IFERROR(__xludf.DUMMYFUNCTION("""COMPUTED_VALUE"""),50200.0)</f>
        <v>50200</v>
      </c>
      <c r="D2860" s="1">
        <f>IFERROR(__xludf.DUMMYFUNCTION("""COMPUTED_VALUE"""),49750.0)</f>
        <v>49750</v>
      </c>
      <c r="E2860" s="1">
        <f>IFERROR(__xludf.DUMMYFUNCTION("""COMPUTED_VALUE"""),49950.0)</f>
        <v>49950</v>
      </c>
      <c r="F2860" s="1">
        <f>IFERROR(__xludf.DUMMYFUNCTION("""COMPUTED_VALUE"""),8193.0)</f>
        <v>8193</v>
      </c>
    </row>
    <row r="2861">
      <c r="A2861" s="2">
        <f>IFERROR(__xludf.DUMMYFUNCTION("""COMPUTED_VALUE"""),45170.64583333333)</f>
        <v>45170.64583</v>
      </c>
      <c r="B2861" s="1">
        <f>IFERROR(__xludf.DUMMYFUNCTION("""COMPUTED_VALUE"""),50000.0)</f>
        <v>50000</v>
      </c>
      <c r="C2861" s="1">
        <f>IFERROR(__xludf.DUMMYFUNCTION("""COMPUTED_VALUE"""),64900.0)</f>
        <v>64900</v>
      </c>
      <c r="D2861" s="1">
        <f>IFERROR(__xludf.DUMMYFUNCTION("""COMPUTED_VALUE"""),49750.0)</f>
        <v>49750</v>
      </c>
      <c r="E2861" s="1">
        <f>IFERROR(__xludf.DUMMYFUNCTION("""COMPUTED_VALUE"""),50500.0)</f>
        <v>50500</v>
      </c>
      <c r="F2861" s="1">
        <f>IFERROR(__xludf.DUMMYFUNCTION("""COMPUTED_VALUE"""),57197.0)</f>
        <v>57197</v>
      </c>
    </row>
    <row r="2862">
      <c r="A2862" s="2">
        <f>IFERROR(__xludf.DUMMYFUNCTION("""COMPUTED_VALUE"""),45173.64583333333)</f>
        <v>45173.64583</v>
      </c>
      <c r="B2862" s="1">
        <f>IFERROR(__xludf.DUMMYFUNCTION("""COMPUTED_VALUE"""),50600.0)</f>
        <v>50600</v>
      </c>
      <c r="C2862" s="1">
        <f>IFERROR(__xludf.DUMMYFUNCTION("""COMPUTED_VALUE"""),52400.0)</f>
        <v>52400</v>
      </c>
      <c r="D2862" s="1">
        <f>IFERROR(__xludf.DUMMYFUNCTION("""COMPUTED_VALUE"""),50500.0)</f>
        <v>50500</v>
      </c>
      <c r="E2862" s="1">
        <f>IFERROR(__xludf.DUMMYFUNCTION("""COMPUTED_VALUE"""),52200.0)</f>
        <v>52200</v>
      </c>
      <c r="F2862" s="1">
        <f>IFERROR(__xludf.DUMMYFUNCTION("""COMPUTED_VALUE"""),31865.0)</f>
        <v>31865</v>
      </c>
    </row>
    <row r="2863">
      <c r="A2863" s="2">
        <f>IFERROR(__xludf.DUMMYFUNCTION("""COMPUTED_VALUE"""),45174.64583333333)</f>
        <v>45174.64583</v>
      </c>
      <c r="B2863" s="1">
        <f>IFERROR(__xludf.DUMMYFUNCTION("""COMPUTED_VALUE"""),52400.0)</f>
        <v>52400</v>
      </c>
      <c r="C2863" s="1">
        <f>IFERROR(__xludf.DUMMYFUNCTION("""COMPUTED_VALUE"""),52500.0)</f>
        <v>52500</v>
      </c>
      <c r="D2863" s="1">
        <f>IFERROR(__xludf.DUMMYFUNCTION("""COMPUTED_VALUE"""),51500.0)</f>
        <v>51500</v>
      </c>
      <c r="E2863" s="1">
        <f>IFERROR(__xludf.DUMMYFUNCTION("""COMPUTED_VALUE"""),52100.0)</f>
        <v>52100</v>
      </c>
      <c r="F2863" s="1">
        <f>IFERROR(__xludf.DUMMYFUNCTION("""COMPUTED_VALUE"""),16666.0)</f>
        <v>16666</v>
      </c>
    </row>
    <row r="2864">
      <c r="A2864" s="2">
        <f>IFERROR(__xludf.DUMMYFUNCTION("""COMPUTED_VALUE"""),45175.64583333333)</f>
        <v>45175.64583</v>
      </c>
      <c r="B2864" s="1">
        <f>IFERROR(__xludf.DUMMYFUNCTION("""COMPUTED_VALUE"""),53100.0)</f>
        <v>53100</v>
      </c>
      <c r="C2864" s="1">
        <f>IFERROR(__xludf.DUMMYFUNCTION("""COMPUTED_VALUE"""),53500.0)</f>
        <v>53500</v>
      </c>
      <c r="D2864" s="1">
        <f>IFERROR(__xludf.DUMMYFUNCTION("""COMPUTED_VALUE"""),52100.0)</f>
        <v>52100</v>
      </c>
      <c r="E2864" s="1">
        <f>IFERROR(__xludf.DUMMYFUNCTION("""COMPUTED_VALUE"""),52400.0)</f>
        <v>52400</v>
      </c>
      <c r="F2864" s="1">
        <f>IFERROR(__xludf.DUMMYFUNCTION("""COMPUTED_VALUE"""),16467.0)</f>
        <v>16467</v>
      </c>
    </row>
    <row r="2865">
      <c r="A2865" s="2">
        <f>IFERROR(__xludf.DUMMYFUNCTION("""COMPUTED_VALUE"""),45176.64583333333)</f>
        <v>45176.64583</v>
      </c>
      <c r="B2865" s="1">
        <f>IFERROR(__xludf.DUMMYFUNCTION("""COMPUTED_VALUE"""),52700.0)</f>
        <v>52700</v>
      </c>
      <c r="C2865" s="1">
        <f>IFERROR(__xludf.DUMMYFUNCTION("""COMPUTED_VALUE"""),53100.0)</f>
        <v>53100</v>
      </c>
      <c r="D2865" s="1">
        <f>IFERROR(__xludf.DUMMYFUNCTION("""COMPUTED_VALUE"""),52000.0)</f>
        <v>52000</v>
      </c>
      <c r="E2865" s="1">
        <f>IFERROR(__xludf.DUMMYFUNCTION("""COMPUTED_VALUE"""),52900.0)</f>
        <v>52900</v>
      </c>
      <c r="F2865" s="1">
        <f>IFERROR(__xludf.DUMMYFUNCTION("""COMPUTED_VALUE"""),12995.0)</f>
        <v>12995</v>
      </c>
    </row>
    <row r="2866">
      <c r="A2866" s="2">
        <f>IFERROR(__xludf.DUMMYFUNCTION("""COMPUTED_VALUE"""),45177.64583333333)</f>
        <v>45177.64583</v>
      </c>
      <c r="B2866" s="1">
        <f>IFERROR(__xludf.DUMMYFUNCTION("""COMPUTED_VALUE"""),52900.0)</f>
        <v>52900</v>
      </c>
      <c r="C2866" s="1">
        <f>IFERROR(__xludf.DUMMYFUNCTION("""COMPUTED_VALUE"""),52900.0)</f>
        <v>52900</v>
      </c>
      <c r="D2866" s="1">
        <f>IFERROR(__xludf.DUMMYFUNCTION("""COMPUTED_VALUE"""),52200.0)</f>
        <v>52200</v>
      </c>
      <c r="E2866" s="1">
        <f>IFERROR(__xludf.DUMMYFUNCTION("""COMPUTED_VALUE"""),52500.0)</f>
        <v>52500</v>
      </c>
      <c r="F2866" s="1">
        <f>IFERROR(__xludf.DUMMYFUNCTION("""COMPUTED_VALUE"""),8245.0)</f>
        <v>8245</v>
      </c>
    </row>
    <row r="2867">
      <c r="A2867" s="2">
        <f>IFERROR(__xludf.DUMMYFUNCTION("""COMPUTED_VALUE"""),45180.64583333333)</f>
        <v>45180.64583</v>
      </c>
      <c r="B2867" s="1">
        <f>IFERROR(__xludf.DUMMYFUNCTION("""COMPUTED_VALUE"""),52100.0)</f>
        <v>52100</v>
      </c>
      <c r="C2867" s="1">
        <f>IFERROR(__xludf.DUMMYFUNCTION("""COMPUTED_VALUE"""),52800.0)</f>
        <v>52800</v>
      </c>
      <c r="D2867" s="1">
        <f>IFERROR(__xludf.DUMMYFUNCTION("""COMPUTED_VALUE"""),52000.0)</f>
        <v>52000</v>
      </c>
      <c r="E2867" s="1">
        <f>IFERROR(__xludf.DUMMYFUNCTION("""COMPUTED_VALUE"""),52300.0)</f>
        <v>52300</v>
      </c>
      <c r="F2867" s="1">
        <f>IFERROR(__xludf.DUMMYFUNCTION("""COMPUTED_VALUE"""),13323.0)</f>
        <v>13323</v>
      </c>
    </row>
    <row r="2868">
      <c r="A2868" s="2">
        <f>IFERROR(__xludf.DUMMYFUNCTION("""COMPUTED_VALUE"""),45181.64583333333)</f>
        <v>45181.64583</v>
      </c>
      <c r="B2868" s="1">
        <f>IFERROR(__xludf.DUMMYFUNCTION("""COMPUTED_VALUE"""),52200.0)</f>
        <v>52200</v>
      </c>
      <c r="C2868" s="1">
        <f>IFERROR(__xludf.DUMMYFUNCTION("""COMPUTED_VALUE"""),52300.0)</f>
        <v>52300</v>
      </c>
      <c r="D2868" s="1">
        <f>IFERROR(__xludf.DUMMYFUNCTION("""COMPUTED_VALUE"""),51700.0)</f>
        <v>51700</v>
      </c>
      <c r="E2868" s="1">
        <f>IFERROR(__xludf.DUMMYFUNCTION("""COMPUTED_VALUE"""),52000.0)</f>
        <v>52000</v>
      </c>
      <c r="F2868" s="1">
        <f>IFERROR(__xludf.DUMMYFUNCTION("""COMPUTED_VALUE"""),5890.0)</f>
        <v>5890</v>
      </c>
    </row>
    <row r="2869">
      <c r="A2869" s="2">
        <f>IFERROR(__xludf.DUMMYFUNCTION("""COMPUTED_VALUE"""),45182.64583333333)</f>
        <v>45182.64583</v>
      </c>
      <c r="B2869" s="1">
        <f>IFERROR(__xludf.DUMMYFUNCTION("""COMPUTED_VALUE"""),52700.0)</f>
        <v>52700</v>
      </c>
      <c r="C2869" s="1">
        <f>IFERROR(__xludf.DUMMYFUNCTION("""COMPUTED_VALUE"""),53000.0)</f>
        <v>53000</v>
      </c>
      <c r="D2869" s="1">
        <f>IFERROR(__xludf.DUMMYFUNCTION("""COMPUTED_VALUE"""),52000.0)</f>
        <v>52000</v>
      </c>
      <c r="E2869" s="1">
        <f>IFERROR(__xludf.DUMMYFUNCTION("""COMPUTED_VALUE"""),52800.0)</f>
        <v>52800</v>
      </c>
      <c r="F2869" s="1">
        <f>IFERROR(__xludf.DUMMYFUNCTION("""COMPUTED_VALUE"""),15855.0)</f>
        <v>15855</v>
      </c>
    </row>
    <row r="2870">
      <c r="A2870" s="2">
        <f>IFERROR(__xludf.DUMMYFUNCTION("""COMPUTED_VALUE"""),45183.64583333333)</f>
        <v>45183.64583</v>
      </c>
      <c r="B2870" s="1">
        <f>IFERROR(__xludf.DUMMYFUNCTION("""COMPUTED_VALUE"""),53000.0)</f>
        <v>53000</v>
      </c>
      <c r="C2870" s="1">
        <f>IFERROR(__xludf.DUMMYFUNCTION("""COMPUTED_VALUE"""),53200.0)</f>
        <v>53200</v>
      </c>
      <c r="D2870" s="1">
        <f>IFERROR(__xludf.DUMMYFUNCTION("""COMPUTED_VALUE"""),52500.0)</f>
        <v>52500</v>
      </c>
      <c r="E2870" s="1">
        <f>IFERROR(__xludf.DUMMYFUNCTION("""COMPUTED_VALUE"""),52600.0)</f>
        <v>52600</v>
      </c>
      <c r="F2870" s="1">
        <f>IFERROR(__xludf.DUMMYFUNCTION("""COMPUTED_VALUE"""),9121.0)</f>
        <v>9121</v>
      </c>
    </row>
    <row r="2871">
      <c r="A2871" s="2">
        <f>IFERROR(__xludf.DUMMYFUNCTION("""COMPUTED_VALUE"""),45184.64583333333)</f>
        <v>45184.64583</v>
      </c>
      <c r="B2871" s="1">
        <f>IFERROR(__xludf.DUMMYFUNCTION("""COMPUTED_VALUE"""),52800.0)</f>
        <v>52800</v>
      </c>
      <c r="C2871" s="1">
        <f>IFERROR(__xludf.DUMMYFUNCTION("""COMPUTED_VALUE"""),53900.0)</f>
        <v>53900</v>
      </c>
      <c r="D2871" s="1">
        <f>IFERROR(__xludf.DUMMYFUNCTION("""COMPUTED_VALUE"""),52800.0)</f>
        <v>52800</v>
      </c>
      <c r="E2871" s="1">
        <f>IFERROR(__xludf.DUMMYFUNCTION("""COMPUTED_VALUE"""),53600.0)</f>
        <v>53600</v>
      </c>
      <c r="F2871" s="1">
        <f>IFERROR(__xludf.DUMMYFUNCTION("""COMPUTED_VALUE"""),29021.0)</f>
        <v>29021</v>
      </c>
    </row>
    <row r="2872">
      <c r="A2872" s="2">
        <f>IFERROR(__xludf.DUMMYFUNCTION("""COMPUTED_VALUE"""),45187.64583333333)</f>
        <v>45187.64583</v>
      </c>
      <c r="B2872" s="1">
        <f>IFERROR(__xludf.DUMMYFUNCTION("""COMPUTED_VALUE"""),53800.0)</f>
        <v>53800</v>
      </c>
      <c r="C2872" s="1">
        <f>IFERROR(__xludf.DUMMYFUNCTION("""COMPUTED_VALUE"""),53800.0)</f>
        <v>53800</v>
      </c>
      <c r="D2872" s="1">
        <f>IFERROR(__xludf.DUMMYFUNCTION("""COMPUTED_VALUE"""),53200.0)</f>
        <v>53200</v>
      </c>
      <c r="E2872" s="1">
        <f>IFERROR(__xludf.DUMMYFUNCTION("""COMPUTED_VALUE"""),53400.0)</f>
        <v>53400</v>
      </c>
      <c r="F2872" s="1">
        <f>IFERROR(__xludf.DUMMYFUNCTION("""COMPUTED_VALUE"""),7975.0)</f>
        <v>7975</v>
      </c>
    </row>
    <row r="2873">
      <c r="A2873" s="2">
        <f>IFERROR(__xludf.DUMMYFUNCTION("""COMPUTED_VALUE"""),45188.64583333333)</f>
        <v>45188.64583</v>
      </c>
      <c r="B2873" s="1">
        <f>IFERROR(__xludf.DUMMYFUNCTION("""COMPUTED_VALUE"""),53800.0)</f>
        <v>53800</v>
      </c>
      <c r="C2873" s="1">
        <f>IFERROR(__xludf.DUMMYFUNCTION("""COMPUTED_VALUE"""),53800.0)</f>
        <v>53800</v>
      </c>
      <c r="D2873" s="1">
        <f>IFERROR(__xludf.DUMMYFUNCTION("""COMPUTED_VALUE"""),52900.0)</f>
        <v>52900</v>
      </c>
      <c r="E2873" s="1">
        <f>IFERROR(__xludf.DUMMYFUNCTION("""COMPUTED_VALUE"""),53400.0)</f>
        <v>53400</v>
      </c>
      <c r="F2873" s="1">
        <f>IFERROR(__xludf.DUMMYFUNCTION("""COMPUTED_VALUE"""),7533.0)</f>
        <v>7533</v>
      </c>
    </row>
    <row r="2874">
      <c r="A2874" s="2">
        <f>IFERROR(__xludf.DUMMYFUNCTION("""COMPUTED_VALUE"""),45189.64583333333)</f>
        <v>45189.64583</v>
      </c>
      <c r="B2874" s="1">
        <f>IFERROR(__xludf.DUMMYFUNCTION("""COMPUTED_VALUE"""),53000.0)</f>
        <v>53000</v>
      </c>
      <c r="C2874" s="1">
        <f>IFERROR(__xludf.DUMMYFUNCTION("""COMPUTED_VALUE"""),53400.0)</f>
        <v>53400</v>
      </c>
      <c r="D2874" s="1">
        <f>IFERROR(__xludf.DUMMYFUNCTION("""COMPUTED_VALUE"""),52800.0)</f>
        <v>52800</v>
      </c>
      <c r="E2874" s="1">
        <f>IFERROR(__xludf.DUMMYFUNCTION("""COMPUTED_VALUE"""),52800.0)</f>
        <v>52800</v>
      </c>
      <c r="F2874" s="1">
        <f>IFERROR(__xludf.DUMMYFUNCTION("""COMPUTED_VALUE"""),6388.0)</f>
        <v>6388</v>
      </c>
    </row>
    <row r="2875">
      <c r="A2875" s="2">
        <f>IFERROR(__xludf.DUMMYFUNCTION("""COMPUTED_VALUE"""),45190.64583333333)</f>
        <v>45190.64583</v>
      </c>
      <c r="B2875" s="1">
        <f>IFERROR(__xludf.DUMMYFUNCTION("""COMPUTED_VALUE"""),52800.0)</f>
        <v>52800</v>
      </c>
      <c r="C2875" s="1">
        <f>IFERROR(__xludf.DUMMYFUNCTION("""COMPUTED_VALUE"""),53000.0)</f>
        <v>53000</v>
      </c>
      <c r="D2875" s="1">
        <f>IFERROR(__xludf.DUMMYFUNCTION("""COMPUTED_VALUE"""),52300.0)</f>
        <v>52300</v>
      </c>
      <c r="E2875" s="1">
        <f>IFERROR(__xludf.DUMMYFUNCTION("""COMPUTED_VALUE"""),52600.0)</f>
        <v>52600</v>
      </c>
      <c r="F2875" s="1">
        <f>IFERROR(__xludf.DUMMYFUNCTION("""COMPUTED_VALUE"""),7295.0)</f>
        <v>7295</v>
      </c>
    </row>
    <row r="2876">
      <c r="A2876" s="2">
        <f>IFERROR(__xludf.DUMMYFUNCTION("""COMPUTED_VALUE"""),45191.64583333333)</f>
        <v>45191.64583</v>
      </c>
      <c r="B2876" s="1">
        <f>IFERROR(__xludf.DUMMYFUNCTION("""COMPUTED_VALUE"""),51700.0)</f>
        <v>51700</v>
      </c>
      <c r="C2876" s="1">
        <f>IFERROR(__xludf.DUMMYFUNCTION("""COMPUTED_VALUE"""),52600.0)</f>
        <v>52600</v>
      </c>
      <c r="D2876" s="1">
        <f>IFERROR(__xludf.DUMMYFUNCTION("""COMPUTED_VALUE"""),51200.0)</f>
        <v>51200</v>
      </c>
      <c r="E2876" s="1">
        <f>IFERROR(__xludf.DUMMYFUNCTION("""COMPUTED_VALUE"""),52400.0)</f>
        <v>52400</v>
      </c>
      <c r="F2876" s="1">
        <f>IFERROR(__xludf.DUMMYFUNCTION("""COMPUTED_VALUE"""),6520.0)</f>
        <v>6520</v>
      </c>
    </row>
    <row r="2877">
      <c r="A2877" s="2">
        <f>IFERROR(__xludf.DUMMYFUNCTION("""COMPUTED_VALUE"""),45194.64583333333)</f>
        <v>45194.64583</v>
      </c>
      <c r="B2877" s="1">
        <f>IFERROR(__xludf.DUMMYFUNCTION("""COMPUTED_VALUE"""),52100.0)</f>
        <v>52100</v>
      </c>
      <c r="C2877" s="1">
        <f>IFERROR(__xludf.DUMMYFUNCTION("""COMPUTED_VALUE"""),53100.0)</f>
        <v>53100</v>
      </c>
      <c r="D2877" s="1">
        <f>IFERROR(__xludf.DUMMYFUNCTION("""COMPUTED_VALUE"""),50000.0)</f>
        <v>50000</v>
      </c>
      <c r="E2877" s="1">
        <f>IFERROR(__xludf.DUMMYFUNCTION("""COMPUTED_VALUE"""),52500.0)</f>
        <v>52500</v>
      </c>
      <c r="F2877" s="1">
        <f>IFERROR(__xludf.DUMMYFUNCTION("""COMPUTED_VALUE"""),12801.0)</f>
        <v>12801</v>
      </c>
    </row>
    <row r="2878">
      <c r="A2878" s="2">
        <f>IFERROR(__xludf.DUMMYFUNCTION("""COMPUTED_VALUE"""),45195.64583333333)</f>
        <v>45195.64583</v>
      </c>
      <c r="B2878" s="1">
        <f>IFERROR(__xludf.DUMMYFUNCTION("""COMPUTED_VALUE"""),52900.0)</f>
        <v>52900</v>
      </c>
      <c r="C2878" s="1">
        <f>IFERROR(__xludf.DUMMYFUNCTION("""COMPUTED_VALUE"""),52900.0)</f>
        <v>52900</v>
      </c>
      <c r="D2878" s="1">
        <f>IFERROR(__xludf.DUMMYFUNCTION("""COMPUTED_VALUE"""),52000.0)</f>
        <v>52000</v>
      </c>
      <c r="E2878" s="1">
        <f>IFERROR(__xludf.DUMMYFUNCTION("""COMPUTED_VALUE"""),52100.0)</f>
        <v>52100</v>
      </c>
      <c r="F2878" s="1">
        <f>IFERROR(__xludf.DUMMYFUNCTION("""COMPUTED_VALUE"""),7857.0)</f>
        <v>7857</v>
      </c>
    </row>
    <row r="2879">
      <c r="A2879" s="2">
        <f>IFERROR(__xludf.DUMMYFUNCTION("""COMPUTED_VALUE"""),45196.64583333333)</f>
        <v>45196.64583</v>
      </c>
      <c r="B2879" s="1">
        <f>IFERROR(__xludf.DUMMYFUNCTION("""COMPUTED_VALUE"""),51200.0)</f>
        <v>51200</v>
      </c>
      <c r="C2879" s="1">
        <f>IFERROR(__xludf.DUMMYFUNCTION("""COMPUTED_VALUE"""),53000.0)</f>
        <v>53000</v>
      </c>
      <c r="D2879" s="1">
        <f>IFERROR(__xludf.DUMMYFUNCTION("""COMPUTED_VALUE"""),51200.0)</f>
        <v>51200</v>
      </c>
      <c r="E2879" s="1">
        <f>IFERROR(__xludf.DUMMYFUNCTION("""COMPUTED_VALUE"""),52900.0)</f>
        <v>52900</v>
      </c>
      <c r="F2879" s="1">
        <f>IFERROR(__xludf.DUMMYFUNCTION("""COMPUTED_VALUE"""),7409.0)</f>
        <v>7409</v>
      </c>
    </row>
    <row r="2880">
      <c r="A2880" s="2">
        <f>IFERROR(__xludf.DUMMYFUNCTION("""COMPUTED_VALUE"""),45203.64583333333)</f>
        <v>45203.64583</v>
      </c>
      <c r="B2880" s="1">
        <f>IFERROR(__xludf.DUMMYFUNCTION("""COMPUTED_VALUE"""),52800.0)</f>
        <v>52800</v>
      </c>
      <c r="C2880" s="1">
        <f>IFERROR(__xludf.DUMMYFUNCTION("""COMPUTED_VALUE"""),52800.0)</f>
        <v>52800</v>
      </c>
      <c r="D2880" s="1">
        <f>IFERROR(__xludf.DUMMYFUNCTION("""COMPUTED_VALUE"""),50800.0)</f>
        <v>50800</v>
      </c>
      <c r="E2880" s="1">
        <f>IFERROR(__xludf.DUMMYFUNCTION("""COMPUTED_VALUE"""),51200.0)</f>
        <v>51200</v>
      </c>
      <c r="F2880" s="1">
        <f>IFERROR(__xludf.DUMMYFUNCTION("""COMPUTED_VALUE"""),15509.0)</f>
        <v>15509</v>
      </c>
    </row>
    <row r="2881">
      <c r="A2881" s="2">
        <f>IFERROR(__xludf.DUMMYFUNCTION("""COMPUTED_VALUE"""),45204.64583333333)</f>
        <v>45204.64583</v>
      </c>
      <c r="B2881" s="1">
        <f>IFERROR(__xludf.DUMMYFUNCTION("""COMPUTED_VALUE"""),50800.0)</f>
        <v>50800</v>
      </c>
      <c r="C2881" s="1">
        <f>IFERROR(__xludf.DUMMYFUNCTION("""COMPUTED_VALUE"""),50800.0)</f>
        <v>50800</v>
      </c>
      <c r="D2881" s="1">
        <f>IFERROR(__xludf.DUMMYFUNCTION("""COMPUTED_VALUE"""),49900.0)</f>
        <v>49900</v>
      </c>
      <c r="E2881" s="1">
        <f>IFERROR(__xludf.DUMMYFUNCTION("""COMPUTED_VALUE"""),50200.0)</f>
        <v>50200</v>
      </c>
      <c r="F2881" s="1">
        <f>IFERROR(__xludf.DUMMYFUNCTION("""COMPUTED_VALUE"""),22609.0)</f>
        <v>22609</v>
      </c>
    </row>
    <row r="2882">
      <c r="A2882" s="2">
        <f>IFERROR(__xludf.DUMMYFUNCTION("""COMPUTED_VALUE"""),45205.64583333333)</f>
        <v>45205.64583</v>
      </c>
      <c r="B2882" s="1">
        <f>IFERROR(__xludf.DUMMYFUNCTION("""COMPUTED_VALUE"""),50200.0)</f>
        <v>50200</v>
      </c>
      <c r="C2882" s="1">
        <f>IFERROR(__xludf.DUMMYFUNCTION("""COMPUTED_VALUE"""),50200.0)</f>
        <v>50200</v>
      </c>
      <c r="D2882" s="1">
        <f>IFERROR(__xludf.DUMMYFUNCTION("""COMPUTED_VALUE"""),49550.0)</f>
        <v>49550</v>
      </c>
      <c r="E2882" s="1">
        <f>IFERROR(__xludf.DUMMYFUNCTION("""COMPUTED_VALUE"""),49850.0)</f>
        <v>49850</v>
      </c>
      <c r="F2882" s="1">
        <f>IFERROR(__xludf.DUMMYFUNCTION("""COMPUTED_VALUE"""),14605.0)</f>
        <v>14605</v>
      </c>
    </row>
    <row r="2883">
      <c r="A2883" s="2">
        <f>IFERROR(__xludf.DUMMYFUNCTION("""COMPUTED_VALUE"""),45209.64583333333)</f>
        <v>45209.64583</v>
      </c>
      <c r="B2883" s="1">
        <f>IFERROR(__xludf.DUMMYFUNCTION("""COMPUTED_VALUE"""),51300.0)</f>
        <v>51300</v>
      </c>
      <c r="C2883" s="1">
        <f>IFERROR(__xludf.DUMMYFUNCTION("""COMPUTED_VALUE"""),51600.0)</f>
        <v>51600</v>
      </c>
      <c r="D2883" s="1">
        <f>IFERROR(__xludf.DUMMYFUNCTION("""COMPUTED_VALUE"""),50300.0)</f>
        <v>50300</v>
      </c>
      <c r="E2883" s="1">
        <f>IFERROR(__xludf.DUMMYFUNCTION("""COMPUTED_VALUE"""),50600.0)</f>
        <v>50600</v>
      </c>
      <c r="F2883" s="1">
        <f>IFERROR(__xludf.DUMMYFUNCTION("""COMPUTED_VALUE"""),40181.0)</f>
        <v>40181</v>
      </c>
    </row>
    <row r="2884">
      <c r="A2884" s="2">
        <f>IFERROR(__xludf.DUMMYFUNCTION("""COMPUTED_VALUE"""),45210.64583333333)</f>
        <v>45210.64583</v>
      </c>
      <c r="B2884" s="1">
        <f>IFERROR(__xludf.DUMMYFUNCTION("""COMPUTED_VALUE"""),50600.0)</f>
        <v>50600</v>
      </c>
      <c r="C2884" s="1">
        <f>IFERROR(__xludf.DUMMYFUNCTION("""COMPUTED_VALUE"""),50800.0)</f>
        <v>50800</v>
      </c>
      <c r="D2884" s="1">
        <f>IFERROR(__xludf.DUMMYFUNCTION("""COMPUTED_VALUE"""),50100.0)</f>
        <v>50100</v>
      </c>
      <c r="E2884" s="1">
        <f>IFERROR(__xludf.DUMMYFUNCTION("""COMPUTED_VALUE"""),50400.0)</f>
        <v>50400</v>
      </c>
      <c r="F2884" s="1">
        <f>IFERROR(__xludf.DUMMYFUNCTION("""COMPUTED_VALUE"""),19770.0)</f>
        <v>19770</v>
      </c>
    </row>
    <row r="2885">
      <c r="A2885" s="2">
        <f>IFERROR(__xludf.DUMMYFUNCTION("""COMPUTED_VALUE"""),45211.64583333333)</f>
        <v>45211.64583</v>
      </c>
      <c r="B2885" s="1">
        <f>IFERROR(__xludf.DUMMYFUNCTION("""COMPUTED_VALUE"""),50500.0)</f>
        <v>50500</v>
      </c>
      <c r="C2885" s="1">
        <f>IFERROR(__xludf.DUMMYFUNCTION("""COMPUTED_VALUE"""),50500.0)</f>
        <v>50500</v>
      </c>
      <c r="D2885" s="1">
        <f>IFERROR(__xludf.DUMMYFUNCTION("""COMPUTED_VALUE"""),49950.0)</f>
        <v>49950</v>
      </c>
      <c r="E2885" s="1">
        <f>IFERROR(__xludf.DUMMYFUNCTION("""COMPUTED_VALUE"""),50000.0)</f>
        <v>50000</v>
      </c>
      <c r="F2885" s="1">
        <f>IFERROR(__xludf.DUMMYFUNCTION("""COMPUTED_VALUE"""),15339.0)</f>
        <v>15339</v>
      </c>
    </row>
    <row r="2886">
      <c r="A2886" s="2">
        <f>IFERROR(__xludf.DUMMYFUNCTION("""COMPUTED_VALUE"""),45212.64583333333)</f>
        <v>45212.64583</v>
      </c>
      <c r="B2886" s="1">
        <f>IFERROR(__xludf.DUMMYFUNCTION("""COMPUTED_VALUE"""),50300.0)</f>
        <v>50300</v>
      </c>
      <c r="C2886" s="1">
        <f>IFERROR(__xludf.DUMMYFUNCTION("""COMPUTED_VALUE"""),50300.0)</f>
        <v>50300</v>
      </c>
      <c r="D2886" s="1">
        <f>IFERROR(__xludf.DUMMYFUNCTION("""COMPUTED_VALUE"""),49750.0)</f>
        <v>49750</v>
      </c>
      <c r="E2886" s="1">
        <f>IFERROR(__xludf.DUMMYFUNCTION("""COMPUTED_VALUE"""),49950.0)</f>
        <v>49950</v>
      </c>
      <c r="F2886" s="1">
        <f>IFERROR(__xludf.DUMMYFUNCTION("""COMPUTED_VALUE"""),13050.0)</f>
        <v>13050</v>
      </c>
    </row>
    <row r="2887">
      <c r="A2887" s="2">
        <f>IFERROR(__xludf.DUMMYFUNCTION("""COMPUTED_VALUE"""),45215.64583333333)</f>
        <v>45215.64583</v>
      </c>
      <c r="B2887" s="1">
        <f>IFERROR(__xludf.DUMMYFUNCTION("""COMPUTED_VALUE"""),50400.0)</f>
        <v>50400</v>
      </c>
      <c r="C2887" s="1">
        <f>IFERROR(__xludf.DUMMYFUNCTION("""COMPUTED_VALUE"""),51100.0)</f>
        <v>51100</v>
      </c>
      <c r="D2887" s="1">
        <f>IFERROR(__xludf.DUMMYFUNCTION("""COMPUTED_VALUE"""),49600.0)</f>
        <v>49600</v>
      </c>
      <c r="E2887" s="1">
        <f>IFERROR(__xludf.DUMMYFUNCTION("""COMPUTED_VALUE"""),50400.0)</f>
        <v>50400</v>
      </c>
      <c r="F2887" s="1">
        <f>IFERROR(__xludf.DUMMYFUNCTION("""COMPUTED_VALUE"""),26605.0)</f>
        <v>26605</v>
      </c>
    </row>
    <row r="2888">
      <c r="A2888" s="2">
        <f>IFERROR(__xludf.DUMMYFUNCTION("""COMPUTED_VALUE"""),45216.64583333333)</f>
        <v>45216.64583</v>
      </c>
      <c r="B2888" s="1">
        <f>IFERROR(__xludf.DUMMYFUNCTION("""COMPUTED_VALUE"""),50400.0)</f>
        <v>50400</v>
      </c>
      <c r="C2888" s="1">
        <f>IFERROR(__xludf.DUMMYFUNCTION("""COMPUTED_VALUE"""),50600.0)</f>
        <v>50600</v>
      </c>
      <c r="D2888" s="1">
        <f>IFERROR(__xludf.DUMMYFUNCTION("""COMPUTED_VALUE"""),49950.0)</f>
        <v>49950</v>
      </c>
      <c r="E2888" s="1">
        <f>IFERROR(__xludf.DUMMYFUNCTION("""COMPUTED_VALUE"""),50000.0)</f>
        <v>50000</v>
      </c>
      <c r="F2888" s="1">
        <f>IFERROR(__xludf.DUMMYFUNCTION("""COMPUTED_VALUE"""),10832.0)</f>
        <v>10832</v>
      </c>
    </row>
    <row r="2889">
      <c r="A2889" s="2">
        <f>IFERROR(__xludf.DUMMYFUNCTION("""COMPUTED_VALUE"""),45217.64583333333)</f>
        <v>45217.64583</v>
      </c>
      <c r="B2889" s="1">
        <f>IFERROR(__xludf.DUMMYFUNCTION("""COMPUTED_VALUE"""),50700.0)</f>
        <v>50700</v>
      </c>
      <c r="C2889" s="1">
        <f>IFERROR(__xludf.DUMMYFUNCTION("""COMPUTED_VALUE"""),51100.0)</f>
        <v>51100</v>
      </c>
      <c r="D2889" s="1">
        <f>IFERROR(__xludf.DUMMYFUNCTION("""COMPUTED_VALUE"""),50200.0)</f>
        <v>50200</v>
      </c>
      <c r="E2889" s="1">
        <f>IFERROR(__xludf.DUMMYFUNCTION("""COMPUTED_VALUE"""),50300.0)</f>
        <v>50300</v>
      </c>
      <c r="F2889" s="1">
        <f>IFERROR(__xludf.DUMMYFUNCTION("""COMPUTED_VALUE"""),12852.0)</f>
        <v>12852</v>
      </c>
    </row>
    <row r="2890">
      <c r="A2890" s="2">
        <f>IFERROR(__xludf.DUMMYFUNCTION("""COMPUTED_VALUE"""),45218.64583333333)</f>
        <v>45218.64583</v>
      </c>
      <c r="B2890" s="1">
        <f>IFERROR(__xludf.DUMMYFUNCTION("""COMPUTED_VALUE"""),50300.0)</f>
        <v>50300</v>
      </c>
      <c r="C2890" s="1">
        <f>IFERROR(__xludf.DUMMYFUNCTION("""COMPUTED_VALUE"""),50400.0)</f>
        <v>50400</v>
      </c>
      <c r="D2890" s="1">
        <f>IFERROR(__xludf.DUMMYFUNCTION("""COMPUTED_VALUE"""),49800.0)</f>
        <v>49800</v>
      </c>
      <c r="E2890" s="1">
        <f>IFERROR(__xludf.DUMMYFUNCTION("""COMPUTED_VALUE"""),50100.0)</f>
        <v>50100</v>
      </c>
      <c r="F2890" s="1">
        <f>IFERROR(__xludf.DUMMYFUNCTION("""COMPUTED_VALUE"""),11942.0)</f>
        <v>11942</v>
      </c>
    </row>
    <row r="2891">
      <c r="A2891" s="2">
        <f>IFERROR(__xludf.DUMMYFUNCTION("""COMPUTED_VALUE"""),45219.64583333333)</f>
        <v>45219.64583</v>
      </c>
      <c r="B2891" s="1">
        <f>IFERROR(__xludf.DUMMYFUNCTION("""COMPUTED_VALUE"""),50000.0)</f>
        <v>50000</v>
      </c>
      <c r="C2891" s="1">
        <f>IFERROR(__xludf.DUMMYFUNCTION("""COMPUTED_VALUE"""),50300.0)</f>
        <v>50300</v>
      </c>
      <c r="D2891" s="1">
        <f>IFERROR(__xludf.DUMMYFUNCTION("""COMPUTED_VALUE"""),47700.0)</f>
        <v>47700</v>
      </c>
      <c r="E2891" s="1">
        <f>IFERROR(__xludf.DUMMYFUNCTION("""COMPUTED_VALUE"""),49400.0)</f>
        <v>49400</v>
      </c>
      <c r="F2891" s="1">
        <f>IFERROR(__xludf.DUMMYFUNCTION("""COMPUTED_VALUE"""),30164.0)</f>
        <v>30164</v>
      </c>
    </row>
    <row r="2892">
      <c r="A2892" s="2">
        <f>IFERROR(__xludf.DUMMYFUNCTION("""COMPUTED_VALUE"""),45222.64583333333)</f>
        <v>45222.64583</v>
      </c>
      <c r="B2892" s="1">
        <f>IFERROR(__xludf.DUMMYFUNCTION("""COMPUTED_VALUE"""),49400.0)</f>
        <v>49400</v>
      </c>
      <c r="C2892" s="1">
        <f>IFERROR(__xludf.DUMMYFUNCTION("""COMPUTED_VALUE"""),49400.0)</f>
        <v>49400</v>
      </c>
      <c r="D2892" s="1">
        <f>IFERROR(__xludf.DUMMYFUNCTION("""COMPUTED_VALUE"""),48400.0)</f>
        <v>48400</v>
      </c>
      <c r="E2892" s="1">
        <f>IFERROR(__xludf.DUMMYFUNCTION("""COMPUTED_VALUE"""),48600.0)</f>
        <v>48600</v>
      </c>
      <c r="F2892" s="1">
        <f>IFERROR(__xludf.DUMMYFUNCTION("""COMPUTED_VALUE"""),19304.0)</f>
        <v>19304</v>
      </c>
    </row>
    <row r="2893">
      <c r="A2893" s="2">
        <f>IFERROR(__xludf.DUMMYFUNCTION("""COMPUTED_VALUE"""),45223.64583333333)</f>
        <v>45223.64583</v>
      </c>
      <c r="B2893" s="1">
        <f>IFERROR(__xludf.DUMMYFUNCTION("""COMPUTED_VALUE"""),48600.0)</f>
        <v>48600</v>
      </c>
      <c r="C2893" s="1">
        <f>IFERROR(__xludf.DUMMYFUNCTION("""COMPUTED_VALUE"""),48700.0)</f>
        <v>48700</v>
      </c>
      <c r="D2893" s="1">
        <f>IFERROR(__xludf.DUMMYFUNCTION("""COMPUTED_VALUE"""),48000.0)</f>
        <v>48000</v>
      </c>
      <c r="E2893" s="1">
        <f>IFERROR(__xludf.DUMMYFUNCTION("""COMPUTED_VALUE"""),48300.0)</f>
        <v>48300</v>
      </c>
      <c r="F2893" s="1">
        <f>IFERROR(__xludf.DUMMYFUNCTION("""COMPUTED_VALUE"""),11534.0)</f>
        <v>11534</v>
      </c>
    </row>
    <row r="2894">
      <c r="A2894" s="2">
        <f>IFERROR(__xludf.DUMMYFUNCTION("""COMPUTED_VALUE"""),45224.64583333333)</f>
        <v>45224.64583</v>
      </c>
      <c r="B2894" s="1">
        <f>IFERROR(__xludf.DUMMYFUNCTION("""COMPUTED_VALUE"""),48250.0)</f>
        <v>48250</v>
      </c>
      <c r="C2894" s="1">
        <f>IFERROR(__xludf.DUMMYFUNCTION("""COMPUTED_VALUE"""),48600.0)</f>
        <v>48600</v>
      </c>
      <c r="D2894" s="1">
        <f>IFERROR(__xludf.DUMMYFUNCTION("""COMPUTED_VALUE"""),48250.0)</f>
        <v>48250</v>
      </c>
      <c r="E2894" s="1">
        <f>IFERROR(__xludf.DUMMYFUNCTION("""COMPUTED_VALUE"""),48500.0)</f>
        <v>48500</v>
      </c>
      <c r="F2894" s="1">
        <f>IFERROR(__xludf.DUMMYFUNCTION("""COMPUTED_VALUE"""),6273.0)</f>
        <v>6273</v>
      </c>
    </row>
    <row r="2895">
      <c r="A2895" s="2">
        <f>IFERROR(__xludf.DUMMYFUNCTION("""COMPUTED_VALUE"""),45225.64583333333)</f>
        <v>45225.64583</v>
      </c>
      <c r="B2895" s="1">
        <f>IFERROR(__xludf.DUMMYFUNCTION("""COMPUTED_VALUE"""),48250.0)</f>
        <v>48250</v>
      </c>
      <c r="C2895" s="1">
        <f>IFERROR(__xludf.DUMMYFUNCTION("""COMPUTED_VALUE"""),48600.0)</f>
        <v>48600</v>
      </c>
      <c r="D2895" s="1">
        <f>IFERROR(__xludf.DUMMYFUNCTION("""COMPUTED_VALUE"""),48000.0)</f>
        <v>48000</v>
      </c>
      <c r="E2895" s="1">
        <f>IFERROR(__xludf.DUMMYFUNCTION("""COMPUTED_VALUE"""),48500.0)</f>
        <v>48500</v>
      </c>
      <c r="F2895" s="1">
        <f>IFERROR(__xludf.DUMMYFUNCTION("""COMPUTED_VALUE"""),11019.0)</f>
        <v>11019</v>
      </c>
    </row>
    <row r="2896">
      <c r="A2896" s="2">
        <f>IFERROR(__xludf.DUMMYFUNCTION("""COMPUTED_VALUE"""),45226.64583333333)</f>
        <v>45226.64583</v>
      </c>
      <c r="B2896" s="1">
        <f>IFERROR(__xludf.DUMMYFUNCTION("""COMPUTED_VALUE"""),48300.0)</f>
        <v>48300</v>
      </c>
      <c r="C2896" s="1">
        <f>IFERROR(__xludf.DUMMYFUNCTION("""COMPUTED_VALUE"""),48900.0)</f>
        <v>48900</v>
      </c>
      <c r="D2896" s="1">
        <f>IFERROR(__xludf.DUMMYFUNCTION("""COMPUTED_VALUE"""),48100.0)</f>
        <v>48100</v>
      </c>
      <c r="E2896" s="1">
        <f>IFERROR(__xludf.DUMMYFUNCTION("""COMPUTED_VALUE"""),48650.0)</f>
        <v>48650</v>
      </c>
      <c r="F2896" s="1">
        <f>IFERROR(__xludf.DUMMYFUNCTION("""COMPUTED_VALUE"""),6075.0)</f>
        <v>6075</v>
      </c>
    </row>
    <row r="2897">
      <c r="A2897" s="2">
        <f>IFERROR(__xludf.DUMMYFUNCTION("""COMPUTED_VALUE"""),45229.64583333333)</f>
        <v>45229.64583</v>
      </c>
      <c r="B2897" s="1">
        <f>IFERROR(__xludf.DUMMYFUNCTION("""COMPUTED_VALUE"""),48650.0)</f>
        <v>48650</v>
      </c>
      <c r="C2897" s="1">
        <f>IFERROR(__xludf.DUMMYFUNCTION("""COMPUTED_VALUE"""),49400.0)</f>
        <v>49400</v>
      </c>
      <c r="D2897" s="1">
        <f>IFERROR(__xludf.DUMMYFUNCTION("""COMPUTED_VALUE"""),48650.0)</f>
        <v>48650</v>
      </c>
      <c r="E2897" s="1">
        <f>IFERROR(__xludf.DUMMYFUNCTION("""COMPUTED_VALUE"""),49300.0)</f>
        <v>49300</v>
      </c>
      <c r="F2897" s="1">
        <f>IFERROR(__xludf.DUMMYFUNCTION("""COMPUTED_VALUE"""),7906.0)</f>
        <v>7906</v>
      </c>
    </row>
    <row r="2898">
      <c r="A2898" s="2">
        <f>IFERROR(__xludf.DUMMYFUNCTION("""COMPUTED_VALUE"""),45230.64583333333)</f>
        <v>45230.64583</v>
      </c>
      <c r="B2898" s="1">
        <f>IFERROR(__xludf.DUMMYFUNCTION("""COMPUTED_VALUE"""),49300.0)</f>
        <v>49300</v>
      </c>
      <c r="C2898" s="1">
        <f>IFERROR(__xludf.DUMMYFUNCTION("""COMPUTED_VALUE"""),49600.0)</f>
        <v>49600</v>
      </c>
      <c r="D2898" s="1">
        <f>IFERROR(__xludf.DUMMYFUNCTION("""COMPUTED_VALUE"""),48450.0)</f>
        <v>48450</v>
      </c>
      <c r="E2898" s="1">
        <f>IFERROR(__xludf.DUMMYFUNCTION("""COMPUTED_VALUE"""),49200.0)</f>
        <v>49200</v>
      </c>
      <c r="F2898" s="1">
        <f>IFERROR(__xludf.DUMMYFUNCTION("""COMPUTED_VALUE"""),13886.0)</f>
        <v>13886</v>
      </c>
    </row>
    <row r="2899">
      <c r="A2899" s="2">
        <f>IFERROR(__xludf.DUMMYFUNCTION("""COMPUTED_VALUE"""),45231.64583333333)</f>
        <v>45231.64583</v>
      </c>
      <c r="B2899" s="1">
        <f>IFERROR(__xludf.DUMMYFUNCTION("""COMPUTED_VALUE"""),49200.0)</f>
        <v>49200</v>
      </c>
      <c r="C2899" s="1">
        <f>IFERROR(__xludf.DUMMYFUNCTION("""COMPUTED_VALUE"""),49250.0)</f>
        <v>49250</v>
      </c>
      <c r="D2899" s="1">
        <f>IFERROR(__xludf.DUMMYFUNCTION("""COMPUTED_VALUE"""),48950.0)</f>
        <v>48950</v>
      </c>
      <c r="E2899" s="1">
        <f>IFERROR(__xludf.DUMMYFUNCTION("""COMPUTED_VALUE"""),49100.0)</f>
        <v>49100</v>
      </c>
      <c r="F2899" s="1">
        <f>IFERROR(__xludf.DUMMYFUNCTION("""COMPUTED_VALUE"""),4357.0)</f>
        <v>4357</v>
      </c>
    </row>
    <row r="2900">
      <c r="A2900" s="2">
        <f>IFERROR(__xludf.DUMMYFUNCTION("""COMPUTED_VALUE"""),45232.64583333333)</f>
        <v>45232.64583</v>
      </c>
      <c r="B2900" s="1">
        <f>IFERROR(__xludf.DUMMYFUNCTION("""COMPUTED_VALUE"""),49100.0)</f>
        <v>49100</v>
      </c>
      <c r="C2900" s="1">
        <f>IFERROR(__xludf.DUMMYFUNCTION("""COMPUTED_VALUE"""),49450.0)</f>
        <v>49450</v>
      </c>
      <c r="D2900" s="1">
        <f>IFERROR(__xludf.DUMMYFUNCTION("""COMPUTED_VALUE"""),48950.0)</f>
        <v>48950</v>
      </c>
      <c r="E2900" s="1">
        <f>IFERROR(__xludf.DUMMYFUNCTION("""COMPUTED_VALUE"""),49200.0)</f>
        <v>49200</v>
      </c>
      <c r="F2900" s="1">
        <f>IFERROR(__xludf.DUMMYFUNCTION("""COMPUTED_VALUE"""),7519.0)</f>
        <v>7519</v>
      </c>
    </row>
    <row r="2901">
      <c r="A2901" s="2">
        <f>IFERROR(__xludf.DUMMYFUNCTION("""COMPUTED_VALUE"""),45233.64583333333)</f>
        <v>45233.64583</v>
      </c>
      <c r="B2901" s="1">
        <f>IFERROR(__xludf.DUMMYFUNCTION("""COMPUTED_VALUE"""),49200.0)</f>
        <v>49200</v>
      </c>
      <c r="C2901" s="1">
        <f>IFERROR(__xludf.DUMMYFUNCTION("""COMPUTED_VALUE"""),49400.0)</f>
        <v>49400</v>
      </c>
      <c r="D2901" s="1">
        <f>IFERROR(__xludf.DUMMYFUNCTION("""COMPUTED_VALUE"""),49100.0)</f>
        <v>49100</v>
      </c>
      <c r="E2901" s="1">
        <f>IFERROR(__xludf.DUMMYFUNCTION("""COMPUTED_VALUE"""),49200.0)</f>
        <v>49200</v>
      </c>
      <c r="F2901" s="1">
        <f>IFERROR(__xludf.DUMMYFUNCTION("""COMPUTED_VALUE"""),5601.0)</f>
        <v>5601</v>
      </c>
    </row>
    <row r="2902">
      <c r="A2902" s="2">
        <f>IFERROR(__xludf.DUMMYFUNCTION("""COMPUTED_VALUE"""),45236.64583333333)</f>
        <v>45236.64583</v>
      </c>
      <c r="B2902" s="1">
        <f>IFERROR(__xludf.DUMMYFUNCTION("""COMPUTED_VALUE"""),49200.0)</f>
        <v>49200</v>
      </c>
      <c r="C2902" s="1">
        <f>IFERROR(__xludf.DUMMYFUNCTION("""COMPUTED_VALUE"""),49500.0)</f>
        <v>49500</v>
      </c>
      <c r="D2902" s="1">
        <f>IFERROR(__xludf.DUMMYFUNCTION("""COMPUTED_VALUE"""),49000.0)</f>
        <v>49000</v>
      </c>
      <c r="E2902" s="1">
        <f>IFERROR(__xludf.DUMMYFUNCTION("""COMPUTED_VALUE"""),49200.0)</f>
        <v>49200</v>
      </c>
      <c r="F2902" s="1">
        <f>IFERROR(__xludf.DUMMYFUNCTION("""COMPUTED_VALUE"""),30168.0)</f>
        <v>30168</v>
      </c>
    </row>
    <row r="2903">
      <c r="A2903" s="2">
        <f>IFERROR(__xludf.DUMMYFUNCTION("""COMPUTED_VALUE"""),45237.64583333333)</f>
        <v>45237.64583</v>
      </c>
      <c r="B2903" s="1">
        <f>IFERROR(__xludf.DUMMYFUNCTION("""COMPUTED_VALUE"""),49450.0)</f>
        <v>49450</v>
      </c>
      <c r="C2903" s="1">
        <f>IFERROR(__xludf.DUMMYFUNCTION("""COMPUTED_VALUE"""),49450.0)</f>
        <v>49450</v>
      </c>
      <c r="D2903" s="1">
        <f>IFERROR(__xludf.DUMMYFUNCTION("""COMPUTED_VALUE"""),48850.0)</f>
        <v>48850</v>
      </c>
      <c r="E2903" s="1">
        <f>IFERROR(__xludf.DUMMYFUNCTION("""COMPUTED_VALUE"""),49050.0)</f>
        <v>49050</v>
      </c>
      <c r="F2903" s="1">
        <f>IFERROR(__xludf.DUMMYFUNCTION("""COMPUTED_VALUE"""),11494.0)</f>
        <v>11494</v>
      </c>
    </row>
    <row r="2904">
      <c r="A2904" s="2">
        <f>IFERROR(__xludf.DUMMYFUNCTION("""COMPUTED_VALUE"""),45238.64583333333)</f>
        <v>45238.64583</v>
      </c>
      <c r="B2904" s="1">
        <f>IFERROR(__xludf.DUMMYFUNCTION("""COMPUTED_VALUE"""),48950.0)</f>
        <v>48950</v>
      </c>
      <c r="C2904" s="1">
        <f>IFERROR(__xludf.DUMMYFUNCTION("""COMPUTED_VALUE"""),48950.0)</f>
        <v>48950</v>
      </c>
      <c r="D2904" s="1">
        <f>IFERROR(__xludf.DUMMYFUNCTION("""COMPUTED_VALUE"""),48550.0)</f>
        <v>48550</v>
      </c>
      <c r="E2904" s="1">
        <f>IFERROR(__xludf.DUMMYFUNCTION("""COMPUTED_VALUE"""),48850.0)</f>
        <v>48850</v>
      </c>
      <c r="F2904" s="1">
        <f>IFERROR(__xludf.DUMMYFUNCTION("""COMPUTED_VALUE"""),12919.0)</f>
        <v>12919</v>
      </c>
    </row>
    <row r="2905">
      <c r="A2905" s="2">
        <f>IFERROR(__xludf.DUMMYFUNCTION("""COMPUTED_VALUE"""),45239.64583333333)</f>
        <v>45239.64583</v>
      </c>
      <c r="B2905" s="1">
        <f>IFERROR(__xludf.DUMMYFUNCTION("""COMPUTED_VALUE"""),48850.0)</f>
        <v>48850</v>
      </c>
      <c r="C2905" s="1">
        <f>IFERROR(__xludf.DUMMYFUNCTION("""COMPUTED_VALUE"""),49050.0)</f>
        <v>49050</v>
      </c>
      <c r="D2905" s="1">
        <f>IFERROR(__xludf.DUMMYFUNCTION("""COMPUTED_VALUE"""),48400.0)</f>
        <v>48400</v>
      </c>
      <c r="E2905" s="1">
        <f>IFERROR(__xludf.DUMMYFUNCTION("""COMPUTED_VALUE"""),48850.0)</f>
        <v>48850</v>
      </c>
      <c r="F2905" s="1">
        <f>IFERROR(__xludf.DUMMYFUNCTION("""COMPUTED_VALUE"""),18919.0)</f>
        <v>18919</v>
      </c>
    </row>
    <row r="2906">
      <c r="A2906" s="2">
        <f>IFERROR(__xludf.DUMMYFUNCTION("""COMPUTED_VALUE"""),45240.64583333333)</f>
        <v>45240.64583</v>
      </c>
      <c r="B2906" s="1">
        <f>IFERROR(__xludf.DUMMYFUNCTION("""COMPUTED_VALUE"""),48900.0)</f>
        <v>48900</v>
      </c>
      <c r="C2906" s="1">
        <f>IFERROR(__xludf.DUMMYFUNCTION("""COMPUTED_VALUE"""),48950.0)</f>
        <v>48950</v>
      </c>
      <c r="D2906" s="1">
        <f>IFERROR(__xludf.DUMMYFUNCTION("""COMPUTED_VALUE"""),48600.0)</f>
        <v>48600</v>
      </c>
      <c r="E2906" s="1">
        <f>IFERROR(__xludf.DUMMYFUNCTION("""COMPUTED_VALUE"""),48850.0)</f>
        <v>48850</v>
      </c>
      <c r="F2906" s="1">
        <f>IFERROR(__xludf.DUMMYFUNCTION("""COMPUTED_VALUE"""),4166.0)</f>
        <v>4166</v>
      </c>
    </row>
    <row r="2907">
      <c r="A2907" s="2">
        <f>IFERROR(__xludf.DUMMYFUNCTION("""COMPUTED_VALUE"""),45243.64583333333)</f>
        <v>45243.64583</v>
      </c>
      <c r="B2907" s="1">
        <f>IFERROR(__xludf.DUMMYFUNCTION("""COMPUTED_VALUE"""),48800.0)</f>
        <v>48800</v>
      </c>
      <c r="C2907" s="1">
        <f>IFERROR(__xludf.DUMMYFUNCTION("""COMPUTED_VALUE"""),49100.0)</f>
        <v>49100</v>
      </c>
      <c r="D2907" s="1">
        <f>IFERROR(__xludf.DUMMYFUNCTION("""COMPUTED_VALUE"""),48750.0)</f>
        <v>48750</v>
      </c>
      <c r="E2907" s="1">
        <f>IFERROR(__xludf.DUMMYFUNCTION("""COMPUTED_VALUE"""),48850.0)</f>
        <v>48850</v>
      </c>
      <c r="F2907" s="1">
        <f>IFERROR(__xludf.DUMMYFUNCTION("""COMPUTED_VALUE"""),6918.0)</f>
        <v>6918</v>
      </c>
    </row>
    <row r="2908">
      <c r="A2908" s="2">
        <f>IFERROR(__xludf.DUMMYFUNCTION("""COMPUTED_VALUE"""),45244.64583333333)</f>
        <v>45244.64583</v>
      </c>
      <c r="B2908" s="1">
        <f>IFERROR(__xludf.DUMMYFUNCTION("""COMPUTED_VALUE"""),48900.0)</f>
        <v>48900</v>
      </c>
      <c r="C2908" s="1">
        <f>IFERROR(__xludf.DUMMYFUNCTION("""COMPUTED_VALUE"""),49100.0)</f>
        <v>49100</v>
      </c>
      <c r="D2908" s="1">
        <f>IFERROR(__xludf.DUMMYFUNCTION("""COMPUTED_VALUE"""),48900.0)</f>
        <v>48900</v>
      </c>
      <c r="E2908" s="1">
        <f>IFERROR(__xludf.DUMMYFUNCTION("""COMPUTED_VALUE"""),49050.0)</f>
        <v>49050</v>
      </c>
      <c r="F2908" s="1">
        <f>IFERROR(__xludf.DUMMYFUNCTION("""COMPUTED_VALUE"""),5935.0)</f>
        <v>5935</v>
      </c>
    </row>
    <row r="2909">
      <c r="A2909" s="2">
        <f>IFERROR(__xludf.DUMMYFUNCTION("""COMPUTED_VALUE"""),45245.64583333333)</f>
        <v>45245.64583</v>
      </c>
      <c r="B2909" s="1">
        <f>IFERROR(__xludf.DUMMYFUNCTION("""COMPUTED_VALUE"""),49150.0)</f>
        <v>49150</v>
      </c>
      <c r="C2909" s="1">
        <f>IFERROR(__xludf.DUMMYFUNCTION("""COMPUTED_VALUE"""),49300.0)</f>
        <v>49300</v>
      </c>
      <c r="D2909" s="1">
        <f>IFERROR(__xludf.DUMMYFUNCTION("""COMPUTED_VALUE"""),49100.0)</f>
        <v>49100</v>
      </c>
      <c r="E2909" s="1">
        <f>IFERROR(__xludf.DUMMYFUNCTION("""COMPUTED_VALUE"""),49300.0)</f>
        <v>49300</v>
      </c>
      <c r="F2909" s="1">
        <f>IFERROR(__xludf.DUMMYFUNCTION("""COMPUTED_VALUE"""),11422.0)</f>
        <v>11422</v>
      </c>
    </row>
    <row r="2910">
      <c r="A2910" s="2">
        <f>IFERROR(__xludf.DUMMYFUNCTION("""COMPUTED_VALUE"""),45246.64583333333)</f>
        <v>45246.64583</v>
      </c>
      <c r="B2910" s="1">
        <f>IFERROR(__xludf.DUMMYFUNCTION("""COMPUTED_VALUE"""),49300.0)</f>
        <v>49300</v>
      </c>
      <c r="C2910" s="1">
        <f>IFERROR(__xludf.DUMMYFUNCTION("""COMPUTED_VALUE"""),49400.0)</f>
        <v>49400</v>
      </c>
      <c r="D2910" s="1">
        <f>IFERROR(__xludf.DUMMYFUNCTION("""COMPUTED_VALUE"""),49100.0)</f>
        <v>49100</v>
      </c>
      <c r="E2910" s="1">
        <f>IFERROR(__xludf.DUMMYFUNCTION("""COMPUTED_VALUE"""),49300.0)</f>
        <v>49300</v>
      </c>
      <c r="F2910" s="1">
        <f>IFERROR(__xludf.DUMMYFUNCTION("""COMPUTED_VALUE"""),8965.0)</f>
        <v>8965</v>
      </c>
    </row>
    <row r="2911">
      <c r="A2911" s="2">
        <f>IFERROR(__xludf.DUMMYFUNCTION("""COMPUTED_VALUE"""),45247.64583333333)</f>
        <v>45247.64583</v>
      </c>
      <c r="B2911" s="1">
        <f>IFERROR(__xludf.DUMMYFUNCTION("""COMPUTED_VALUE"""),49300.0)</f>
        <v>49300</v>
      </c>
      <c r="C2911" s="1">
        <f>IFERROR(__xludf.DUMMYFUNCTION("""COMPUTED_VALUE"""),49300.0)</f>
        <v>49300</v>
      </c>
      <c r="D2911" s="1">
        <f>IFERROR(__xludf.DUMMYFUNCTION("""COMPUTED_VALUE"""),48800.0)</f>
        <v>48800</v>
      </c>
      <c r="E2911" s="1">
        <f>IFERROR(__xludf.DUMMYFUNCTION("""COMPUTED_VALUE"""),49200.0)</f>
        <v>49200</v>
      </c>
      <c r="F2911" s="1">
        <f>IFERROR(__xludf.DUMMYFUNCTION("""COMPUTED_VALUE"""),7154.0)</f>
        <v>7154</v>
      </c>
    </row>
    <row r="2912">
      <c r="A2912" s="2">
        <f>IFERROR(__xludf.DUMMYFUNCTION("""COMPUTED_VALUE"""),45250.64583333333)</f>
        <v>45250.64583</v>
      </c>
      <c r="B2912" s="1">
        <f>IFERROR(__xludf.DUMMYFUNCTION("""COMPUTED_VALUE"""),49400.0)</f>
        <v>49400</v>
      </c>
      <c r="C2912" s="1">
        <f>IFERROR(__xludf.DUMMYFUNCTION("""COMPUTED_VALUE"""),49400.0)</f>
        <v>49400</v>
      </c>
      <c r="D2912" s="1">
        <f>IFERROR(__xludf.DUMMYFUNCTION("""COMPUTED_VALUE"""),49150.0)</f>
        <v>49150</v>
      </c>
      <c r="E2912" s="1">
        <f>IFERROR(__xludf.DUMMYFUNCTION("""COMPUTED_VALUE"""),49350.0)</f>
        <v>49350</v>
      </c>
      <c r="F2912" s="1">
        <f>IFERROR(__xludf.DUMMYFUNCTION("""COMPUTED_VALUE"""),7443.0)</f>
        <v>7443</v>
      </c>
    </row>
    <row r="2913">
      <c r="A2913" s="2">
        <f>IFERROR(__xludf.DUMMYFUNCTION("""COMPUTED_VALUE"""),45251.64583333333)</f>
        <v>45251.64583</v>
      </c>
      <c r="B2913" s="1">
        <f>IFERROR(__xludf.DUMMYFUNCTION("""COMPUTED_VALUE"""),49400.0)</f>
        <v>49400</v>
      </c>
      <c r="C2913" s="1">
        <f>IFERROR(__xludf.DUMMYFUNCTION("""COMPUTED_VALUE"""),49600.0)</f>
        <v>49600</v>
      </c>
      <c r="D2913" s="1">
        <f>IFERROR(__xludf.DUMMYFUNCTION("""COMPUTED_VALUE"""),49400.0)</f>
        <v>49400</v>
      </c>
      <c r="E2913" s="1">
        <f>IFERROR(__xludf.DUMMYFUNCTION("""COMPUTED_VALUE"""),49550.0)</f>
        <v>49550</v>
      </c>
      <c r="F2913" s="1">
        <f>IFERROR(__xludf.DUMMYFUNCTION("""COMPUTED_VALUE"""),10375.0)</f>
        <v>10375</v>
      </c>
    </row>
    <row r="2914">
      <c r="A2914" s="2">
        <f>IFERROR(__xludf.DUMMYFUNCTION("""COMPUTED_VALUE"""),45252.64583333333)</f>
        <v>45252.64583</v>
      </c>
      <c r="B2914" s="1">
        <f>IFERROR(__xludf.DUMMYFUNCTION("""COMPUTED_VALUE"""),49550.0)</f>
        <v>49550</v>
      </c>
      <c r="C2914" s="1">
        <f>IFERROR(__xludf.DUMMYFUNCTION("""COMPUTED_VALUE"""),49600.0)</f>
        <v>49600</v>
      </c>
      <c r="D2914" s="1">
        <f>IFERROR(__xludf.DUMMYFUNCTION("""COMPUTED_VALUE"""),49250.0)</f>
        <v>49250</v>
      </c>
      <c r="E2914" s="1">
        <f>IFERROR(__xludf.DUMMYFUNCTION("""COMPUTED_VALUE"""),49550.0)</f>
        <v>49550</v>
      </c>
      <c r="F2914" s="1">
        <f>IFERROR(__xludf.DUMMYFUNCTION("""COMPUTED_VALUE"""),5531.0)</f>
        <v>5531</v>
      </c>
    </row>
    <row r="2915">
      <c r="A2915" s="2">
        <f>IFERROR(__xludf.DUMMYFUNCTION("""COMPUTED_VALUE"""),45253.64583333333)</f>
        <v>45253.64583</v>
      </c>
      <c r="B2915" s="1">
        <f>IFERROR(__xludf.DUMMYFUNCTION("""COMPUTED_VALUE"""),49550.0)</f>
        <v>49550</v>
      </c>
      <c r="C2915" s="1">
        <f>IFERROR(__xludf.DUMMYFUNCTION("""COMPUTED_VALUE"""),49650.0)</f>
        <v>49650</v>
      </c>
      <c r="D2915" s="1">
        <f>IFERROR(__xludf.DUMMYFUNCTION("""COMPUTED_VALUE"""),49300.0)</f>
        <v>49300</v>
      </c>
      <c r="E2915" s="1">
        <f>IFERROR(__xludf.DUMMYFUNCTION("""COMPUTED_VALUE"""),49400.0)</f>
        <v>49400</v>
      </c>
      <c r="F2915" s="1">
        <f>IFERROR(__xludf.DUMMYFUNCTION("""COMPUTED_VALUE"""),8253.0)</f>
        <v>8253</v>
      </c>
    </row>
    <row r="2916">
      <c r="A2916" s="2">
        <f>IFERROR(__xludf.DUMMYFUNCTION("""COMPUTED_VALUE"""),45254.64583333333)</f>
        <v>45254.64583</v>
      </c>
      <c r="B2916" s="1">
        <f>IFERROR(__xludf.DUMMYFUNCTION("""COMPUTED_VALUE"""),49450.0)</f>
        <v>49450</v>
      </c>
      <c r="C2916" s="1">
        <f>IFERROR(__xludf.DUMMYFUNCTION("""COMPUTED_VALUE"""),49550.0)</f>
        <v>49550</v>
      </c>
      <c r="D2916" s="1">
        <f>IFERROR(__xludf.DUMMYFUNCTION("""COMPUTED_VALUE"""),49350.0)</f>
        <v>49350</v>
      </c>
      <c r="E2916" s="1">
        <f>IFERROR(__xludf.DUMMYFUNCTION("""COMPUTED_VALUE"""),49450.0)</f>
        <v>49450</v>
      </c>
      <c r="F2916" s="1">
        <f>IFERROR(__xludf.DUMMYFUNCTION("""COMPUTED_VALUE"""),6230.0)</f>
        <v>6230</v>
      </c>
    </row>
    <row r="2917">
      <c r="A2917" s="2">
        <f>IFERROR(__xludf.DUMMYFUNCTION("""COMPUTED_VALUE"""),45257.64583333333)</f>
        <v>45257.64583</v>
      </c>
      <c r="B2917" s="1">
        <f>IFERROR(__xludf.DUMMYFUNCTION("""COMPUTED_VALUE"""),49450.0)</f>
        <v>49450</v>
      </c>
      <c r="C2917" s="1">
        <f>IFERROR(__xludf.DUMMYFUNCTION("""COMPUTED_VALUE"""),49500.0)</f>
        <v>49500</v>
      </c>
      <c r="D2917" s="1">
        <f>IFERROR(__xludf.DUMMYFUNCTION("""COMPUTED_VALUE"""),49350.0)</f>
        <v>49350</v>
      </c>
      <c r="E2917" s="1">
        <f>IFERROR(__xludf.DUMMYFUNCTION("""COMPUTED_VALUE"""),49400.0)</f>
        <v>49400</v>
      </c>
      <c r="F2917" s="1">
        <f>IFERROR(__xludf.DUMMYFUNCTION("""COMPUTED_VALUE"""),5597.0)</f>
        <v>5597</v>
      </c>
    </row>
    <row r="2918">
      <c r="A2918" s="2">
        <f>IFERROR(__xludf.DUMMYFUNCTION("""COMPUTED_VALUE"""),45258.64583333333)</f>
        <v>45258.64583</v>
      </c>
      <c r="B2918" s="1">
        <f>IFERROR(__xludf.DUMMYFUNCTION("""COMPUTED_VALUE"""),49450.0)</f>
        <v>49450</v>
      </c>
      <c r="C2918" s="1">
        <f>IFERROR(__xludf.DUMMYFUNCTION("""COMPUTED_VALUE"""),49600.0)</f>
        <v>49600</v>
      </c>
      <c r="D2918" s="1">
        <f>IFERROR(__xludf.DUMMYFUNCTION("""COMPUTED_VALUE"""),49350.0)</f>
        <v>49350</v>
      </c>
      <c r="E2918" s="1">
        <f>IFERROR(__xludf.DUMMYFUNCTION("""COMPUTED_VALUE"""),49600.0)</f>
        <v>49600</v>
      </c>
      <c r="F2918" s="1">
        <f>IFERROR(__xludf.DUMMYFUNCTION("""COMPUTED_VALUE"""),14635.0)</f>
        <v>14635</v>
      </c>
    </row>
    <row r="2919">
      <c r="A2919" s="2">
        <f>IFERROR(__xludf.DUMMYFUNCTION("""COMPUTED_VALUE"""),45259.64583333333)</f>
        <v>45259.64583</v>
      </c>
      <c r="B2919" s="1">
        <f>IFERROR(__xludf.DUMMYFUNCTION("""COMPUTED_VALUE"""),49650.0)</f>
        <v>49650</v>
      </c>
      <c r="C2919" s="1">
        <f>IFERROR(__xludf.DUMMYFUNCTION("""COMPUTED_VALUE"""),49750.0)</f>
        <v>49750</v>
      </c>
      <c r="D2919" s="1">
        <f>IFERROR(__xludf.DUMMYFUNCTION("""COMPUTED_VALUE"""),49500.0)</f>
        <v>49500</v>
      </c>
      <c r="E2919" s="1">
        <f>IFERROR(__xludf.DUMMYFUNCTION("""COMPUTED_VALUE"""),49600.0)</f>
        <v>49600</v>
      </c>
      <c r="F2919" s="1">
        <f>IFERROR(__xludf.DUMMYFUNCTION("""COMPUTED_VALUE"""),8671.0)</f>
        <v>8671</v>
      </c>
    </row>
    <row r="2920">
      <c r="A2920" s="2">
        <f>IFERROR(__xludf.DUMMYFUNCTION("""COMPUTED_VALUE"""),45260.64583333333)</f>
        <v>45260.64583</v>
      </c>
      <c r="B2920" s="1">
        <f>IFERROR(__xludf.DUMMYFUNCTION("""COMPUTED_VALUE"""),49600.0)</f>
        <v>49600</v>
      </c>
      <c r="C2920" s="1">
        <f>IFERROR(__xludf.DUMMYFUNCTION("""COMPUTED_VALUE"""),52500.0)</f>
        <v>52500</v>
      </c>
      <c r="D2920" s="1">
        <f>IFERROR(__xludf.DUMMYFUNCTION("""COMPUTED_VALUE"""),49500.0)</f>
        <v>49500</v>
      </c>
      <c r="E2920" s="1">
        <f>IFERROR(__xludf.DUMMYFUNCTION("""COMPUTED_VALUE"""),49950.0)</f>
        <v>49950</v>
      </c>
      <c r="F2920" s="1">
        <f>IFERROR(__xludf.DUMMYFUNCTION("""COMPUTED_VALUE"""),10898.0)</f>
        <v>10898</v>
      </c>
    </row>
    <row r="2921">
      <c r="A2921" s="2">
        <f>IFERROR(__xludf.DUMMYFUNCTION("""COMPUTED_VALUE"""),45261.64583333333)</f>
        <v>45261.64583</v>
      </c>
      <c r="B2921" s="1">
        <f>IFERROR(__xludf.DUMMYFUNCTION("""COMPUTED_VALUE"""),50000.0)</f>
        <v>50000</v>
      </c>
      <c r="C2921" s="1">
        <f>IFERROR(__xludf.DUMMYFUNCTION("""COMPUTED_VALUE"""),51100.0)</f>
        <v>51100</v>
      </c>
      <c r="D2921" s="1">
        <f>IFERROR(__xludf.DUMMYFUNCTION("""COMPUTED_VALUE"""),50000.0)</f>
        <v>50000</v>
      </c>
      <c r="E2921" s="1">
        <f>IFERROR(__xludf.DUMMYFUNCTION("""COMPUTED_VALUE"""),50100.0)</f>
        <v>50100</v>
      </c>
      <c r="F2921" s="1">
        <f>IFERROR(__xludf.DUMMYFUNCTION("""COMPUTED_VALUE"""),10302.0)</f>
        <v>10302</v>
      </c>
    </row>
    <row r="2922">
      <c r="A2922" s="2">
        <f>IFERROR(__xludf.DUMMYFUNCTION("""COMPUTED_VALUE"""),45264.64583333333)</f>
        <v>45264.64583</v>
      </c>
      <c r="B2922" s="1">
        <f>IFERROR(__xludf.DUMMYFUNCTION("""COMPUTED_VALUE"""),50100.0)</f>
        <v>50100</v>
      </c>
      <c r="C2922" s="1">
        <f>IFERROR(__xludf.DUMMYFUNCTION("""COMPUTED_VALUE"""),50700.0)</f>
        <v>50700</v>
      </c>
      <c r="D2922" s="1">
        <f>IFERROR(__xludf.DUMMYFUNCTION("""COMPUTED_VALUE"""),50100.0)</f>
        <v>50100</v>
      </c>
      <c r="E2922" s="1">
        <f>IFERROR(__xludf.DUMMYFUNCTION("""COMPUTED_VALUE"""),50500.0)</f>
        <v>50500</v>
      </c>
      <c r="F2922" s="1">
        <f>IFERROR(__xludf.DUMMYFUNCTION("""COMPUTED_VALUE"""),12184.0)</f>
        <v>12184</v>
      </c>
    </row>
    <row r="2923">
      <c r="A2923" s="2">
        <f>IFERROR(__xludf.DUMMYFUNCTION("""COMPUTED_VALUE"""),45265.64583333333)</f>
        <v>45265.64583</v>
      </c>
      <c r="B2923" s="1">
        <f>IFERROR(__xludf.DUMMYFUNCTION("""COMPUTED_VALUE"""),50400.0)</f>
        <v>50400</v>
      </c>
      <c r="C2923" s="1">
        <f>IFERROR(__xludf.DUMMYFUNCTION("""COMPUTED_VALUE"""),50500.0)</f>
        <v>50500</v>
      </c>
      <c r="D2923" s="1">
        <f>IFERROR(__xludf.DUMMYFUNCTION("""COMPUTED_VALUE"""),50100.0)</f>
        <v>50100</v>
      </c>
      <c r="E2923" s="1">
        <f>IFERROR(__xludf.DUMMYFUNCTION("""COMPUTED_VALUE"""),50100.0)</f>
        <v>50100</v>
      </c>
      <c r="F2923" s="1">
        <f>IFERROR(__xludf.DUMMYFUNCTION("""COMPUTED_VALUE"""),9482.0)</f>
        <v>9482</v>
      </c>
    </row>
    <row r="2924">
      <c r="A2924" s="2">
        <f>IFERROR(__xludf.DUMMYFUNCTION("""COMPUTED_VALUE"""),45266.64583333333)</f>
        <v>45266.64583</v>
      </c>
      <c r="B2924" s="1">
        <f>IFERROR(__xludf.DUMMYFUNCTION("""COMPUTED_VALUE"""),50300.0)</f>
        <v>50300</v>
      </c>
      <c r="C2924" s="1">
        <f>IFERROR(__xludf.DUMMYFUNCTION("""COMPUTED_VALUE"""),50400.0)</f>
        <v>50400</v>
      </c>
      <c r="D2924" s="1">
        <f>IFERROR(__xludf.DUMMYFUNCTION("""COMPUTED_VALUE"""),50000.0)</f>
        <v>50000</v>
      </c>
      <c r="E2924" s="1">
        <f>IFERROR(__xludf.DUMMYFUNCTION("""COMPUTED_VALUE"""),50100.0)</f>
        <v>50100</v>
      </c>
      <c r="F2924" s="1">
        <f>IFERROR(__xludf.DUMMYFUNCTION("""COMPUTED_VALUE"""),9725.0)</f>
        <v>9725</v>
      </c>
    </row>
    <row r="2925">
      <c r="A2925" s="2">
        <f>IFERROR(__xludf.DUMMYFUNCTION("""COMPUTED_VALUE"""),45267.64583333333)</f>
        <v>45267.64583</v>
      </c>
      <c r="B2925" s="1">
        <f>IFERROR(__xludf.DUMMYFUNCTION("""COMPUTED_VALUE"""),50000.0)</f>
        <v>50000</v>
      </c>
      <c r="C2925" s="1">
        <f>IFERROR(__xludf.DUMMYFUNCTION("""COMPUTED_VALUE"""),50200.0)</f>
        <v>50200</v>
      </c>
      <c r="D2925" s="1">
        <f>IFERROR(__xludf.DUMMYFUNCTION("""COMPUTED_VALUE"""),49600.0)</f>
        <v>49600</v>
      </c>
      <c r="E2925" s="1">
        <f>IFERROR(__xludf.DUMMYFUNCTION("""COMPUTED_VALUE"""),50000.0)</f>
        <v>50000</v>
      </c>
      <c r="F2925" s="1">
        <f>IFERROR(__xludf.DUMMYFUNCTION("""COMPUTED_VALUE"""),14273.0)</f>
        <v>14273</v>
      </c>
    </row>
    <row r="2926">
      <c r="A2926" s="2">
        <f>IFERROR(__xludf.DUMMYFUNCTION("""COMPUTED_VALUE"""),45268.64583333333)</f>
        <v>45268.64583</v>
      </c>
      <c r="B2926" s="1">
        <f>IFERROR(__xludf.DUMMYFUNCTION("""COMPUTED_VALUE"""),50000.0)</f>
        <v>50000</v>
      </c>
      <c r="C2926" s="1">
        <f>IFERROR(__xludf.DUMMYFUNCTION("""COMPUTED_VALUE"""),50200.0)</f>
        <v>50200</v>
      </c>
      <c r="D2926" s="1">
        <f>IFERROR(__xludf.DUMMYFUNCTION("""COMPUTED_VALUE"""),49800.0)</f>
        <v>49800</v>
      </c>
      <c r="E2926" s="1">
        <f>IFERROR(__xludf.DUMMYFUNCTION("""COMPUTED_VALUE"""),50200.0)</f>
        <v>50200</v>
      </c>
      <c r="F2926" s="1">
        <f>IFERROR(__xludf.DUMMYFUNCTION("""COMPUTED_VALUE"""),6180.0)</f>
        <v>6180</v>
      </c>
    </row>
    <row r="2927">
      <c r="A2927" s="2">
        <f>IFERROR(__xludf.DUMMYFUNCTION("""COMPUTED_VALUE"""),45271.64583333333)</f>
        <v>45271.64583</v>
      </c>
      <c r="B2927" s="1">
        <f>IFERROR(__xludf.DUMMYFUNCTION("""COMPUTED_VALUE"""),50300.0)</f>
        <v>50300</v>
      </c>
      <c r="C2927" s="1">
        <f>IFERROR(__xludf.DUMMYFUNCTION("""COMPUTED_VALUE"""),50300.0)</f>
        <v>50300</v>
      </c>
      <c r="D2927" s="1">
        <f>IFERROR(__xludf.DUMMYFUNCTION("""COMPUTED_VALUE"""),50100.0)</f>
        <v>50100</v>
      </c>
      <c r="E2927" s="1">
        <f>IFERROR(__xludf.DUMMYFUNCTION("""COMPUTED_VALUE"""),50300.0)</f>
        <v>50300</v>
      </c>
      <c r="F2927" s="1">
        <f>IFERROR(__xludf.DUMMYFUNCTION("""COMPUTED_VALUE"""),6160.0)</f>
        <v>6160</v>
      </c>
    </row>
    <row r="2928">
      <c r="A2928" s="2">
        <f>IFERROR(__xludf.DUMMYFUNCTION("""COMPUTED_VALUE"""),45272.64583333333)</f>
        <v>45272.64583</v>
      </c>
      <c r="B2928" s="1">
        <f>IFERROR(__xludf.DUMMYFUNCTION("""COMPUTED_VALUE"""),50600.0)</f>
        <v>50600</v>
      </c>
      <c r="C2928" s="1">
        <f>IFERROR(__xludf.DUMMYFUNCTION("""COMPUTED_VALUE"""),50600.0)</f>
        <v>50600</v>
      </c>
      <c r="D2928" s="1">
        <f>IFERROR(__xludf.DUMMYFUNCTION("""COMPUTED_VALUE"""),50100.0)</f>
        <v>50100</v>
      </c>
      <c r="E2928" s="1">
        <f>IFERROR(__xludf.DUMMYFUNCTION("""COMPUTED_VALUE"""),50400.0)</f>
        <v>50400</v>
      </c>
      <c r="F2928" s="1">
        <f>IFERROR(__xludf.DUMMYFUNCTION("""COMPUTED_VALUE"""),5915.0)</f>
        <v>5915</v>
      </c>
    </row>
    <row r="2929">
      <c r="A2929" s="2">
        <f>IFERROR(__xludf.DUMMYFUNCTION("""COMPUTED_VALUE"""),45273.64583333333)</f>
        <v>45273.64583</v>
      </c>
      <c r="B2929" s="1">
        <f>IFERROR(__xludf.DUMMYFUNCTION("""COMPUTED_VALUE"""),50400.0)</f>
        <v>50400</v>
      </c>
      <c r="C2929" s="1">
        <f>IFERROR(__xludf.DUMMYFUNCTION("""COMPUTED_VALUE"""),50400.0)</f>
        <v>50400</v>
      </c>
      <c r="D2929" s="1">
        <f>IFERROR(__xludf.DUMMYFUNCTION("""COMPUTED_VALUE"""),50000.0)</f>
        <v>50000</v>
      </c>
      <c r="E2929" s="1">
        <f>IFERROR(__xludf.DUMMYFUNCTION("""COMPUTED_VALUE"""),50200.0)</f>
        <v>50200</v>
      </c>
      <c r="F2929" s="1">
        <f>IFERROR(__xludf.DUMMYFUNCTION("""COMPUTED_VALUE"""),5272.0)</f>
        <v>5272</v>
      </c>
    </row>
    <row r="2930">
      <c r="A2930" s="2">
        <f>IFERROR(__xludf.DUMMYFUNCTION("""COMPUTED_VALUE"""),45274.64583333333)</f>
        <v>45274.64583</v>
      </c>
      <c r="B2930" s="1">
        <f>IFERROR(__xludf.DUMMYFUNCTION("""COMPUTED_VALUE"""),50400.0)</f>
        <v>50400</v>
      </c>
      <c r="C2930" s="1">
        <f>IFERROR(__xludf.DUMMYFUNCTION("""COMPUTED_VALUE"""),50600.0)</f>
        <v>50600</v>
      </c>
      <c r="D2930" s="1">
        <f>IFERROR(__xludf.DUMMYFUNCTION("""COMPUTED_VALUE"""),50200.0)</f>
        <v>50200</v>
      </c>
      <c r="E2930" s="1">
        <f>IFERROR(__xludf.DUMMYFUNCTION("""COMPUTED_VALUE"""),50600.0)</f>
        <v>50600</v>
      </c>
      <c r="F2930" s="1">
        <f>IFERROR(__xludf.DUMMYFUNCTION("""COMPUTED_VALUE"""),7187.0)</f>
        <v>7187</v>
      </c>
    </row>
    <row r="2931">
      <c r="A2931" s="2">
        <f>IFERROR(__xludf.DUMMYFUNCTION("""COMPUTED_VALUE"""),45275.64583333333)</f>
        <v>45275.64583</v>
      </c>
      <c r="B2931" s="1">
        <f>IFERROR(__xludf.DUMMYFUNCTION("""COMPUTED_VALUE"""),50800.0)</f>
        <v>50800</v>
      </c>
      <c r="C2931" s="1">
        <f>IFERROR(__xludf.DUMMYFUNCTION("""COMPUTED_VALUE"""),51000.0)</f>
        <v>51000</v>
      </c>
      <c r="D2931" s="1">
        <f>IFERROR(__xludf.DUMMYFUNCTION("""COMPUTED_VALUE"""),50600.0)</f>
        <v>50600</v>
      </c>
      <c r="E2931" s="1">
        <f>IFERROR(__xludf.DUMMYFUNCTION("""COMPUTED_VALUE"""),51000.0)</f>
        <v>51000</v>
      </c>
      <c r="F2931" s="1">
        <f>IFERROR(__xludf.DUMMYFUNCTION("""COMPUTED_VALUE"""),18227.0)</f>
        <v>18227</v>
      </c>
    </row>
    <row r="2932">
      <c r="A2932" s="2">
        <f>IFERROR(__xludf.DUMMYFUNCTION("""COMPUTED_VALUE"""),45278.64583333333)</f>
        <v>45278.64583</v>
      </c>
      <c r="B2932" s="1">
        <f>IFERROR(__xludf.DUMMYFUNCTION("""COMPUTED_VALUE"""),51200.0)</f>
        <v>51200</v>
      </c>
      <c r="C2932" s="1">
        <f>IFERROR(__xludf.DUMMYFUNCTION("""COMPUTED_VALUE"""),51200.0)</f>
        <v>51200</v>
      </c>
      <c r="D2932" s="1">
        <f>IFERROR(__xludf.DUMMYFUNCTION("""COMPUTED_VALUE"""),50500.0)</f>
        <v>50500</v>
      </c>
      <c r="E2932" s="1">
        <f>IFERROR(__xludf.DUMMYFUNCTION("""COMPUTED_VALUE"""),50900.0)</f>
        <v>50900</v>
      </c>
      <c r="F2932" s="1">
        <f>IFERROR(__xludf.DUMMYFUNCTION("""COMPUTED_VALUE"""),11602.0)</f>
        <v>11602</v>
      </c>
    </row>
    <row r="2933">
      <c r="A2933" s="2">
        <f>IFERROR(__xludf.DUMMYFUNCTION("""COMPUTED_VALUE"""),45279.64583333333)</f>
        <v>45279.64583</v>
      </c>
      <c r="B2933" s="1">
        <f>IFERROR(__xludf.DUMMYFUNCTION("""COMPUTED_VALUE"""),51000.0)</f>
        <v>51000</v>
      </c>
      <c r="C2933" s="1">
        <f>IFERROR(__xludf.DUMMYFUNCTION("""COMPUTED_VALUE"""),51100.0)</f>
        <v>51100</v>
      </c>
      <c r="D2933" s="1">
        <f>IFERROR(__xludf.DUMMYFUNCTION("""COMPUTED_VALUE"""),50700.0)</f>
        <v>50700</v>
      </c>
      <c r="E2933" s="1">
        <f>IFERROR(__xludf.DUMMYFUNCTION("""COMPUTED_VALUE"""),50900.0)</f>
        <v>50900</v>
      </c>
      <c r="F2933" s="1">
        <f>IFERROR(__xludf.DUMMYFUNCTION("""COMPUTED_VALUE"""),14126.0)</f>
        <v>14126</v>
      </c>
    </row>
    <row r="2934">
      <c r="A2934" s="2">
        <f>IFERROR(__xludf.DUMMYFUNCTION("""COMPUTED_VALUE"""),45280.64583333333)</f>
        <v>45280.64583</v>
      </c>
      <c r="B2934" s="1">
        <f>IFERROR(__xludf.DUMMYFUNCTION("""COMPUTED_VALUE"""),51000.0)</f>
        <v>51000</v>
      </c>
      <c r="C2934" s="1">
        <f>IFERROR(__xludf.DUMMYFUNCTION("""COMPUTED_VALUE"""),51200.0)</f>
        <v>51200</v>
      </c>
      <c r="D2934" s="1">
        <f>IFERROR(__xludf.DUMMYFUNCTION("""COMPUTED_VALUE"""),50900.0)</f>
        <v>50900</v>
      </c>
      <c r="E2934" s="1">
        <f>IFERROR(__xludf.DUMMYFUNCTION("""COMPUTED_VALUE"""),51200.0)</f>
        <v>51200</v>
      </c>
      <c r="F2934" s="1">
        <f>IFERROR(__xludf.DUMMYFUNCTION("""COMPUTED_VALUE"""),13999.0)</f>
        <v>13999</v>
      </c>
    </row>
    <row r="2935">
      <c r="A2935" s="2">
        <f>IFERROR(__xludf.DUMMYFUNCTION("""COMPUTED_VALUE"""),45281.64583333333)</f>
        <v>45281.64583</v>
      </c>
      <c r="B2935" s="1">
        <f>IFERROR(__xludf.DUMMYFUNCTION("""COMPUTED_VALUE"""),51100.0)</f>
        <v>51100</v>
      </c>
      <c r="C2935" s="1">
        <f>IFERROR(__xludf.DUMMYFUNCTION("""COMPUTED_VALUE"""),51100.0)</f>
        <v>51100</v>
      </c>
      <c r="D2935" s="1">
        <f>IFERROR(__xludf.DUMMYFUNCTION("""COMPUTED_VALUE"""),50800.0)</f>
        <v>50800</v>
      </c>
      <c r="E2935" s="1">
        <f>IFERROR(__xludf.DUMMYFUNCTION("""COMPUTED_VALUE"""),51100.0)</f>
        <v>51100</v>
      </c>
      <c r="F2935" s="1">
        <f>IFERROR(__xludf.DUMMYFUNCTION("""COMPUTED_VALUE"""),17782.0)</f>
        <v>17782</v>
      </c>
    </row>
    <row r="2936">
      <c r="A2936" s="2">
        <f>IFERROR(__xludf.DUMMYFUNCTION("""COMPUTED_VALUE"""),45282.64583333333)</f>
        <v>45282.64583</v>
      </c>
      <c r="B2936" s="1">
        <f>IFERROR(__xludf.DUMMYFUNCTION("""COMPUTED_VALUE"""),51100.0)</f>
        <v>51100</v>
      </c>
      <c r="C2936" s="1">
        <f>IFERROR(__xludf.DUMMYFUNCTION("""COMPUTED_VALUE"""),51100.0)</f>
        <v>51100</v>
      </c>
      <c r="D2936" s="1">
        <f>IFERROR(__xludf.DUMMYFUNCTION("""COMPUTED_VALUE"""),50800.0)</f>
        <v>50800</v>
      </c>
      <c r="E2936" s="1">
        <f>IFERROR(__xludf.DUMMYFUNCTION("""COMPUTED_VALUE"""),51000.0)</f>
        <v>51000</v>
      </c>
      <c r="F2936" s="1">
        <f>IFERROR(__xludf.DUMMYFUNCTION("""COMPUTED_VALUE"""),26690.0)</f>
        <v>26690</v>
      </c>
    </row>
    <row r="2937">
      <c r="A2937" s="2">
        <f>IFERROR(__xludf.DUMMYFUNCTION("""COMPUTED_VALUE"""),45286.64583333333)</f>
        <v>45286.64583</v>
      </c>
      <c r="B2937" s="1">
        <f>IFERROR(__xludf.DUMMYFUNCTION("""COMPUTED_VALUE"""),51200.0)</f>
        <v>51200</v>
      </c>
      <c r="C2937" s="1">
        <f>IFERROR(__xludf.DUMMYFUNCTION("""COMPUTED_VALUE"""),51600.0)</f>
        <v>51600</v>
      </c>
      <c r="D2937" s="1">
        <f>IFERROR(__xludf.DUMMYFUNCTION("""COMPUTED_VALUE"""),51000.0)</f>
        <v>51000</v>
      </c>
      <c r="E2937" s="1">
        <f>IFERROR(__xludf.DUMMYFUNCTION("""COMPUTED_VALUE"""),51400.0)</f>
        <v>51400</v>
      </c>
      <c r="F2937" s="1">
        <f>IFERROR(__xludf.DUMMYFUNCTION("""COMPUTED_VALUE"""),90871.0)</f>
        <v>90871</v>
      </c>
    </row>
    <row r="2938">
      <c r="A2938" s="2">
        <f>IFERROR(__xludf.DUMMYFUNCTION("""COMPUTED_VALUE"""),45287.64583333333)</f>
        <v>45287.64583</v>
      </c>
      <c r="B2938" s="1">
        <f>IFERROR(__xludf.DUMMYFUNCTION("""COMPUTED_VALUE"""),49000.0)</f>
        <v>49000</v>
      </c>
      <c r="C2938" s="1">
        <f>IFERROR(__xludf.DUMMYFUNCTION("""COMPUTED_VALUE"""),49900.0)</f>
        <v>49900</v>
      </c>
      <c r="D2938" s="1">
        <f>IFERROR(__xludf.DUMMYFUNCTION("""COMPUTED_VALUE"""),48950.0)</f>
        <v>48950</v>
      </c>
      <c r="E2938" s="1">
        <f>IFERROR(__xludf.DUMMYFUNCTION("""COMPUTED_VALUE"""),49250.0)</f>
        <v>49250</v>
      </c>
      <c r="F2938" s="1">
        <f>IFERROR(__xludf.DUMMYFUNCTION("""COMPUTED_VALUE"""),51352.0)</f>
        <v>51352</v>
      </c>
    </row>
    <row r="2939">
      <c r="A2939" s="2">
        <f>IFERROR(__xludf.DUMMYFUNCTION("""COMPUTED_VALUE"""),45288.64583333333)</f>
        <v>45288.64583</v>
      </c>
      <c r="B2939" s="1">
        <f>IFERROR(__xludf.DUMMYFUNCTION("""COMPUTED_VALUE"""),49250.0)</f>
        <v>49250</v>
      </c>
      <c r="C2939" s="1">
        <f>IFERROR(__xludf.DUMMYFUNCTION("""COMPUTED_VALUE"""),49350.0)</f>
        <v>49350</v>
      </c>
      <c r="D2939" s="1">
        <f>IFERROR(__xludf.DUMMYFUNCTION("""COMPUTED_VALUE"""),48750.0)</f>
        <v>48750</v>
      </c>
      <c r="E2939" s="1">
        <f>IFERROR(__xludf.DUMMYFUNCTION("""COMPUTED_VALUE"""),49250.0)</f>
        <v>49250</v>
      </c>
      <c r="F2939" s="1">
        <f>IFERROR(__xludf.DUMMYFUNCTION("""COMPUTED_VALUE"""),14309.0)</f>
        <v>14309</v>
      </c>
    </row>
  </sheetData>
  <drawing r:id="rId1"/>
</worksheet>
</file>